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588" windowWidth="28452" windowHeight="13740" activeTab="2"/>
  </bookViews>
  <sheets>
    <sheet name="Krycí list rozpočtu" sheetId="1" r:id="rId1"/>
    <sheet name="VORN" sheetId="2" state="hidden" r:id="rId2"/>
    <sheet name="Stavební rozpočet-vyplnit" sheetId="3" r:id="rId3"/>
    <sheet name="Rekapitulace SO-01" sheetId="4" r:id="rId4"/>
    <sheet name="Stavební rozpočet SO-01" sheetId="5" r:id="rId5"/>
    <sheet name="Rekapitulace SO-02" sheetId="6" r:id="rId6"/>
    <sheet name="Stavební rozpočet SO-02" sheetId="7" r:id="rId7"/>
    <sheet name="Rekapitulace VORN" sheetId="8" r:id="rId8"/>
  </sheets>
  <definedNames>
    <definedName name="vorn_sum">'VORN'!$I$45</definedName>
  </definedNames>
  <calcPr calcId="152511"/>
</workbook>
</file>

<file path=xl/sharedStrings.xml><?xml version="1.0" encoding="utf-8"?>
<sst xmlns="http://schemas.openxmlformats.org/spreadsheetml/2006/main" count="26635" uniqueCount="3794">
  <si>
    <t>Krycí list slepého rozpočtu</t>
  </si>
  <si>
    <t>Název stavby:</t>
  </si>
  <si>
    <t>Objednatel:</t>
  </si>
  <si>
    <t>IČO/DIČ:</t>
  </si>
  <si>
    <t/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</si>
  <si>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</si>
  <si>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</si>
  <si>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</si>
  <si>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</si>
  <si>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</si>
  <si>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</si>
  <si>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</si>
  <si>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</si>
  <si>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</si>
  <si>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</si>
  <si>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</si>
  <si>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</si>
  <si>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</si>
  <si>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</si>
  <si>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</si>
  <si>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</si>
  <si>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</si>
  <si>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</si>
  <si>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</si>
  <si>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</si>
  <si>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</si>
  <si>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</si>
  <si>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</si>
  <si>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</si>
  <si>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</si>
  <si>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</si>
  <si>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</si>
  <si>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</si>
  <si>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</si>
  <si>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</si>
  <si>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</si>
  <si>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</si>
  <si>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</si>
  <si>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</si>
  <si>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</si>
  <si>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</si>
  <si>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</si>
  <si>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</si>
  <si>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VORN celkem</t>
  </si>
  <si>
    <t>VORN celkem z obj.</t>
  </si>
  <si>
    <t>Základ 0%</t>
  </si>
  <si>
    <t>Základ 12%</t>
  </si>
  <si>
    <t>DPH 12%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</si>
  <si>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</si>
  <si>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</si>
  <si>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</si>
  <si>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</si>
  <si>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</si>
  <si>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</si>
  <si>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</si>
  <si>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</si>
  <si>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</si>
  <si>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</si>
  <si>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</si>
  <si>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</si>
  <si>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</si>
  <si>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</si>
  <si>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</si>
  <si>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</si>
  <si>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</si>
  <si>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</si>
  <si>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Vedlejší a ostatní rozpočtové náklady VORN</t>
  </si>
  <si>
    <t>Ostatní rozpočtové náklady (VORN)</t>
  </si>
  <si>
    <t>Průzkumy, geodetické a projektové práce</t>
  </si>
  <si>
    <t>Příprava staveniště</t>
  </si>
  <si>
    <t>Inženýrské činnosti</t>
  </si>
  <si>
    <t>Finanční náklady</t>
  </si>
  <si>
    <t>Náklady na pracovníky</t>
  </si>
  <si>
    <t>Ostatní náklady</t>
  </si>
  <si>
    <t>Vlastní VORN</t>
  </si>
  <si>
    <t>Celkem VORN</t>
  </si>
  <si>
    <t>Slepý stavební rozpočet</t>
  </si>
  <si>
    <t>Vybudování edukačního centra a digit.pracoviště v Městské knihovně T.G.Masaryka Šumperk</t>
  </si>
  <si>
    <t>Doba výstavby:</t>
  </si>
  <si>
    <t xml:space="preserve"> </t>
  </si>
  <si>
    <t>Město Šumperk</t>
  </si>
  <si>
    <t>Stavební úpravy, nástavba</t>
  </si>
  <si>
    <t>Ing.Ladislav Trčka - PROINK</t>
  </si>
  <si>
    <t>Šumperk</t>
  </si>
  <si>
    <t>8014614</t>
  </si>
  <si>
    <t>Zpracováno dne:</t>
  </si>
  <si>
    <t>Č</t>
  </si>
  <si>
    <t>Objekt</t>
  </si>
  <si>
    <t>Kód</t>
  </si>
  <si>
    <t>Zkrácený popis</t>
  </si>
  <si>
    <t>MJ</t>
  </si>
  <si>
    <t>Množství</t>
  </si>
  <si>
    <t>Cena/MJ</t>
  </si>
  <si>
    <t>Náklady (Kč)</t>
  </si>
  <si>
    <t>Hmotnost (t)</t>
  </si>
  <si>
    <t>Cenová</t>
  </si>
  <si>
    <t>ISWORK</t>
  </si>
  <si>
    <t>GROUPCODE</t>
  </si>
  <si>
    <t>VATTAX</t>
  </si>
  <si>
    <t>Rozměry</t>
  </si>
  <si>
    <t>(Kč)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</si>
  <si>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</si>
  <si>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</si>
  <si>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</si>
  <si>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</si>
  <si>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</si>
  <si>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</si>
  <si>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</si>
  <si>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</si>
  <si>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</si>
  <si>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</si>
  <si>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</si>
  <si>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</si>
  <si>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</si>
  <si>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</si>
  <si>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</si>
  <si>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SO-01</t>
  </si>
  <si>
    <t>Edukační centrum, digital.pracoviště</t>
  </si>
  <si>
    <t>741VD</t>
  </si>
  <si>
    <t>Silnoproud</t>
  </si>
  <si>
    <t>1</t>
  </si>
  <si>
    <t>741-101</t>
  </si>
  <si>
    <t>Zásuvka 230V/16A</t>
  </si>
  <si>
    <t>ks</t>
  </si>
  <si>
    <t>R položka</t>
  </si>
  <si>
    <t>7</t>
  </si>
  <si>
    <t>741VD_</t>
  </si>
  <si>
    <t>SO-01_74_</t>
  </si>
  <si>
    <t>SO-01_</t>
  </si>
  <si>
    <t>D+M</t>
  </si>
  <si>
    <t>2</t>
  </si>
  <si>
    <t>741-102</t>
  </si>
  <si>
    <t>Zásuvka 230V/16A + 3.st.p.o.</t>
  </si>
  <si>
    <t>3</t>
  </si>
  <si>
    <t>741-103</t>
  </si>
  <si>
    <t>Zásuvka 230V/16A IP44</t>
  </si>
  <si>
    <t>4</t>
  </si>
  <si>
    <t>741-104</t>
  </si>
  <si>
    <t>Jednopólový spínač</t>
  </si>
  <si>
    <t>5</t>
  </si>
  <si>
    <t>741-105</t>
  </si>
  <si>
    <t>Nástěnné pohybové čidlo</t>
  </si>
  <si>
    <t>6</t>
  </si>
  <si>
    <t>741-106</t>
  </si>
  <si>
    <t>Stropní pohybové čidlo</t>
  </si>
  <si>
    <t>741-107</t>
  </si>
  <si>
    <t>Sériový přepínač</t>
  </si>
  <si>
    <t>8</t>
  </si>
  <si>
    <t>741-108</t>
  </si>
  <si>
    <t>Střídavý přepínač</t>
  </si>
  <si>
    <t>9</t>
  </si>
  <si>
    <t>741-109</t>
  </si>
  <si>
    <t>Střídavý přepínač dvojitý</t>
  </si>
  <si>
    <t>10</t>
  </si>
  <si>
    <t>741-110</t>
  </si>
  <si>
    <t>Žaluziový přepínač</t>
  </si>
  <si>
    <t>11</t>
  </si>
  <si>
    <t>741-111</t>
  </si>
  <si>
    <t>Jednopólový spínač IP44</t>
  </si>
  <si>
    <t>12</t>
  </si>
  <si>
    <t>741-12</t>
  </si>
  <si>
    <t>Střídavý přepínač IP44</t>
  </si>
  <si>
    <t>13</t>
  </si>
  <si>
    <t>741-113</t>
  </si>
  <si>
    <t>Ventilátorové relé</t>
  </si>
  <si>
    <t>14</t>
  </si>
  <si>
    <t>741-114</t>
  </si>
  <si>
    <t>Krabice přístrojová KP</t>
  </si>
  <si>
    <t>15</t>
  </si>
  <si>
    <t>741-115</t>
  </si>
  <si>
    <t>Krabice rozvodná KR</t>
  </si>
  <si>
    <t>16</t>
  </si>
  <si>
    <t>741-116</t>
  </si>
  <si>
    <t>Plastový parapetní žlab 130x60mm vč.příslušenství</t>
  </si>
  <si>
    <t>m</t>
  </si>
  <si>
    <t>17</t>
  </si>
  <si>
    <t>741-117</t>
  </si>
  <si>
    <t>Zásuvka 230V/16A jednonásobná do parapetního žlabu</t>
  </si>
  <si>
    <t>18</t>
  </si>
  <si>
    <t>741-118</t>
  </si>
  <si>
    <t>Přepěťová ochrana do parapetního žlabu akustická</t>
  </si>
  <si>
    <t>19</t>
  </si>
  <si>
    <t>741-119</t>
  </si>
  <si>
    <t>Přístrojová krabice Modul 45</t>
  </si>
  <si>
    <t>20</t>
  </si>
  <si>
    <t>741-120</t>
  </si>
  <si>
    <t>Rámeček do parapetního žlabu</t>
  </si>
  <si>
    <t>21</t>
  </si>
  <si>
    <t>741-121</t>
  </si>
  <si>
    <t>Instalační sloupek hliníkový v-1,5m pro osazení zásuvkami SIL + SLP ke skeneru</t>
  </si>
  <si>
    <t>22</t>
  </si>
  <si>
    <t>741-122</t>
  </si>
  <si>
    <t>Čtyřnásobný rámeček</t>
  </si>
  <si>
    <t>23</t>
  </si>
  <si>
    <t>741-123</t>
  </si>
  <si>
    <t>Dvojnásobný rámeček</t>
  </si>
  <si>
    <t>24</t>
  </si>
  <si>
    <t>741-124</t>
  </si>
  <si>
    <t>Kabel CYKY 2Ox1,5</t>
  </si>
  <si>
    <t>25</t>
  </si>
  <si>
    <t>741-125</t>
  </si>
  <si>
    <t>Kabel CYKY 3Ox1,5</t>
  </si>
  <si>
    <t>26</t>
  </si>
  <si>
    <t>741-126</t>
  </si>
  <si>
    <t>Kabel CYKY 3Jx1,5</t>
  </si>
  <si>
    <t>27</t>
  </si>
  <si>
    <t>741-127</t>
  </si>
  <si>
    <t>Kabel CYKY 5Jx1,5</t>
  </si>
  <si>
    <t>28</t>
  </si>
  <si>
    <t>741-128</t>
  </si>
  <si>
    <t>Kabel CYKY 3Jx2,5</t>
  </si>
  <si>
    <t>29</t>
  </si>
  <si>
    <t>741-129</t>
  </si>
  <si>
    <t>Vodič CYA 6 zelenožlutý</t>
  </si>
  <si>
    <t>30</t>
  </si>
  <si>
    <t>741-130</t>
  </si>
  <si>
    <t>Vodič CYA 16 zelenožlutý</t>
  </si>
  <si>
    <t>31</t>
  </si>
  <si>
    <t>741-131</t>
  </si>
  <si>
    <t>Svorkovnice OP v krabici</t>
  </si>
  <si>
    <t>32</t>
  </si>
  <si>
    <t>741-132</t>
  </si>
  <si>
    <t>Vodič CYA 25 zelenožlutý</t>
  </si>
  <si>
    <t>33</t>
  </si>
  <si>
    <t>741-133</t>
  </si>
  <si>
    <t>Kabel CYKY 5Jx2,5</t>
  </si>
  <si>
    <t>34</t>
  </si>
  <si>
    <t>741-134</t>
  </si>
  <si>
    <t>Kabel CYKY 5Jx6</t>
  </si>
  <si>
    <t>35</t>
  </si>
  <si>
    <t>741-135</t>
  </si>
  <si>
    <t>Kabel CYKY 5Jx10</t>
  </si>
  <si>
    <t>36</t>
  </si>
  <si>
    <t>741-136</t>
  </si>
  <si>
    <t>Kabel CYKY 5Jx25</t>
  </si>
  <si>
    <t>37</t>
  </si>
  <si>
    <t>741-137</t>
  </si>
  <si>
    <t>Krabice rozvodná pro 5x25</t>
  </si>
  <si>
    <t>38</t>
  </si>
  <si>
    <t>741-138</t>
  </si>
  <si>
    <t>Kabel H07RN-F 3Gx2,5</t>
  </si>
  <si>
    <t>39</t>
  </si>
  <si>
    <t>741-139</t>
  </si>
  <si>
    <t>Kabel CXKH-V 3x1,5, vyhovuje B2ca,s1,d1</t>
  </si>
  <si>
    <t>40</t>
  </si>
  <si>
    <t>741-140</t>
  </si>
  <si>
    <t>Požárně odolná KR P90-R, IP66</t>
  </si>
  <si>
    <t>41</t>
  </si>
  <si>
    <t>741-141</t>
  </si>
  <si>
    <t>Protipožární ucpávky</t>
  </si>
  <si>
    <t>kpl</t>
  </si>
  <si>
    <t>42</t>
  </si>
  <si>
    <t>741-142</t>
  </si>
  <si>
    <t>Požárně odolné kabelové úchytky E30-E90, 7,5x52 mm, galvanicky pozinkován (splňuje normu ČSN 73 0895. STN 92 0205: 2014. DIN 4102-12:1998-11)</t>
  </si>
  <si>
    <t>43</t>
  </si>
  <si>
    <t>741-143</t>
  </si>
  <si>
    <t>Zřízení kabelových tras (sekání, zapravení, hrubý úklid)</t>
  </si>
  <si>
    <t>vč.likvidace suti</t>
  </si>
  <si>
    <t>44</t>
  </si>
  <si>
    <t>741-144</t>
  </si>
  <si>
    <t>Sekání kapes a průrazů</t>
  </si>
  <si>
    <t>vč.likvicace suti</t>
  </si>
  <si>
    <t>45</t>
  </si>
  <si>
    <t>741-145</t>
  </si>
  <si>
    <t>Vyvrtání prostupů a otvorů pro krabice v SDK a SDVK deskách</t>
  </si>
  <si>
    <t>vč likvidace suti</t>
  </si>
  <si>
    <t>46</t>
  </si>
  <si>
    <t>741-146</t>
  </si>
  <si>
    <t>Ochranná trubka</t>
  </si>
  <si>
    <t>47</t>
  </si>
  <si>
    <t>741-147</t>
  </si>
  <si>
    <t>Drátěný kabelový žlab 55x200x4,8</t>
  </si>
  <si>
    <t>kpl/m</t>
  </si>
  <si>
    <t>48</t>
  </si>
  <si>
    <t>741-148</t>
  </si>
  <si>
    <t>Demont.stávající elektroinstalace ve stávající budově (je uvažováno s veškerou demontáží rozvaděčů,svítidel, kabeláží, zásuvek, vypínačů a krabic)</t>
  </si>
  <si>
    <t>vč.likvidace vybouraných hmot</t>
  </si>
  <si>
    <t>49</t>
  </si>
  <si>
    <t>741-149</t>
  </si>
  <si>
    <t>Přesun materiálů-silnoproud</t>
  </si>
  <si>
    <t>50</t>
  </si>
  <si>
    <t>741-150</t>
  </si>
  <si>
    <t>Prořez (ztratné) materiálu-silnoproud</t>
  </si>
  <si>
    <t>51</t>
  </si>
  <si>
    <t>741-151</t>
  </si>
  <si>
    <t>Podružný materiál-silnoproud</t>
  </si>
  <si>
    <t>52</t>
  </si>
  <si>
    <t>741-152</t>
  </si>
  <si>
    <t>Kompletační činnost-silnoproud</t>
  </si>
  <si>
    <t>53</t>
  </si>
  <si>
    <t>741-201</t>
  </si>
  <si>
    <t>Rozv.R71 vč.usazení, přísluš., montáže v provedení OCEP/Z, š-590mm x výška-1575mm x hl-210mm</t>
  </si>
  <si>
    <t>54</t>
  </si>
  <si>
    <t>741-202</t>
  </si>
  <si>
    <t>Kombinovaný svodič přepětí T1+T2</t>
  </si>
  <si>
    <t>55</t>
  </si>
  <si>
    <t>741-203</t>
  </si>
  <si>
    <t>Jistič B10/1</t>
  </si>
  <si>
    <t>56</t>
  </si>
  <si>
    <t>741-204</t>
  </si>
  <si>
    <t>Jistič B16/1</t>
  </si>
  <si>
    <t>57</t>
  </si>
  <si>
    <t>741-205</t>
  </si>
  <si>
    <t>Jistič C10/1</t>
  </si>
  <si>
    <t>58</t>
  </si>
  <si>
    <t>741-206</t>
  </si>
  <si>
    <t>Jistič C16/1</t>
  </si>
  <si>
    <t>59</t>
  </si>
  <si>
    <t>741-207</t>
  </si>
  <si>
    <t>Jistič s chráničem C10/003,A</t>
  </si>
  <si>
    <t>60</t>
  </si>
  <si>
    <t>741-208</t>
  </si>
  <si>
    <t>Jistič s chráničem B16/003,A</t>
  </si>
  <si>
    <t>61</t>
  </si>
  <si>
    <t>741-209</t>
  </si>
  <si>
    <t>Jistič s chráničem C16/003,A</t>
  </si>
  <si>
    <t>62</t>
  </si>
  <si>
    <t>741-210</t>
  </si>
  <si>
    <t>Jistič B16/3</t>
  </si>
  <si>
    <t>63</t>
  </si>
  <si>
    <t>741-211</t>
  </si>
  <si>
    <t>Jistič B25/3</t>
  </si>
  <si>
    <t>64</t>
  </si>
  <si>
    <t>741-212</t>
  </si>
  <si>
    <t>Jistič B32/3</t>
  </si>
  <si>
    <t>65</t>
  </si>
  <si>
    <t>741-213</t>
  </si>
  <si>
    <t>Jistič C32/3</t>
  </si>
  <si>
    <t>66</t>
  </si>
  <si>
    <t>741-214</t>
  </si>
  <si>
    <t>Vypínač A100/3</t>
  </si>
  <si>
    <t>67</t>
  </si>
  <si>
    <t>741-215</t>
  </si>
  <si>
    <t>Úprava a doplnění CBS, servisní činnost</t>
  </si>
  <si>
    <t>68</t>
  </si>
  <si>
    <t>741-216</t>
  </si>
  <si>
    <t>Monitor síťového napětí DS3-UV, 17385</t>
  </si>
  <si>
    <t>69</t>
  </si>
  <si>
    <t>741-217</t>
  </si>
  <si>
    <t>Modul do CBS G32102-P, modul AK4x32EU</t>
  </si>
  <si>
    <t>70</t>
  </si>
  <si>
    <t>741-218</t>
  </si>
  <si>
    <t>Přesun materiálů-rozvodnice</t>
  </si>
  <si>
    <t>71</t>
  </si>
  <si>
    <t>741-219</t>
  </si>
  <si>
    <t>Prořez (ztratné) materiálu-rozvodnice</t>
  </si>
  <si>
    <t>72</t>
  </si>
  <si>
    <t>741-220</t>
  </si>
  <si>
    <t>Podružný materiál-rozvodnice</t>
  </si>
  <si>
    <t>73</t>
  </si>
  <si>
    <t>741-221</t>
  </si>
  <si>
    <t>Kompletační činnost-rozvodnice</t>
  </si>
  <si>
    <t>74</t>
  </si>
  <si>
    <t>741-301</t>
  </si>
  <si>
    <t>Revize-silnoproud</t>
  </si>
  <si>
    <t>750</t>
  </si>
  <si>
    <t>HZS-VZT</t>
  </si>
  <si>
    <t>75</t>
  </si>
  <si>
    <t>HZS13011</t>
  </si>
  <si>
    <t>Hodinová zúčtovací sazba zedník - stavební přípomoc - sekání drážek, prostupy vč. zapravení</t>
  </si>
  <si>
    <t>hod</t>
  </si>
  <si>
    <t>750_</t>
  </si>
  <si>
    <t>SO-01_75_</t>
  </si>
  <si>
    <t>76</t>
  </si>
  <si>
    <t>HZS2222</t>
  </si>
  <si>
    <t>Hodinová zúčtovací sazba elektrikář odborný</t>
  </si>
  <si>
    <t>77</t>
  </si>
  <si>
    <t>HZS32111</t>
  </si>
  <si>
    <t>Hodinová zúčtovací sazba montér vzduchotechniky a chlazení - přemístění stávající jednotky</t>
  </si>
  <si>
    <t>751</t>
  </si>
  <si>
    <t>Vzduchotechnika</t>
  </si>
  <si>
    <t>78</t>
  </si>
  <si>
    <t>751122092</t>
  </si>
  <si>
    <t>Mtž vent rad/diag ntl potrubního základního D do 200 mm</t>
  </si>
  <si>
    <t>kus</t>
  </si>
  <si>
    <t>751_</t>
  </si>
  <si>
    <t>79</t>
  </si>
  <si>
    <t>RM 125</t>
  </si>
  <si>
    <t>radiální /diagonální ventilátor do potrubí DN 125, Qo=380 m3/hod, 2-ot</t>
  </si>
  <si>
    <t>80</t>
  </si>
  <si>
    <t>751322011</t>
  </si>
  <si>
    <t>Mtž talířového ventilu D do 100 mm</t>
  </si>
  <si>
    <t>81</t>
  </si>
  <si>
    <t>42972201</t>
  </si>
  <si>
    <t>talířový ventil pro přívod a odvod vzduchu plastový D 100mm</t>
  </si>
  <si>
    <t>82</t>
  </si>
  <si>
    <t>751322012</t>
  </si>
  <si>
    <t>Montáž talířového ventilátoru D přes 100 do 200 mm</t>
  </si>
  <si>
    <t>83</t>
  </si>
  <si>
    <t>42972202</t>
  </si>
  <si>
    <t>talířový ventil pro přívod a odvod vzduchu plastový D 125mm</t>
  </si>
  <si>
    <t>84</t>
  </si>
  <si>
    <t>42972204</t>
  </si>
  <si>
    <t>ventil talířový pro přívod a odvod vzduchu plastový D 200mm</t>
  </si>
  <si>
    <t>85</t>
  </si>
  <si>
    <t>751510042</t>
  </si>
  <si>
    <t>Vzduchotechnické potrubí pozink kruhové spirálně vinuté D do 200 mm vč. tvarovek</t>
  </si>
  <si>
    <t>86</t>
  </si>
  <si>
    <t>kondenz</t>
  </si>
  <si>
    <t>odvod kondenzátu - T kus, záslepka, nátrubek - dopojeni na sifon vč. montáže</t>
  </si>
  <si>
    <t>soub</t>
  </si>
  <si>
    <t>87</t>
  </si>
  <si>
    <t>751537111</t>
  </si>
  <si>
    <t>Mtž potrubí ohebného izol minerální vatou z Al laminátu D do 100 mm</t>
  </si>
  <si>
    <t>88</t>
  </si>
  <si>
    <t>42981955</t>
  </si>
  <si>
    <t>hadice ohebná z Al laminátu vyztužená drátem s tepelnou a zvukovou izolací, délka 10m, D 102mm</t>
  </si>
  <si>
    <t>89</t>
  </si>
  <si>
    <t>751537112</t>
  </si>
  <si>
    <t>Montáž potrubí kruhového ohebného izolovaného minerální vatou z Al laminátu D přes 100 do 200 mm</t>
  </si>
  <si>
    <t>90</t>
  </si>
  <si>
    <t>42981956</t>
  </si>
  <si>
    <t>hadice ohebná z Al laminátu vyztužená drátem s tepelnou a zvukovou izolací, délka 10m, D 127mm</t>
  </si>
  <si>
    <t>91</t>
  </si>
  <si>
    <t>42981960</t>
  </si>
  <si>
    <t>hadice ohebná z Al laminátu vyztužená drátem s tepelnou a zvukovou izolací, délka 10m, D 203mm</t>
  </si>
  <si>
    <t>92</t>
  </si>
  <si>
    <t>751691111</t>
  </si>
  <si>
    <t>Zaregulování systému vzduchotechnického zařízení - 1 koncový (distribuční) prvek</t>
  </si>
  <si>
    <t>93</t>
  </si>
  <si>
    <t>751711131</t>
  </si>
  <si>
    <t>Montáž klimatizační jednotky vnitřní kazetové čtyřcestné o výkonu do 3,5 kW</t>
  </si>
  <si>
    <t>94</t>
  </si>
  <si>
    <t>42952004</t>
  </si>
  <si>
    <t>jednotka klimatizační vnitřní kazetová čtyřcestá o výkonu do 3,5kW</t>
  </si>
  <si>
    <t>95</t>
  </si>
  <si>
    <t>751711132</t>
  </si>
  <si>
    <t>Montáž klimatizační jednotky vnitřní kazetové čtyřcestné o výkonu přes 3,5 do 5 kW</t>
  </si>
  <si>
    <t>96</t>
  </si>
  <si>
    <t>42952005</t>
  </si>
  <si>
    <t>jednotka klimatizační vnitřní kazetová čtyřcestná o výkonu do 5,0kW</t>
  </si>
  <si>
    <t>97</t>
  </si>
  <si>
    <t>42952023</t>
  </si>
  <si>
    <t>jednotka klimatizační venkovní trojfázové napájení do 8 vnitřních jednotek o výkonu do 14,0kW</t>
  </si>
  <si>
    <t>98</t>
  </si>
  <si>
    <t>chladivo</t>
  </si>
  <si>
    <t>rozvod chladiva  - předizolované potrubí 6.35,12.7, 9.52,15.88, rozbočovače vč. materiálu,náplně a montáže potrubí nové i přemísťované</t>
  </si>
  <si>
    <t>2222</t>
  </si>
  <si>
    <t>Strukturovaná kabeláž (SK)</t>
  </si>
  <si>
    <t>99</t>
  </si>
  <si>
    <t>SK01</t>
  </si>
  <si>
    <t>Kabel datový, metalický, stíněný, pro horizontální rozvody strukturované kabeláže, cat. 6A, STP LSOH</t>
  </si>
  <si>
    <t>2222_</t>
  </si>
  <si>
    <t>SO-01_2_</t>
  </si>
  <si>
    <t>100</t>
  </si>
  <si>
    <t>SK02</t>
  </si>
  <si>
    <t>Cat6A Patch panel stíněný, osazený, pro 24xRJ45/STP, Cat. 6A, KRONE 1U, černý</t>
  </si>
  <si>
    <t>101</t>
  </si>
  <si>
    <t>SK03</t>
  </si>
  <si>
    <t>Cat6A STP  RJ45 - RJ45  Patch Cord  LS/OH  - 1m</t>
  </si>
  <si>
    <t>102</t>
  </si>
  <si>
    <t>SK04</t>
  </si>
  <si>
    <t>Cat6A STP  RJ45 - RJ45  Patch Cord  LS/OH  - 2m</t>
  </si>
  <si>
    <t>103</t>
  </si>
  <si>
    <t>SK05</t>
  </si>
  <si>
    <t>Cat6A STP  RJ45 - RJ45  Patch Cord  LS/OH  - 3m</t>
  </si>
  <si>
    <t>104</t>
  </si>
  <si>
    <t>SK06</t>
  </si>
  <si>
    <t>Cat6A STP  RJ45 - RJ45  Patch Cord  LS/OH  - 5m</t>
  </si>
  <si>
    <t>105</t>
  </si>
  <si>
    <t>SK07</t>
  </si>
  <si>
    <t>Zásuvka 2xRJ45 Cat.6A STP, komplet - pod omítku včetně krabice - hluboké</t>
  </si>
  <si>
    <t>106</t>
  </si>
  <si>
    <t>SK08</t>
  </si>
  <si>
    <t>Zásuvka 1xRJ45 Cat.6A STP, komplet - pod omítku včetně krabice - hluboké</t>
  </si>
  <si>
    <t>107</t>
  </si>
  <si>
    <t>SK09</t>
  </si>
  <si>
    <t>Zapojení vývodu SK STP kat. 6A- zásuvka</t>
  </si>
  <si>
    <t>108</t>
  </si>
  <si>
    <t>SK10</t>
  </si>
  <si>
    <t>Zapojení vývodu SK SFTP kat. 6A - rozváděč</t>
  </si>
  <si>
    <t>109</t>
  </si>
  <si>
    <t>SK11</t>
  </si>
  <si>
    <t>Certifikační měření kat. 6A vč. protokolu</t>
  </si>
  <si>
    <t>110</t>
  </si>
  <si>
    <t>SK12</t>
  </si>
  <si>
    <t>Oživení systému</t>
  </si>
  <si>
    <t>Strukturovaná kabeláž kategorie 6A, ve stíněném provedení (kabely STP), kabeláž splňuje požadavky dle TIA/EIA 568B.2-1, EN 50173-1:2002 a ISO 11801:2002, pracovní frekvence 200 MHz,testovací 250 MHz, protokol 10/100/1000BaseT</t>
  </si>
  <si>
    <t>111</t>
  </si>
  <si>
    <t>SK13</t>
  </si>
  <si>
    <t>Elektrorevize systému</t>
  </si>
  <si>
    <t>112</t>
  </si>
  <si>
    <t>SK14</t>
  </si>
  <si>
    <t>Proškolení obsluhy a osob zodpovědných za údržbu</t>
  </si>
  <si>
    <t>113</t>
  </si>
  <si>
    <t>SK15</t>
  </si>
  <si>
    <t>19' rozvaděč  42U/600x800, perforované dveře, svařovaný (barva světle šedá)</t>
  </si>
  <si>
    <t>114</t>
  </si>
  <si>
    <t>SK16</t>
  </si>
  <si>
    <t>podstavec s filtrem pro rozvaděč 800/800, (barva světle šedá)</t>
  </si>
  <si>
    <t>115</t>
  </si>
  <si>
    <t>SK17</t>
  </si>
  <si>
    <t>Polička pevná s perforací 1U/550mm, 40kg, (barva světle šedá)</t>
  </si>
  <si>
    <t>116</t>
  </si>
  <si>
    <t>SK18</t>
  </si>
  <si>
    <t>19" rozvodný panel 5x230V-3m s vaničkou 1,5U RAL9005, dětská a přepěťová ochrana</t>
  </si>
  <si>
    <t>117</t>
  </si>
  <si>
    <t>SK19</t>
  </si>
  <si>
    <t>Montážní sada M6 - 4x šroub, podložka a plovoucí matice</t>
  </si>
  <si>
    <t>118</t>
  </si>
  <si>
    <t>SK20</t>
  </si>
  <si>
    <t>19" vyvazovací panel 1U 5x háček malý, (barva černá)</t>
  </si>
  <si>
    <t>119</t>
  </si>
  <si>
    <t>SK21</t>
  </si>
  <si>
    <t>vertikální vyvazovací kovové oko 40x40</t>
  </si>
  <si>
    <t>120</t>
  </si>
  <si>
    <t>SK22</t>
  </si>
  <si>
    <t>záslepka 1U (barva černá)</t>
  </si>
  <si>
    <t>121</t>
  </si>
  <si>
    <t>SK23</t>
  </si>
  <si>
    <t>Optická vana neosazená pro 24 x SC adaptér 19“ 1U, černá</t>
  </si>
  <si>
    <t>122</t>
  </si>
  <si>
    <t>SK24</t>
  </si>
  <si>
    <t>Optická kazeta pro 1 x 12 svarů s víkem a držáky svarů, černá</t>
  </si>
  <si>
    <t>123</t>
  </si>
  <si>
    <t>SK25</t>
  </si>
  <si>
    <t>Ochrana svaru 40 mm</t>
  </si>
  <si>
    <t>124</t>
  </si>
  <si>
    <t>SK26</t>
  </si>
  <si>
    <t>Svaření optického kabelu SM</t>
  </si>
  <si>
    <t>125</t>
  </si>
  <si>
    <t>SK27</t>
  </si>
  <si>
    <t>Adaptér SC singlemode</t>
  </si>
  <si>
    <t>126</t>
  </si>
  <si>
    <t>SK28</t>
  </si>
  <si>
    <t>Pigtail singlemode,  9/125,  SC,  2m</t>
  </si>
  <si>
    <t>127</t>
  </si>
  <si>
    <t>SK29</t>
  </si>
  <si>
    <t>Patch kabel SC Duplex 09/125 OS1 2m</t>
  </si>
  <si>
    <t>128</t>
  </si>
  <si>
    <t>SK30</t>
  </si>
  <si>
    <t>Měření optického vlákna, oboustranné změření útlumu na vlnových délkách 850 a 1300nm / 1310 a 1550nm přímou metodou, zpracování měřícího protokolu</t>
  </si>
  <si>
    <t>129</t>
  </si>
  <si>
    <t>SK31</t>
  </si>
  <si>
    <t>Univerzální FO kabel A/I-DQ(ZN)BH 24x 9/125µm OS2,LS0H,Dca</t>
  </si>
  <si>
    <t>130</t>
  </si>
  <si>
    <t>SK32</t>
  </si>
  <si>
    <t>APC SMART-UPS X 1500VA RACK/TOWER LCD 230V WITH NETWORK CARD, 2U (1200W)</t>
  </si>
  <si>
    <t>131</t>
  </si>
  <si>
    <t>SK33</t>
  </si>
  <si>
    <t>Ethernetový teploměr s PoE + 3M snímač teploty</t>
  </si>
  <si>
    <t>132</t>
  </si>
  <si>
    <t>SK34</t>
  </si>
  <si>
    <t>Řízený SWITCH 48 PoE+ Řízený L2 Fast Ethernet (10/100) Podpora napájení po Ethernetu (PoE) 1U Šedá</t>
  </si>
  <si>
    <t>133</t>
  </si>
  <si>
    <t>SK35</t>
  </si>
  <si>
    <t>Příslušenství k řízenému SWITCHI 48 PoE - stohovací kabel 3m</t>
  </si>
  <si>
    <t>134</t>
  </si>
  <si>
    <t>SK36</t>
  </si>
  <si>
    <t>Řízený přepínač vrstev: L2. Typy přepínaných ethernetových portů RJ-45: GB Ethernet (10/100/1000), Počet přepínaných ethernetových portů RJ-45: 24</t>
  </si>
  <si>
    <t xml:space="preserve"> Plně duplexní režim. Tabulka MAC adres: 8000 pol.. Síťové standardy: IEEE 802.1D,IEEE 802.1Q,IEEE 802.1p,IEEE 802.1s,IEEE 802.1w,IEEE 802.1x,IEEE 802.3,IEEE, RM, 1U.
D+M</t>
  </si>
  <si>
    <t>135</t>
  </si>
  <si>
    <t>SK37</t>
  </si>
  <si>
    <t>10G pokročilý optický switch, 12xGbit SFP, 12xGbit Combo, 2 sloty pro 4x10G XFP, MCE, MPLS BGP a IPv6</t>
  </si>
  <si>
    <t>136</t>
  </si>
  <si>
    <t>SK38</t>
  </si>
  <si>
    <t>WiFi AccessPoint  2,4G/5G 802.11a/b/g/n/ac, včetně napájecího adaptéru 230V</t>
  </si>
  <si>
    <t>137</t>
  </si>
  <si>
    <t>SK39</t>
  </si>
  <si>
    <t>Krabice pod omítku, včetně DIN svorkovnice a 20ks ředových svorek</t>
  </si>
  <si>
    <t>indukční smyčka D+M</t>
  </si>
  <si>
    <t>138</t>
  </si>
  <si>
    <t>SK40</t>
  </si>
  <si>
    <t>kabel CYKY-J 7x1,5</t>
  </si>
  <si>
    <t>139</t>
  </si>
  <si>
    <t>SK41</t>
  </si>
  <si>
    <t>Korugovaná chránička DN40, uložení do podlahy vč. zalití betonem, začištění</t>
  </si>
  <si>
    <t>140</t>
  </si>
  <si>
    <t>SK42</t>
  </si>
  <si>
    <t>Vyřezání drážky v betonové podlaze do 70x70mm</t>
  </si>
  <si>
    <t>indukční smyčka</t>
  </si>
  <si>
    <t>141</t>
  </si>
  <si>
    <t>SK43</t>
  </si>
  <si>
    <t>Vysekání kapsy v cihl. zdi, krabice do 250x200x100 mm</t>
  </si>
  <si>
    <t>142</t>
  </si>
  <si>
    <t>SK44</t>
  </si>
  <si>
    <t>Zesilovač indukční smyčky, 300VA, impedance 0,1-1Ohm, plocha smyčky 200 – 800 m2, 2 + 1 vstup, 250 – 12 000 Hz, 0,1 – 1 ? zatížení, pro neslyšící, (vč</t>
  </si>
  <si>
    <t>R půoložka</t>
  </si>
  <si>
    <t>143</t>
  </si>
  <si>
    <t>SK45</t>
  </si>
  <si>
    <t>Mikrotrubička 14/10 modrá</t>
  </si>
  <si>
    <t>144</t>
  </si>
  <si>
    <t>SK46</t>
  </si>
  <si>
    <t>Kabel CYKY-J 3x1,5</t>
  </si>
  <si>
    <t>145</t>
  </si>
  <si>
    <t>SK47</t>
  </si>
  <si>
    <t>Kabel CYA 9</t>
  </si>
  <si>
    <t>146</t>
  </si>
  <si>
    <t>SK48</t>
  </si>
  <si>
    <t>HZS-strukturovaná kabeláž (neměřitelné práce, skryté kce, hrubý úklid, apod.)</t>
  </si>
  <si>
    <t>147</t>
  </si>
  <si>
    <t>SK49</t>
  </si>
  <si>
    <t>Spolupráce s ostatními profesemi</t>
  </si>
  <si>
    <t>148</t>
  </si>
  <si>
    <t>SK50</t>
  </si>
  <si>
    <t>149</t>
  </si>
  <si>
    <t>SK51</t>
  </si>
  <si>
    <t>Revize, zaškolení obsluhy, odzkoušení systému</t>
  </si>
  <si>
    <t>2223</t>
  </si>
  <si>
    <t>Poplachový zabezpečovací a tísňový systém (PZTS)</t>
  </si>
  <si>
    <t>150</t>
  </si>
  <si>
    <t>PZTS01</t>
  </si>
  <si>
    <t>Rozšíření stávající ústředny PZTS</t>
  </si>
  <si>
    <t>2223_</t>
  </si>
  <si>
    <t>151</t>
  </si>
  <si>
    <t>PZTS02</t>
  </si>
  <si>
    <t>Zálohovaný záložní zdroj 12V/5A v boxu, tamper, prostor pro aku 12V/17Ah</t>
  </si>
  <si>
    <t>152</t>
  </si>
  <si>
    <t>PZTS03</t>
  </si>
  <si>
    <t>AKU 17 -12 - akumulátor 12V/17 Ah,</t>
  </si>
  <si>
    <t>153</t>
  </si>
  <si>
    <t>PZTS04</t>
  </si>
  <si>
    <t>PZTS koncentrátor, 8x vstup, 1x výstup 30V/1A,</t>
  </si>
  <si>
    <t>154</t>
  </si>
  <si>
    <t>PZTS05</t>
  </si>
  <si>
    <t>PIR detektor pohybu, dosah 12m</t>
  </si>
  <si>
    <t>155</t>
  </si>
  <si>
    <t>PZTS06</t>
  </si>
  <si>
    <t>vnitřní nezálohovaná siréna s blikačem 110 dB/m, 250 mA</t>
  </si>
  <si>
    <t>156</t>
  </si>
  <si>
    <t>PZTS07</t>
  </si>
  <si>
    <t>kombinovaný detektor kouře a teploty, samoresetovací</t>
  </si>
  <si>
    <t>157</t>
  </si>
  <si>
    <t>PZTS08</t>
  </si>
  <si>
    <t>Ovládací klávesnice s LED displejem</t>
  </si>
  <si>
    <t>158</t>
  </si>
  <si>
    <t>PZTS09</t>
  </si>
  <si>
    <t>drobný propojovací a instalační materiál</t>
  </si>
  <si>
    <t>set</t>
  </si>
  <si>
    <t>159</t>
  </si>
  <si>
    <t>PZTS10</t>
  </si>
  <si>
    <t>Rozdělovač sběrnice</t>
  </si>
  <si>
    <t>160</t>
  </si>
  <si>
    <t>PZTS11</t>
  </si>
  <si>
    <t>Izolátor sběrnice</t>
  </si>
  <si>
    <t>161</t>
  </si>
  <si>
    <t>PZTS12</t>
  </si>
  <si>
    <t>Kabel napájecí CYKY 2x1,5</t>
  </si>
  <si>
    <t>162</t>
  </si>
  <si>
    <t>PZTS13</t>
  </si>
  <si>
    <t>kabel FTP kat.5e outdoor</t>
  </si>
  <si>
    <t>163</t>
  </si>
  <si>
    <t>PZTS14</t>
  </si>
  <si>
    <t>stíněný šestižilový kabel pro PZTS, Eca</t>
  </si>
  <si>
    <t>164</t>
  </si>
  <si>
    <t>PZTS15</t>
  </si>
  <si>
    <t>CYKY 3x1,5</t>
  </si>
  <si>
    <t>165</t>
  </si>
  <si>
    <t>PZTS16</t>
  </si>
  <si>
    <t>CYA 6mm</t>
  </si>
  <si>
    <t>166</t>
  </si>
  <si>
    <t>PZTS17</t>
  </si>
  <si>
    <t>Jistič  6A/1f</t>
  </si>
  <si>
    <t>167</t>
  </si>
  <si>
    <t>PZTS18</t>
  </si>
  <si>
    <t>Stavební výpomoce PZTS</t>
  </si>
  <si>
    <t>168</t>
  </si>
  <si>
    <t>PZTS19</t>
  </si>
  <si>
    <t>Spolupráce s jinými profesemi</t>
  </si>
  <si>
    <t>169</t>
  </si>
  <si>
    <t>PZTS20</t>
  </si>
  <si>
    <t>170</t>
  </si>
  <si>
    <t>PZTS21</t>
  </si>
  <si>
    <t>171</t>
  </si>
  <si>
    <t>PZTS23</t>
  </si>
  <si>
    <t>2225</t>
  </si>
  <si>
    <t>Páteřní kabelové trasy (KT)</t>
  </si>
  <si>
    <t>172</t>
  </si>
  <si>
    <t>KT01</t>
  </si>
  <si>
    <t>Podparapetní kanál 70x170</t>
  </si>
  <si>
    <t>2225_</t>
  </si>
  <si>
    <t>173</t>
  </si>
  <si>
    <t>KT02</t>
  </si>
  <si>
    <t>Víko podparapetního kanálu šíře 45mm</t>
  </si>
  <si>
    <t>174</t>
  </si>
  <si>
    <t>KT03</t>
  </si>
  <si>
    <t>Spojka podparapetního kanálu</t>
  </si>
  <si>
    <t>175</t>
  </si>
  <si>
    <t>KT04</t>
  </si>
  <si>
    <t>Kryt spoje</t>
  </si>
  <si>
    <t>176</t>
  </si>
  <si>
    <t>KT05</t>
  </si>
  <si>
    <t>Přepážka 70 mm</t>
  </si>
  <si>
    <t>177</t>
  </si>
  <si>
    <t>KT06</t>
  </si>
  <si>
    <t>Trubka ohebná PVC volně nebo pod omítkou 32 mm</t>
  </si>
  <si>
    <t>178</t>
  </si>
  <si>
    <t>KT07</t>
  </si>
  <si>
    <t>Trubka ohebná PVC volně nebo pod omítkou 29 mm</t>
  </si>
  <si>
    <t>179</t>
  </si>
  <si>
    <t>KT08</t>
  </si>
  <si>
    <t>Trubka ohebná PVC volně nebo pod omítkou 36 mm</t>
  </si>
  <si>
    <t>180</t>
  </si>
  <si>
    <t>KT09</t>
  </si>
  <si>
    <t>LV 20x20_HD</t>
  </si>
  <si>
    <t>181</t>
  </si>
  <si>
    <t>KT10</t>
  </si>
  <si>
    <t>LV 40x20_HD</t>
  </si>
  <si>
    <t>182</t>
  </si>
  <si>
    <t>KT11</t>
  </si>
  <si>
    <t>Krabice KPRL 68-70/LD univerzální do sádrokartonu</t>
  </si>
  <si>
    <t>183</t>
  </si>
  <si>
    <t>KT12</t>
  </si>
  <si>
    <t>Krabice přístrojová KUP68, hluboká,</t>
  </si>
  <si>
    <t>184</t>
  </si>
  <si>
    <t>KT13</t>
  </si>
  <si>
    <t>CYKY  3CX2,5</t>
  </si>
  <si>
    <t>185</t>
  </si>
  <si>
    <t>KT14</t>
  </si>
  <si>
    <t>CY 16 ZEL. ZLUTY</t>
  </si>
  <si>
    <t>186</t>
  </si>
  <si>
    <t>KT15</t>
  </si>
  <si>
    <t>Plastové příchytky na strop/zeď, pro max 20 kabelů do pr. 10mm, včetně hmoždinky a vrutu</t>
  </si>
  <si>
    <t>187</t>
  </si>
  <si>
    <t>KT16</t>
  </si>
  <si>
    <t>Plastové příchytky na strop/zeď, pro max 6 kabelů do pr. 10mm, včetně hmoždinky a vrutu</t>
  </si>
  <si>
    <t>188</t>
  </si>
  <si>
    <t>KT17</t>
  </si>
  <si>
    <t>Stahovací pásky, šíře 4mm, délka 200mm, bal=100ks</t>
  </si>
  <si>
    <t>bal.</t>
  </si>
  <si>
    <t>189</t>
  </si>
  <si>
    <t>KT18</t>
  </si>
  <si>
    <t>Hmoždinka do betonu 8mm</t>
  </si>
  <si>
    <t>190</t>
  </si>
  <si>
    <t>KT19</t>
  </si>
  <si>
    <t>Hmoždinka do SVD 8 mm</t>
  </si>
  <si>
    <t>191</t>
  </si>
  <si>
    <t>KT20</t>
  </si>
  <si>
    <t>Požární ucpávky dle PBŘ</t>
  </si>
  <si>
    <t>m2</t>
  </si>
  <si>
    <t>192</t>
  </si>
  <si>
    <t>KT21</t>
  </si>
  <si>
    <t>Průraz D=6cm, SDK konstrukce</t>
  </si>
  <si>
    <t>193</t>
  </si>
  <si>
    <t>KT22</t>
  </si>
  <si>
    <t>Průraz D=6cm, beton 45cm</t>
  </si>
  <si>
    <t>194</t>
  </si>
  <si>
    <t>KT23</t>
  </si>
  <si>
    <t>195</t>
  </si>
  <si>
    <t>KT24</t>
  </si>
  <si>
    <t>196</t>
  </si>
  <si>
    <t>KT25</t>
  </si>
  <si>
    <t>Stavební výpomoce KT</t>
  </si>
  <si>
    <t>2227</t>
  </si>
  <si>
    <t>Kamerový systém - CCTV</t>
  </si>
  <si>
    <t>197</t>
  </si>
  <si>
    <t>CCTV01</t>
  </si>
  <si>
    <t>Kamera minidome 4MPx kamera pro vnější i vnitřní instalace, IR LED, 2.8-10mm objektiv, IP67, IK10, MicroSD</t>
  </si>
  <si>
    <t>2227_</t>
  </si>
  <si>
    <t>198</t>
  </si>
  <si>
    <t>CCTV02</t>
  </si>
  <si>
    <t>Montážní box</t>
  </si>
  <si>
    <t>199</t>
  </si>
  <si>
    <t>CCTV03</t>
  </si>
  <si>
    <t>DVR -8ch.@8Mpx, max. 200Mbps, 8xPoE, 2x pozice pro HDD do 8TB, VGA/HDMI, SMART, LAN, 1U</t>
  </si>
  <si>
    <t>záznamové zařízení; D+M</t>
  </si>
  <si>
    <t>200</t>
  </si>
  <si>
    <t>CCTV04</t>
  </si>
  <si>
    <t>přídavný HDD 4.0TB, SATA-6G, 5900rpm</t>
  </si>
  <si>
    <t>201</t>
  </si>
  <si>
    <t>CCTV05</t>
  </si>
  <si>
    <t>Uživatelský SW - 3 licence (dodávka zdarma, pouze instalace)</t>
  </si>
  <si>
    <t>záznamové zařízení</t>
  </si>
  <si>
    <t>202</t>
  </si>
  <si>
    <t>CCTV06</t>
  </si>
  <si>
    <t>203</t>
  </si>
  <si>
    <t>CCTV07</t>
  </si>
  <si>
    <t>204</t>
  </si>
  <si>
    <t>CCTV08</t>
  </si>
  <si>
    <t>Drobný elektroinstalační materiál (konektory, …)</t>
  </si>
  <si>
    <t>kpl.</t>
  </si>
  <si>
    <t>205</t>
  </si>
  <si>
    <t>CCTV09</t>
  </si>
  <si>
    <t>HZS (kamerové zkoušky)</t>
  </si>
  <si>
    <t>206</t>
  </si>
  <si>
    <t>CCTV10</t>
  </si>
  <si>
    <t>207</t>
  </si>
  <si>
    <t>CCTV11</t>
  </si>
  <si>
    <t>208</t>
  </si>
  <si>
    <t>CCTV12</t>
  </si>
  <si>
    <t>Zaškolení obsluhy, odzkoušení systému</t>
  </si>
  <si>
    <t>Zdi podpěrné a volné</t>
  </si>
  <si>
    <t>209</t>
  </si>
  <si>
    <t>317121251R00</t>
  </si>
  <si>
    <t>Montáž ŽB překladů do 180 cm dodatečně do rýh</t>
  </si>
  <si>
    <t>RTS II / 2023</t>
  </si>
  <si>
    <t>31_</t>
  </si>
  <si>
    <t>SO-01_3_</t>
  </si>
  <si>
    <t>přemístění stávajících (posunutí dveří 3NP)</t>
  </si>
  <si>
    <t>210</t>
  </si>
  <si>
    <t>310238211RT1</t>
  </si>
  <si>
    <t>Zazdívka otvorů plochy do 1 m2 cihlami na MVC</t>
  </si>
  <si>
    <t>m3</t>
  </si>
  <si>
    <t>s použitím suché maltové směsi</t>
  </si>
  <si>
    <t>0,3*2,35*0,6</t>
  </si>
  <si>
    <t>211</t>
  </si>
  <si>
    <t>311231124R00</t>
  </si>
  <si>
    <t>Zdivo nosné cihelné z cihel pálených 290 mm P25 na maltu vápenocementovou 2,5 MPa</t>
  </si>
  <si>
    <t>1,99*0,53</t>
  </si>
  <si>
    <t>dozdívky obvod stěny rizalitu</t>
  </si>
  <si>
    <t>Sloupy a pilíře, stožáry a rámové stojky</t>
  </si>
  <si>
    <t>212</t>
  </si>
  <si>
    <t>331231124R00</t>
  </si>
  <si>
    <t>Zdivo pilířů cihelné z cihel pálených 290 mm P25 na maltu vápenocementovou</t>
  </si>
  <si>
    <t>33_</t>
  </si>
  <si>
    <t>2*0,3*0,3*0,35</t>
  </si>
  <si>
    <t>rizalit podezdění IPE č.160</t>
  </si>
  <si>
    <t>0,45*2,0*0,3</t>
  </si>
  <si>
    <t>podezdění U300/3</t>
  </si>
  <si>
    <t>Stěny a příčky</t>
  </si>
  <si>
    <t>213</t>
  </si>
  <si>
    <t>342111122RS1</t>
  </si>
  <si>
    <t>Příčka SDVK tl. 75 mm, ocel. kce,1x opláštěná deskami 12,5 mm</t>
  </si>
  <si>
    <t>34_</t>
  </si>
  <si>
    <t>izolace miner.tl. 40 mm, objem. hmotnost 16 kg/m3</t>
  </si>
  <si>
    <t>13,8</t>
  </si>
  <si>
    <t>generovaná výměra</t>
  </si>
  <si>
    <t>214</t>
  </si>
  <si>
    <t>342111322RT4</t>
  </si>
  <si>
    <t>Příčka SDVK tl.100 mm,ocel.kce,1x opláštěná deskami 12,5 mm</t>
  </si>
  <si>
    <t>izolace miner.tl. 60 mm, objem. hmotnost 50 kg/m3</t>
  </si>
  <si>
    <t>82,5</t>
  </si>
  <si>
    <t>215</t>
  </si>
  <si>
    <t>342090111R00</t>
  </si>
  <si>
    <t>Úprava SDVK příčky pro zřízení dveří 1kř do 25 kg, profily CW 50, 1x opláštěné</t>
  </si>
  <si>
    <t>216</t>
  </si>
  <si>
    <t>342090121R00</t>
  </si>
  <si>
    <t>Úprava SDVK příčky pro zřízení dveří 1kř do 25 kg, profily CW 75, 1x opláštěné</t>
  </si>
  <si>
    <t>217</t>
  </si>
  <si>
    <t>342090132R00</t>
  </si>
  <si>
    <t>Úprava SDVK příčky pro zřízení dveří 1kř do 25 kg, profily CW 100, 2x opláštěné</t>
  </si>
  <si>
    <t>218</t>
  </si>
  <si>
    <t>342090912R00</t>
  </si>
  <si>
    <t>Úprava SDVK příčky pro zřízení dveří 2kř do 200 kg, profily UA 100, 2x opláštěné</t>
  </si>
  <si>
    <t>2kř.dveře</t>
  </si>
  <si>
    <t>pouzdro posuvné dveře</t>
  </si>
  <si>
    <t>219</t>
  </si>
  <si>
    <t>342261213RS4</t>
  </si>
  <si>
    <t>Příčka SDK. ocel.kce, 2x oplášť. tl.150 mm</t>
  </si>
  <si>
    <t>desky DFRIEH2 12,5 mm, minerál tl.8 cm</t>
  </si>
  <si>
    <t>254,9</t>
  </si>
  <si>
    <t>220</t>
  </si>
  <si>
    <t>342262112RS4</t>
  </si>
  <si>
    <t>Příčka sádrokart. dvoj. oc. kce, 2x opl. tl.200 mm</t>
  </si>
  <si>
    <t>desky DFRIEH2 tl. 12,5 mm, minerál tl. 2x6 cm</t>
  </si>
  <si>
    <t>221</t>
  </si>
  <si>
    <t>342262113RS4</t>
  </si>
  <si>
    <t>Příčka sádrokart. dvoj. oc. kce, 2x opl. tl.250 mm</t>
  </si>
  <si>
    <t>desky DFRIEH2.tl.12,5 mm, minerál tl. 2x8 cm</t>
  </si>
  <si>
    <t>3,54</t>
  </si>
  <si>
    <t>222</t>
  </si>
  <si>
    <t>Příčka sádrokart. dvoj. oc. kce, 2x opl. tl.255 mm</t>
  </si>
  <si>
    <t>223</t>
  </si>
  <si>
    <t>342263990RD2</t>
  </si>
  <si>
    <t>Příplatek k příčce sádrokart. za desku sádrovláknitou  tl. 12,5 mm (příčky tl.150, 200, 250, 255mm)</t>
  </si>
  <si>
    <t>na obou stranách, nebo z jedné dvojitě</t>
  </si>
  <si>
    <t>příčka tl.150</t>
  </si>
  <si>
    <t>příčka tl.200</t>
  </si>
  <si>
    <t>Příčka tl.250</t>
  </si>
  <si>
    <t>příčka tl.255</t>
  </si>
  <si>
    <t>224</t>
  </si>
  <si>
    <t>342263996R00</t>
  </si>
  <si>
    <t>Příplatek k příčce sádrokart. za izolaci 8 - 10 cm</t>
  </si>
  <si>
    <t>53*2</t>
  </si>
  <si>
    <t>225</t>
  </si>
  <si>
    <t>342265132RT8</t>
  </si>
  <si>
    <t>Úprava podkroví sádrokarton. na ocel. rošt vodor.</t>
  </si>
  <si>
    <t>desky DFRIEH2 tl. 12,5 mm, bez izolace</t>
  </si>
  <si>
    <t>226,3</t>
  </si>
  <si>
    <t>generovaná</t>
  </si>
  <si>
    <t>226</t>
  </si>
  <si>
    <t>342265122RT8</t>
  </si>
  <si>
    <t>Úprava podkroví sádrokarton. na ocel. rošt, šikmá</t>
  </si>
  <si>
    <t>136,8</t>
  </si>
  <si>
    <t>227</t>
  </si>
  <si>
    <t>342263990RD1</t>
  </si>
  <si>
    <t>Příplatek k podhledu sádrokart. za desku sádrovláknitou  tl. 12,5 mm</t>
  </si>
  <si>
    <t>na jedné straně</t>
  </si>
  <si>
    <t>136,6+226,3</t>
  </si>
  <si>
    <t>228</t>
  </si>
  <si>
    <t>416091071RT1</t>
  </si>
  <si>
    <t>Příplatek za opláštění ostění střešního okna</t>
  </si>
  <si>
    <t>včetně dodávky materiálu</t>
  </si>
  <si>
    <t>229</t>
  </si>
  <si>
    <t>347016114R00</t>
  </si>
  <si>
    <t>Předstěna SDK,oc.kce CW 50,1x12,5 mm, bez izol</t>
  </si>
  <si>
    <t>předstěna tl.30-40cm</t>
  </si>
  <si>
    <t>3,1+5,3</t>
  </si>
  <si>
    <t>230</t>
  </si>
  <si>
    <t>347014114R00</t>
  </si>
  <si>
    <t>Předstěna SDK, ocel. kce CD+přímý závěs, 1 x 12,5 mm, bez izolace</t>
  </si>
  <si>
    <t>předstěna tl.4,5-20 cm</t>
  </si>
  <si>
    <t>55,8+30,7</t>
  </si>
  <si>
    <t>tl.do 50mm</t>
  </si>
  <si>
    <t>2,8+4,3+3,1+4,7</t>
  </si>
  <si>
    <t>tl.do 100mm</t>
  </si>
  <si>
    <t>10,3</t>
  </si>
  <si>
    <t>tl.do 150mm</t>
  </si>
  <si>
    <t>1,5+1,5</t>
  </si>
  <si>
    <t>tl.do 200mm</t>
  </si>
  <si>
    <t>231</t>
  </si>
  <si>
    <t>Příplatek k předstěně sádrokart. za desku sádrovláknitou  tl. 12,5 mm</t>
  </si>
  <si>
    <t>8,4+110,6</t>
  </si>
  <si>
    <t>232</t>
  </si>
  <si>
    <t>342091043R00</t>
  </si>
  <si>
    <t>Příplatek za nadstandardní povrchovou úpravu Q3</t>
  </si>
  <si>
    <t>předstěny</t>
  </si>
  <si>
    <t>13,8*2</t>
  </si>
  <si>
    <t>SDK 75</t>
  </si>
  <si>
    <t>82,5*2</t>
  </si>
  <si>
    <t>SDK 100</t>
  </si>
  <si>
    <t>257,5*2</t>
  </si>
  <si>
    <t>SDK 150</t>
  </si>
  <si>
    <t>SDK 255</t>
  </si>
  <si>
    <t>šikminy</t>
  </si>
  <si>
    <t>vodorovný podhled</t>
  </si>
  <si>
    <t>233</t>
  </si>
  <si>
    <t>767137101R00</t>
  </si>
  <si>
    <t>Dod.+mont.roštu příček sádrokart., H 330,rozteč 60 cm - CW, UW 100</t>
  </si>
  <si>
    <t>půdní nadezdívka</t>
  </si>
  <si>
    <t>55,7</t>
  </si>
  <si>
    <t>Stropy a stropní konstrukce (pro pozemní stavby)</t>
  </si>
  <si>
    <t>234</t>
  </si>
  <si>
    <t>417321315R00</t>
  </si>
  <si>
    <t>Ztužující pásy a věnce z betonu železového C 20/25</t>
  </si>
  <si>
    <t>41_</t>
  </si>
  <si>
    <t>SO-01_4_</t>
  </si>
  <si>
    <t>13*0,55*0,2</t>
  </si>
  <si>
    <t>235</t>
  </si>
  <si>
    <t>417351115R00</t>
  </si>
  <si>
    <t>Bednění ztužujících pásů a věnců - zřízení</t>
  </si>
  <si>
    <t>5,61</t>
  </si>
  <si>
    <t>rizalit (generovaná výměra)</t>
  </si>
  <si>
    <t>236</t>
  </si>
  <si>
    <t>417351116R00</t>
  </si>
  <si>
    <t>Bednění ztužujících pásů a věnců - odstranění</t>
  </si>
  <si>
    <t>237</t>
  </si>
  <si>
    <t>417361821R00</t>
  </si>
  <si>
    <t>Výztuž ztužujících pásů a věnců z oceli B500B (10 505)</t>
  </si>
  <si>
    <t>t</t>
  </si>
  <si>
    <t>70 kg/m3 betonu</t>
  </si>
  <si>
    <t>1,43*0,070</t>
  </si>
  <si>
    <t>Úprava povrchů vnitřní</t>
  </si>
  <si>
    <t>238</t>
  </si>
  <si>
    <t>612421637R00</t>
  </si>
  <si>
    <t>Omítka vnitřní zdiva, MVC, štuková</t>
  </si>
  <si>
    <t>61_</t>
  </si>
  <si>
    <t>SO-01_6_</t>
  </si>
  <si>
    <t>8,3</t>
  </si>
  <si>
    <t>239</t>
  </si>
  <si>
    <t>612401391RT2</t>
  </si>
  <si>
    <t>Omítka malých ploch vnitřních stěn do 1 m2 MVC štukovou omítkou</t>
  </si>
  <si>
    <t>0,7</t>
  </si>
  <si>
    <t>240</t>
  </si>
  <si>
    <t>612409991RT2</t>
  </si>
  <si>
    <t>Začištění omítek kolem oken,dveří apod.</t>
  </si>
  <si>
    <t>1,45+2,35*2</t>
  </si>
  <si>
    <t>Úprava povrchů vnější</t>
  </si>
  <si>
    <t>241</t>
  </si>
  <si>
    <t>622312353RV1</t>
  </si>
  <si>
    <t>Dod.+mont.zatepl.syst.ETICS, komplet vč.kovových profilů zakončený stěrkou s výztužnou tkanino - ostění</t>
  </si>
  <si>
    <t>62_</t>
  </si>
  <si>
    <t>tepel. izol.- šedý polystyren s grafitem tl.30 mm</t>
  </si>
  <si>
    <t>1,35*0,35*2</t>
  </si>
  <si>
    <t>242</t>
  </si>
  <si>
    <t>622312334RV1</t>
  </si>
  <si>
    <t>Dod.+mont.zatepl.syst.ETICS, komplet vč.kovových profilů zakončený stěrkou s výztužnou tkaninou</t>
  </si>
  <si>
    <t>tepel. izol.- šedý polystyren s grafitem tl.140 mm</t>
  </si>
  <si>
    <t>0,3*1,35</t>
  </si>
  <si>
    <t>243</t>
  </si>
  <si>
    <t>781775008RT3</t>
  </si>
  <si>
    <t>Obklad vnější keram. režný hladký 250x65, tmel</t>
  </si>
  <si>
    <t>mrazuvzdorné flexibil.lepidlo, spár.hmota</t>
  </si>
  <si>
    <t>0,94+0,41</t>
  </si>
  <si>
    <t>244</t>
  </si>
  <si>
    <t>596900013</t>
  </si>
  <si>
    <t>Pásek obkladový pálený 290x65mm vč rohových tvarovek (ztratné 5%)</t>
  </si>
  <si>
    <t>1,35</t>
  </si>
  <si>
    <t>;ztratné 5%; 0,0675</t>
  </si>
  <si>
    <t>245</t>
  </si>
  <si>
    <t>622312334RT1</t>
  </si>
  <si>
    <t>Dod.+mont. zatepl.syst.ETICS, komplet vč.kovových profilů výztužné tkaniny  a povrchové úpravy omítkou silikonovou</t>
  </si>
  <si>
    <t>tepel. izol.- šedý polystyren s grafitem tl.140 mm; povrchová úprava-probarvená pastovitá silikonová omítka slož.3-4 (velikost zrna 1,5mm) (od</t>
  </si>
  <si>
    <t>0,3*1</t>
  </si>
  <si>
    <t>246</t>
  </si>
  <si>
    <t>622312353RT1</t>
  </si>
  <si>
    <t>Dod.+mont. zatepl.syst.ETICS, komplet vč.kovových profilů výztužné tkaniny  a povrchové úpravy omítkou silikonovou  - ostění</t>
  </si>
  <si>
    <t>tepel. izol.- šedý polystyren s grafitem tl. 30 mm</t>
  </si>
  <si>
    <t>0+0,35*1*2+1,45*0,35</t>
  </si>
  <si>
    <t>ostění z omítkou</t>
  </si>
  <si>
    <t>247</t>
  </si>
  <si>
    <t>622990.001</t>
  </si>
  <si>
    <t>Profilování říms, opravy a doplnění oplechování, oprava podlahy</t>
  </si>
  <si>
    <t>kompl.</t>
  </si>
  <si>
    <t>Podlahy a podlahové konstrukce</t>
  </si>
  <si>
    <t>248</t>
  </si>
  <si>
    <t>635111011R00</t>
  </si>
  <si>
    <t>Podlaha -sádrovláknité desky 10 +10 mm</t>
  </si>
  <si>
    <t>63_</t>
  </si>
  <si>
    <t>52,9</t>
  </si>
  <si>
    <t>249</t>
  </si>
  <si>
    <t>635111022R00</t>
  </si>
  <si>
    <t>Podlaha sádrovláknité desky 12,5 +12,5 mm</t>
  </si>
  <si>
    <t>255,8</t>
  </si>
  <si>
    <t>250</t>
  </si>
  <si>
    <t>632419104R00</t>
  </si>
  <si>
    <t>Samonivelač. stěrka, ruční zpracování tl.0-4 mm</t>
  </si>
  <si>
    <t>včetně přebroušení</t>
  </si>
  <si>
    <t>5,9+12,6</t>
  </si>
  <si>
    <t>251</t>
  </si>
  <si>
    <t>631312711R00</t>
  </si>
  <si>
    <t>Mazanina betonová tl. 5 - 8 cm C 25/30</t>
  </si>
  <si>
    <t>5,9*0,074</t>
  </si>
  <si>
    <t>252</t>
  </si>
  <si>
    <t>631361921RT1</t>
  </si>
  <si>
    <t>Výztuž mazanin svařovanou sítí</t>
  </si>
  <si>
    <t>KA 16, drát d 4,0 mm, oko 100 x 100 mm</t>
  </si>
  <si>
    <t>5,9*0,002*1,1</t>
  </si>
  <si>
    <t>253</t>
  </si>
  <si>
    <t>631591211.001</t>
  </si>
  <si>
    <t>Vyrovnávací násyp pod podlahy ze sádrovláknitých desek tl.do 10mm D+M</t>
  </si>
  <si>
    <t>speciální sušený minerální porobetonový granulát</t>
  </si>
  <si>
    <t>292,7</t>
  </si>
  <si>
    <t>254</t>
  </si>
  <si>
    <t>632451064R00</t>
  </si>
  <si>
    <t>Potěr pískocementový, min. 25 MPa, tl. 40 mm</t>
  </si>
  <si>
    <t>hlazený ocel.hladítkem</t>
  </si>
  <si>
    <t>(32,2+6,8)*0,65+9,0*0,6</t>
  </si>
  <si>
    <t>kotvení C profilů 200/2,5mm (podlaha)</t>
  </si>
  <si>
    <t>Výplně otvorů</t>
  </si>
  <si>
    <t>255</t>
  </si>
  <si>
    <t>642942212R00</t>
  </si>
  <si>
    <t>Osazení zárubně do sádrokarton. příčky tl. 100 mm</t>
  </si>
  <si>
    <t>64_</t>
  </si>
  <si>
    <t>7+2</t>
  </si>
  <si>
    <t>256</t>
  </si>
  <si>
    <t>553308110</t>
  </si>
  <si>
    <t>Zárubeň ocelová do SDK 100 DV 700x1970x100 L,P</t>
  </si>
  <si>
    <t>257</t>
  </si>
  <si>
    <t>553308120</t>
  </si>
  <si>
    <t>Zárubeň ocelová do SDK 100 DV 800x1970x100 L,P</t>
  </si>
  <si>
    <t>258</t>
  </si>
  <si>
    <t>642942214R00</t>
  </si>
  <si>
    <t>Osazení zárubně do sádrokarton. příčky tl. 150 mm</t>
  </si>
  <si>
    <t>3+9+1</t>
  </si>
  <si>
    <t>259</t>
  </si>
  <si>
    <t>55330475</t>
  </si>
  <si>
    <t>Zárubeň ocelová do SDK 150   800x1970x150 L,P</t>
  </si>
  <si>
    <t>260</t>
  </si>
  <si>
    <t>55330477</t>
  </si>
  <si>
    <t>Zárubeň ocelová do SDK 150   900x1970x150 L,P</t>
  </si>
  <si>
    <t>261</t>
  </si>
  <si>
    <t>55330483</t>
  </si>
  <si>
    <t>Zárubeň ocelová do SDK150 DV 2kř.1800x1970x150</t>
  </si>
  <si>
    <t>262</t>
  </si>
  <si>
    <t>642941211RT3</t>
  </si>
  <si>
    <t>Pouzdro pro posuvné dveře jednostranné, do SDK D+M</t>
  </si>
  <si>
    <t>jednostranné pouzdro 800/1970 mm</t>
  </si>
  <si>
    <t>263</t>
  </si>
  <si>
    <t>642944114.001</t>
  </si>
  <si>
    <t>Zárubeň ocel. 2rámová, šroubovaná,tl.stěny 150mm D+M</t>
  </si>
  <si>
    <t xml:space="preserve">včetně dodávky zárubně, š průchodu 800mm-posuvné dveře do pouzdra
</t>
  </si>
  <si>
    <t>711</t>
  </si>
  <si>
    <t>Izolace proti vodě a vlhkosti</t>
  </si>
  <si>
    <t>264</t>
  </si>
  <si>
    <t>711212001RT2</t>
  </si>
  <si>
    <t>Dod.+mont.stěrkové hydroizolační těsnící hmoty proti vlhkosti -vodorovná; min.tl.izolace 2mm</t>
  </si>
  <si>
    <t>711_</t>
  </si>
  <si>
    <t>SO-01_71_</t>
  </si>
  <si>
    <t>2,56</t>
  </si>
  <si>
    <t>404</t>
  </si>
  <si>
    <t>2,67</t>
  </si>
  <si>
    <t>405</t>
  </si>
  <si>
    <t>10,2</t>
  </si>
  <si>
    <t>411</t>
  </si>
  <si>
    <t>2,2</t>
  </si>
  <si>
    <t>424</t>
  </si>
  <si>
    <t>265</t>
  </si>
  <si>
    <t>Dod.+mont.stěrkové hydroizolační těsnící hmoty proti vlhkosti -svislá; min.tl.izolace 2mm</t>
  </si>
  <si>
    <t>0,9*3*2</t>
  </si>
  <si>
    <t>266</t>
  </si>
  <si>
    <t>711212601RT2</t>
  </si>
  <si>
    <t>Těsnící pás do spoje podlaha - stěna, stěna-stěna</t>
  </si>
  <si>
    <t>hydroizolace hygien.zařízení+techn.místnosti vč.vnitřních a vnějších rohů</t>
  </si>
  <si>
    <t>404, 405</t>
  </si>
  <si>
    <t>13,2</t>
  </si>
  <si>
    <t>5,8</t>
  </si>
  <si>
    <t>267</t>
  </si>
  <si>
    <t>998711103R00</t>
  </si>
  <si>
    <t>Přesun hmot pro izolace proti vodě, výšky do 60 m</t>
  </si>
  <si>
    <t>0,035</t>
  </si>
  <si>
    <t>713</t>
  </si>
  <si>
    <t>Izolace tepelné</t>
  </si>
  <si>
    <t>268</t>
  </si>
  <si>
    <t>713102123.001</t>
  </si>
  <si>
    <t>Odstranění tepelné izolace podlah, volně uložené, z desek minerálních, tl. nad 200 mm</t>
  </si>
  <si>
    <t>713_</t>
  </si>
  <si>
    <t>dvě vrstvy 140+160mm</t>
  </si>
  <si>
    <t>367,7</t>
  </si>
  <si>
    <t>269</t>
  </si>
  <si>
    <t>713121111RT1</t>
  </si>
  <si>
    <t>Montáž tepelné, zvukové izolace podlah na sucho, jednovrstvá</t>
  </si>
  <si>
    <t>materiál ve specifikaci</t>
  </si>
  <si>
    <t>7,42</t>
  </si>
  <si>
    <t>EPS</t>
  </si>
  <si>
    <t>dřevovláknitá 10mm</t>
  </si>
  <si>
    <t>dřevovláknitá 16mm</t>
  </si>
  <si>
    <t>270</t>
  </si>
  <si>
    <t>60715064</t>
  </si>
  <si>
    <t>Deska dřevovláknitá.16x1200x2500mm, kročej.izoplace (ztratné 5%)</t>
  </si>
  <si>
    <t>RTS II / 2022</t>
  </si>
  <si>
    <t>;ztratné 5%; 12,79</t>
  </si>
  <si>
    <t>271</t>
  </si>
  <si>
    <t>60715061</t>
  </si>
  <si>
    <t>Deska dřevovláknitá 10x1200x2500mm (ztratné 5%)</t>
  </si>
  <si>
    <t>;ztratné 5%; 2,645</t>
  </si>
  <si>
    <t>272</t>
  </si>
  <si>
    <t>28376074</t>
  </si>
  <si>
    <t>Deska izolační kročejová EPS T 6500 tl. 50 mm (ztratné 5%)</t>
  </si>
  <si>
    <t>;ztratné 5%; 0,371</t>
  </si>
  <si>
    <t>273</t>
  </si>
  <si>
    <t>713121121R00</t>
  </si>
  <si>
    <t>Montáž tepelné izolace podlah na sucho, dvouvrstvá</t>
  </si>
  <si>
    <t xml:space="preserve">zpětné uložení TI z minerál.vlny na stáv.strop
</t>
  </si>
  <si>
    <t>367,70</t>
  </si>
  <si>
    <t>274</t>
  </si>
  <si>
    <t>713111231R00</t>
  </si>
  <si>
    <t>Montáž parozábrany, stropů shora s přelepením spojů</t>
  </si>
  <si>
    <t>zpětná montáž parozábrany na stáv.strop</t>
  </si>
  <si>
    <t>275</t>
  </si>
  <si>
    <t>67352330</t>
  </si>
  <si>
    <t>Fólie čtyřvrstvá speciál parotěsná reflexní s Al vrstvou (ztratné 10%)</t>
  </si>
  <si>
    <t>;ztratné 10%; 36,77</t>
  </si>
  <si>
    <t>276</t>
  </si>
  <si>
    <t>713111262.001</t>
  </si>
  <si>
    <t>Provedení utěsnění prostupu kabelu parozábranou, pružný samolepící průchod D+M</t>
  </si>
  <si>
    <t>prostupy prům do 30 mm</t>
  </si>
  <si>
    <t>277</t>
  </si>
  <si>
    <t>713111262.002</t>
  </si>
  <si>
    <t>Provedení utěsnění prostupu parozábranou, pružnou páskou D+M</t>
  </si>
  <si>
    <t>prostupy prům do 30-100mm</t>
  </si>
  <si>
    <t>VZT DN 100</t>
  </si>
  <si>
    <t>VZT-S DN 100</t>
  </si>
  <si>
    <t>ZTI DN100</t>
  </si>
  <si>
    <t>ZTI DN75</t>
  </si>
  <si>
    <t>ZTI DN40</t>
  </si>
  <si>
    <t>278</t>
  </si>
  <si>
    <t>713111262.003</t>
  </si>
  <si>
    <t>prostupy prům do 100-200mm</t>
  </si>
  <si>
    <t>VZT DN125</t>
  </si>
  <si>
    <t>VZT DN150</t>
  </si>
  <si>
    <t>VZT DN 200</t>
  </si>
  <si>
    <t>279</t>
  </si>
  <si>
    <t>713111262.004</t>
  </si>
  <si>
    <t>prostup TČ prům 600 mm</t>
  </si>
  <si>
    <t>strop</t>
  </si>
  <si>
    <t>stěna</t>
  </si>
  <si>
    <t>280</t>
  </si>
  <si>
    <t>713191120.001</t>
  </si>
  <si>
    <t>Izolace tepelné, překrytí pásem geotextílie</t>
  </si>
  <si>
    <t>247,7</t>
  </si>
  <si>
    <t>281</t>
  </si>
  <si>
    <t>69366198</t>
  </si>
  <si>
    <t>Geotextilie 300 g/m2 š. 200cm 100% PP (ztratné 10%)</t>
  </si>
  <si>
    <t>;ztratné 10%; 24,77</t>
  </si>
  <si>
    <t>282</t>
  </si>
  <si>
    <t>713900001</t>
  </si>
  <si>
    <t>Demontáž zakrytí tepel.izol půdy geotextílií</t>
  </si>
  <si>
    <t>283</t>
  </si>
  <si>
    <t>Demontáž volně položené parozábrany pod  tepel.izol půdy</t>
  </si>
  <si>
    <t>ke zpětnému použití</t>
  </si>
  <si>
    <t>284</t>
  </si>
  <si>
    <t>713131130R00</t>
  </si>
  <si>
    <t>Montáž tepelné izolace stěn vložením do konstrukce</t>
  </si>
  <si>
    <t>61-11,02</t>
  </si>
  <si>
    <t>rizalit 80mm</t>
  </si>
  <si>
    <t>36,8</t>
  </si>
  <si>
    <t>rizalit 160mm</t>
  </si>
  <si>
    <t>69,3</t>
  </si>
  <si>
    <t>půdní nadezdívka 120mm</t>
  </si>
  <si>
    <t>11,02</t>
  </si>
  <si>
    <t>rizalit 120mm</t>
  </si>
  <si>
    <t>půdní nadezdívka 100mm</t>
  </si>
  <si>
    <t>285</t>
  </si>
  <si>
    <t>63151397</t>
  </si>
  <si>
    <t>Deska izolační z minerál.vláken (lambda=0,035 W.m-1.K-1) tl. 160 mm  (ztratné 3%)</t>
  </si>
  <si>
    <t>;ztratné 3%; 1,104</t>
  </si>
  <si>
    <t>286</t>
  </si>
  <si>
    <t>63151394</t>
  </si>
  <si>
    <t>Deska izolační z minerál.vláken (lambda=0,035 W.m-1.K-1) tl. 100 mm  (ztratné 3%)</t>
  </si>
  <si>
    <t>;ztratné 3%; 1,671</t>
  </si>
  <si>
    <t>287</t>
  </si>
  <si>
    <t>63151395</t>
  </si>
  <si>
    <t>Deska izolační z minerál.vláken (lambda=0,035 W.m-1.K-1) tl. 120 mm  (ztratné 3%)</t>
  </si>
  <si>
    <t>69,3+11,02</t>
  </si>
  <si>
    <t>;ztratné 3%; 2,4096</t>
  </si>
  <si>
    <t>288</t>
  </si>
  <si>
    <t>63151393</t>
  </si>
  <si>
    <t>Deska izolační z minerál.vláken (lambda=0,035 W.m-1.K-1) tl. 80 mm  (ztratné 3%)</t>
  </si>
  <si>
    <t>;ztratné 3%; 1,5</t>
  </si>
  <si>
    <t>289</t>
  </si>
  <si>
    <t>713134211RK6</t>
  </si>
  <si>
    <t>Montáž parozábrany na stěny s přelepením spojů</t>
  </si>
  <si>
    <t>vč dodávky parotěsné zábrany s Al vrstvou, hmotnost 170g/m2</t>
  </si>
  <si>
    <t>55,70</t>
  </si>
  <si>
    <t>půdní nadezdívky</t>
  </si>
  <si>
    <t>příčka tl.255mm</t>
  </si>
  <si>
    <t>49,5</t>
  </si>
  <si>
    <t>rizalit</t>
  </si>
  <si>
    <t>290</t>
  </si>
  <si>
    <t>713111111RT2</t>
  </si>
  <si>
    <t>Montáž tepelné izolace stropů vrchem kladené, volně</t>
  </si>
  <si>
    <t>2 vrstvy - materiál ve specifikaci</t>
  </si>
  <si>
    <t>291</t>
  </si>
  <si>
    <t>631508593</t>
  </si>
  <si>
    <t>Pás izolační z minerální vlny  (lambda=0,035 W.m-1.K-1) tl.120 mm (ztratné 3%)</t>
  </si>
  <si>
    <t>;ztratné 3%; 7,431</t>
  </si>
  <si>
    <t>292</t>
  </si>
  <si>
    <t>631508595</t>
  </si>
  <si>
    <t>Pás izolační z minerální vlny  (lambda=0,035 W.m-1.K-1) tl.180 mm (ztratné 3%)</t>
  </si>
  <si>
    <t>293</t>
  </si>
  <si>
    <t>713111130RT2</t>
  </si>
  <si>
    <t>Montáž tepelné izolace stropů rovných spodem, vložená mezi krokve</t>
  </si>
  <si>
    <t>326,6/2</t>
  </si>
  <si>
    <t>294</t>
  </si>
  <si>
    <t>329,6</t>
  </si>
  <si>
    <t>;ztratné 3%; 9,888</t>
  </si>
  <si>
    <t>295</t>
  </si>
  <si>
    <t>713111211RK6</t>
  </si>
  <si>
    <t>Montáž parozábrany, krovů spodem s přelepením spojů</t>
  </si>
  <si>
    <t>413,4</t>
  </si>
  <si>
    <t>šikmé, rovné podhledy</t>
  </si>
  <si>
    <t>296</t>
  </si>
  <si>
    <t>713511321RT1</t>
  </si>
  <si>
    <t>Nátěr protipožární dřeva - požadavek R30 DP1</t>
  </si>
  <si>
    <t>nátěr bezbarvý-zpevňující+krycí nátěr</t>
  </si>
  <si>
    <t>(0,14+0,14)*2*80,8</t>
  </si>
  <si>
    <t>sloupky</t>
  </si>
  <si>
    <t>(0,065+0,145)*2*70,7</t>
  </si>
  <si>
    <t>kleštiny</t>
  </si>
  <si>
    <t>(0,1+0,13)*2*40,7</t>
  </si>
  <si>
    <t>pásky</t>
  </si>
  <si>
    <t>(0,14+0,17)*2*40,6</t>
  </si>
  <si>
    <t>vzpěry</t>
  </si>
  <si>
    <t>297</t>
  </si>
  <si>
    <t>713121118RT1</t>
  </si>
  <si>
    <t>Montáž dilatačního pásku podél stěn</t>
  </si>
  <si>
    <t>219,7+39,5+46,4</t>
  </si>
  <si>
    <t>298</t>
  </si>
  <si>
    <t>28375111</t>
  </si>
  <si>
    <t>Pásek dilatační okrajový EPS nebo PE š. 80mm tl. min.8mm Ztratné 3%)</t>
  </si>
  <si>
    <t>305,6</t>
  </si>
  <si>
    <t>;ztratné 3%; 9,168</t>
  </si>
  <si>
    <t>299</t>
  </si>
  <si>
    <t>713191100RT9</t>
  </si>
  <si>
    <t>Položení separační fólie</t>
  </si>
  <si>
    <t>včetně dodávky PE fólie</t>
  </si>
  <si>
    <t>7,5</t>
  </si>
  <si>
    <t>300</t>
  </si>
  <si>
    <t>713135114RU2</t>
  </si>
  <si>
    <t>Montáž difúzní fólie na stěny, samolepicí spoj</t>
  </si>
  <si>
    <t>včetně dodávky fólie (plošná hmotnost min.200g/m2; Sd max.0,15m)</t>
  </si>
  <si>
    <t>61,1</t>
  </si>
  <si>
    <t>301</t>
  </si>
  <si>
    <t>713463111</t>
  </si>
  <si>
    <t>Montáž izolace tepelné potrubí potrubními pouzdry bez úpravy staženými drátem 1x D do 100 mm</t>
  </si>
  <si>
    <t>ZTI</t>
  </si>
  <si>
    <t>302</t>
  </si>
  <si>
    <t>283771190</t>
  </si>
  <si>
    <t>izolace potrubí 45 x 13 mm</t>
  </si>
  <si>
    <t>303</t>
  </si>
  <si>
    <t>283771230</t>
  </si>
  <si>
    <t>izolace potrubí 54 x 13 mm</t>
  </si>
  <si>
    <t>304</t>
  </si>
  <si>
    <t>283770710</t>
  </si>
  <si>
    <t>izolace potrubí 76 x 13 mm</t>
  </si>
  <si>
    <t>305</t>
  </si>
  <si>
    <t>713463112</t>
  </si>
  <si>
    <t>Montáž izolace tepelné potrubí potrubními pouzdry bez úpravy staženými drátem 1x D přes 100 mm</t>
  </si>
  <si>
    <t>306</t>
  </si>
  <si>
    <t>283770780</t>
  </si>
  <si>
    <t>izolace potrubí 110 x 13 mm</t>
  </si>
  <si>
    <t>307</t>
  </si>
  <si>
    <t>UT</t>
  </si>
  <si>
    <t>308</t>
  </si>
  <si>
    <t>28377096</t>
  </si>
  <si>
    <t>izolace tepelná potrubí z pěnového polyetylenu 15 x 20 mm</t>
  </si>
  <si>
    <t>309</t>
  </si>
  <si>
    <t>28377106</t>
  </si>
  <si>
    <t>izolace tepelná potrubí z pěnového polyetylenu 18 x 20 mm</t>
  </si>
  <si>
    <t>310</t>
  </si>
  <si>
    <t>28377045</t>
  </si>
  <si>
    <t>izolace tepelná potrubí z pěnového polyetylenu 22 x 20 mm</t>
  </si>
  <si>
    <t>311</t>
  </si>
  <si>
    <t>28377049</t>
  </si>
  <si>
    <t>pouzdro izolační potrubní z pěnového polyetylenu 28/25 mm</t>
  </si>
  <si>
    <t>312</t>
  </si>
  <si>
    <t>28377054</t>
  </si>
  <si>
    <t>pouzdro izolační potrubní z pěnového polyetylenu 32/25mm</t>
  </si>
  <si>
    <t>313</t>
  </si>
  <si>
    <t>283771350</t>
  </si>
  <si>
    <t>páska samolepící na izolaci po 20 m</t>
  </si>
  <si>
    <t>314</t>
  </si>
  <si>
    <t>998713103R00</t>
  </si>
  <si>
    <t>Přesun hmot pro izolace tepelné, výšky do 24 m</t>
  </si>
  <si>
    <t>4,84</t>
  </si>
  <si>
    <t>celkem</t>
  </si>
  <si>
    <t>720</t>
  </si>
  <si>
    <t>HZS ZTI</t>
  </si>
  <si>
    <t>315</t>
  </si>
  <si>
    <t>HZS22121</t>
  </si>
  <si>
    <t>Hodinová zúčtovací sazba instalatér odborný-napojení na stávající rozvody</t>
  </si>
  <si>
    <t>720_</t>
  </si>
  <si>
    <t>SO-01_72_</t>
  </si>
  <si>
    <t>316</t>
  </si>
  <si>
    <t>28377119</t>
  </si>
  <si>
    <t>pouzdro izolační potrubní z pěnového polyetylenu 45/13mm</t>
  </si>
  <si>
    <t>317</t>
  </si>
  <si>
    <t>318</t>
  </si>
  <si>
    <t>HZS24913</t>
  </si>
  <si>
    <t>Hodinová zúčtovací sazba dělník zednických výpomocí -sekání drážek, prostupy atp.vč. zapravení</t>
  </si>
  <si>
    <t>721</t>
  </si>
  <si>
    <t>Vnitřní kanalizace</t>
  </si>
  <si>
    <t>319</t>
  </si>
  <si>
    <t>721174024</t>
  </si>
  <si>
    <t>Potrubí kanalizační z PP odpadní DN 75</t>
  </si>
  <si>
    <t>721_</t>
  </si>
  <si>
    <t>320</t>
  </si>
  <si>
    <t>721174025</t>
  </si>
  <si>
    <t>Potrubí kanalizační z PP odpadní DN 110</t>
  </si>
  <si>
    <t>321</t>
  </si>
  <si>
    <t>721174042</t>
  </si>
  <si>
    <t>Potrubí kanalizační z PP připojovací systém HT DN 40</t>
  </si>
  <si>
    <t>322</t>
  </si>
  <si>
    <t>721174043</t>
  </si>
  <si>
    <t>Potrubí kanalizační z PP připojovací systém HT DN 50</t>
  </si>
  <si>
    <t>323</t>
  </si>
  <si>
    <t>721174045</t>
  </si>
  <si>
    <t>Potrubí kanalizační z PP připojovací systém HT DN 100</t>
  </si>
  <si>
    <t>324</t>
  </si>
  <si>
    <t>721194104</t>
  </si>
  <si>
    <t>Vyvedení a upevnění odpadních výpustek DN 40</t>
  </si>
  <si>
    <t>325</t>
  </si>
  <si>
    <t>721194105</t>
  </si>
  <si>
    <t>Vyvedení a upevnění odpadních výpustek DN 50</t>
  </si>
  <si>
    <t>326</t>
  </si>
  <si>
    <t>721194109</t>
  </si>
  <si>
    <t>Vyvedení a upevnění odpadních výpustek DN 100</t>
  </si>
  <si>
    <t>327</t>
  </si>
  <si>
    <t>721211421</t>
  </si>
  <si>
    <t>Vpusť podlahová se svislým odtokem DN 50/75/110 mřížka nerez 115x115</t>
  </si>
  <si>
    <t>328</t>
  </si>
  <si>
    <t>7212265111</t>
  </si>
  <si>
    <t>Zápachová uzávěrka nástěnná kontrolovatelná -TČ, OV, AN, klima</t>
  </si>
  <si>
    <t>329</t>
  </si>
  <si>
    <t>7212265112</t>
  </si>
  <si>
    <t>Zápachová uzávěrka nástěnná pro VZT</t>
  </si>
  <si>
    <t>330</t>
  </si>
  <si>
    <t>721274124</t>
  </si>
  <si>
    <t>Přivzdušňovací ventil vnitřní odpadních potrubí DN 110</t>
  </si>
  <si>
    <t>331</t>
  </si>
  <si>
    <t>721274125</t>
  </si>
  <si>
    <t>Přivzdušňovací ventil vnitřní odpadních potrubí DN 75</t>
  </si>
  <si>
    <t>332</t>
  </si>
  <si>
    <t>721290111</t>
  </si>
  <si>
    <t>Zkouška těsnosti potrubí kanalizace vodou do DN 125</t>
  </si>
  <si>
    <t>333</t>
  </si>
  <si>
    <t>998721102</t>
  </si>
  <si>
    <t>Přesun hmot tonážní pro vnitřní kanalizace v objektech v do 12 m</t>
  </si>
  <si>
    <t>722</t>
  </si>
  <si>
    <t>Vnitřní vodovod</t>
  </si>
  <si>
    <t>334</t>
  </si>
  <si>
    <t>722130233</t>
  </si>
  <si>
    <t>Potrubí vodovodní ocelové závitové pozinkované svařované běžné DN 25</t>
  </si>
  <si>
    <t>722_</t>
  </si>
  <si>
    <t>335</t>
  </si>
  <si>
    <t>722174002</t>
  </si>
  <si>
    <t>Potrubí vodovodní plastové PPR svar polyfuze PN 16 D 20 x 2,8 mm</t>
  </si>
  <si>
    <t>336</t>
  </si>
  <si>
    <t>722174003</t>
  </si>
  <si>
    <t>Potrubí vodovodní plastové PPR svar polyfuze PN 16 D 25 x 3,5 mm</t>
  </si>
  <si>
    <t>337</t>
  </si>
  <si>
    <t>722174004</t>
  </si>
  <si>
    <t>Potrubí vodovodní plastové PPR svar polyfuze PN 16 D 32 x 4,4 mm</t>
  </si>
  <si>
    <t>338</t>
  </si>
  <si>
    <t>722181241</t>
  </si>
  <si>
    <t>Ochrana vodovodního potrubí přilepenými termoizolačními trubicemi z PE tl do 20 mm DN do 22 mm</t>
  </si>
  <si>
    <t>339</t>
  </si>
  <si>
    <t>722181252</t>
  </si>
  <si>
    <t>Ochrana vodovodního potrubí přilepenými termoizolačními trubicemi z PE tl do 25 mm DN do 45 mm</t>
  </si>
  <si>
    <t>340</t>
  </si>
  <si>
    <t>722190401</t>
  </si>
  <si>
    <t>Vyvedení a upevnění výpustku do DN 25</t>
  </si>
  <si>
    <t>341</t>
  </si>
  <si>
    <t>722220111</t>
  </si>
  <si>
    <t>Nástěnka pro výtokový ventil G 1/2 s jedním závitem</t>
  </si>
  <si>
    <t>342</t>
  </si>
  <si>
    <t>722220121</t>
  </si>
  <si>
    <t>Nástěnka pro baterii G 1/2 s jedním závitem</t>
  </si>
  <si>
    <t>pár</t>
  </si>
  <si>
    <t>343</t>
  </si>
  <si>
    <t>722221134F</t>
  </si>
  <si>
    <t>ventil výtokový G 1/2" rohový s filtrem</t>
  </si>
  <si>
    <t>soubor</t>
  </si>
  <si>
    <t>344</t>
  </si>
  <si>
    <t>722224121</t>
  </si>
  <si>
    <t>Ventil odvodňovací G 1/4" s jedním závitem</t>
  </si>
  <si>
    <t>345</t>
  </si>
  <si>
    <t>722231072</t>
  </si>
  <si>
    <t>Ventil zpětný mosazný G 1/2" PN 10 do 110°C se dvěma závity</t>
  </si>
  <si>
    <t>346</t>
  </si>
  <si>
    <t>722231074</t>
  </si>
  <si>
    <t>Ventil zpětný mosazný G 1" PN 10 do 110°C se dvěma závity</t>
  </si>
  <si>
    <t>347</t>
  </si>
  <si>
    <t>722231222</t>
  </si>
  <si>
    <t>Ventil pojistný mosazný G 3/4 PN 6 do 100°C k bojleru s vnitřním x vnějším závitem</t>
  </si>
  <si>
    <t>348</t>
  </si>
  <si>
    <t>722232043</t>
  </si>
  <si>
    <t>Kohout kulový přímý G 1/2" PN 42 do 185°C vnitřní závit</t>
  </si>
  <si>
    <t>349</t>
  </si>
  <si>
    <t>722232045</t>
  </si>
  <si>
    <t>Kohout kulový přímý G 1 PN 42 do 185°C vnitřní závit</t>
  </si>
  <si>
    <t>350</t>
  </si>
  <si>
    <t>722234263</t>
  </si>
  <si>
    <t>Filtr mosazný G 1/2" PN 20 do 80°C s 2x vnitřním závitem</t>
  </si>
  <si>
    <t>351</t>
  </si>
  <si>
    <t>722250133</t>
  </si>
  <si>
    <t>Hydrantový systém s tvarově stálou hadicí D 25 x 30 m celoplechový</t>
  </si>
  <si>
    <t>352</t>
  </si>
  <si>
    <t>722270102</t>
  </si>
  <si>
    <t>Sestava vodoměrová závitová G 1"</t>
  </si>
  <si>
    <t>353</t>
  </si>
  <si>
    <t>722290226</t>
  </si>
  <si>
    <t>Zkouška těsnosti vodovodního potrubí závitového do DN 50</t>
  </si>
  <si>
    <t>354</t>
  </si>
  <si>
    <t>722290234</t>
  </si>
  <si>
    <t>Proplach a dezinfekce vodovodního potrubí do DN 80</t>
  </si>
  <si>
    <t>355</t>
  </si>
  <si>
    <t>998722102</t>
  </si>
  <si>
    <t>Přesun hmot tonážní pro vnitřní vodovod v objektech v do 12 m</t>
  </si>
  <si>
    <t>724</t>
  </si>
  <si>
    <t>Strojní vybavení</t>
  </si>
  <si>
    <t>356</t>
  </si>
  <si>
    <t>72423410711</t>
  </si>
  <si>
    <t>Nádoba tlaková expanzní o objemu 18 l vertikální vč. průtočné armatury</t>
  </si>
  <si>
    <t>724_</t>
  </si>
  <si>
    <t>725</t>
  </si>
  <si>
    <t>Zařizovací předměty</t>
  </si>
  <si>
    <t>357</t>
  </si>
  <si>
    <t>725112022</t>
  </si>
  <si>
    <t>725_</t>
  </si>
  <si>
    <t>358</t>
  </si>
  <si>
    <t>725121525</t>
  </si>
  <si>
    <t>359</t>
  </si>
  <si>
    <t>725211603</t>
  </si>
  <si>
    <t>Umyvadlo keramické bílé šířky 600 mm bez krytu na sifon připevněné na stěnu šrouby</t>
  </si>
  <si>
    <t>360</t>
  </si>
  <si>
    <t>725241112</t>
  </si>
  <si>
    <t>Vanička sprchová akrylátová čtvercová 900x900 mm</t>
  </si>
  <si>
    <t>361</t>
  </si>
  <si>
    <t>725244103</t>
  </si>
  <si>
    <t>Dveře sprchové rámové se skleněnou výplní tl. 5 mm otvíravé jednokřídlové do niky na vaničku šířky 900 mm</t>
  </si>
  <si>
    <t>362</t>
  </si>
  <si>
    <t>725331111</t>
  </si>
  <si>
    <t>Výlevka- závěsná- bez výtokových armatur keramická se sklopnou plastovou mřížkou 500 mm</t>
  </si>
  <si>
    <t>363</t>
  </si>
  <si>
    <t>725821312</t>
  </si>
  <si>
    <t>364</t>
  </si>
  <si>
    <t>725821325</t>
  </si>
  <si>
    <t>365</t>
  </si>
  <si>
    <t>725822612</t>
  </si>
  <si>
    <t>366</t>
  </si>
  <si>
    <t>725841311</t>
  </si>
  <si>
    <t>367</t>
  </si>
  <si>
    <t>725851315</t>
  </si>
  <si>
    <t>Ventil odpadní dřezový s přepadem G 6/4"</t>
  </si>
  <si>
    <t>368</t>
  </si>
  <si>
    <t>725862103</t>
  </si>
  <si>
    <t>Zápachová uzávěrka pro dřezy DN 40/50</t>
  </si>
  <si>
    <t>369</t>
  </si>
  <si>
    <t>725980123</t>
  </si>
  <si>
    <t>Dvířka 30/30</t>
  </si>
  <si>
    <t>370</t>
  </si>
  <si>
    <t>998725102</t>
  </si>
  <si>
    <t>Přesun hmot tonážní pro zařizovací předměty v objektech v do 12 m</t>
  </si>
  <si>
    <t>726</t>
  </si>
  <si>
    <t>Instalační prefabrikáty</t>
  </si>
  <si>
    <t>371</t>
  </si>
  <si>
    <t>726211313R00</t>
  </si>
  <si>
    <t>Insttalační modul pro umyvadlo do lehkých stěn D+M</t>
  </si>
  <si>
    <t>726_</t>
  </si>
  <si>
    <t>372</t>
  </si>
  <si>
    <t>726211341R00</t>
  </si>
  <si>
    <t>Insttalační modul  pro pisoár do lehkých stěn D+M</t>
  </si>
  <si>
    <t>skryté ovládání</t>
  </si>
  <si>
    <t>373</t>
  </si>
  <si>
    <t>726211367R00</t>
  </si>
  <si>
    <t>Instalační modul  pro výlevku do lehkých stěn D+M</t>
  </si>
  <si>
    <t>374</t>
  </si>
  <si>
    <t>726211372R00</t>
  </si>
  <si>
    <t>Insttalační modul pro sprchu do lehkých stěn D+M</t>
  </si>
  <si>
    <t>375</t>
  </si>
  <si>
    <t>726211323R00</t>
  </si>
  <si>
    <t>Instalační modul - WC závěsné h. 1120 mm do lehkých stěn s kovovou kcí, nastavitelný,</t>
  </si>
  <si>
    <t>376</t>
  </si>
  <si>
    <t>998726123R00</t>
  </si>
  <si>
    <t>Přesun hmot pro předstěnové systémy, výšky do 24 m</t>
  </si>
  <si>
    <t>0,160</t>
  </si>
  <si>
    <t>728</t>
  </si>
  <si>
    <t>377</t>
  </si>
  <si>
    <t>728314112R00</t>
  </si>
  <si>
    <t>Montáž protidešťové žaluzie čtyřhranné do 0,3 m2 - Z05</t>
  </si>
  <si>
    <t>728_</t>
  </si>
  <si>
    <t>odvětrání výtahové šachty</t>
  </si>
  <si>
    <t>378</t>
  </si>
  <si>
    <t>5534301200</t>
  </si>
  <si>
    <t>Protidešťová Al. žaluzie 700/400mm se síťkou prot ptákům a s manuálně nastavitelnými  lamelami, lakování RAL 7005 -Z05</t>
  </si>
  <si>
    <t>379</t>
  </si>
  <si>
    <t>998728103R00</t>
  </si>
  <si>
    <t>Přesun hmot pro vzduchotechniku, výšky do 24 m</t>
  </si>
  <si>
    <t>0,01</t>
  </si>
  <si>
    <t>730</t>
  </si>
  <si>
    <t>HZS-UT</t>
  </si>
  <si>
    <t>380</t>
  </si>
  <si>
    <t>HZS1301</t>
  </si>
  <si>
    <t>Hodinová zúčtovací sazba zedník- prostupy vč. zapravení vč. materiálu</t>
  </si>
  <si>
    <t>730_</t>
  </si>
  <si>
    <t>SO-01_73_</t>
  </si>
  <si>
    <t>381</t>
  </si>
  <si>
    <t>382</t>
  </si>
  <si>
    <t>HZS31121</t>
  </si>
  <si>
    <t>Hodinová zúčtovací sazba montér potrubí odborný - TOPNÁ ZKOUŠKA</t>
  </si>
  <si>
    <t>732</t>
  </si>
  <si>
    <t>Strojovny</t>
  </si>
  <si>
    <t>383</t>
  </si>
  <si>
    <t>732 101</t>
  </si>
  <si>
    <t>Úpravna vody - demineralizační filtr G 1" včetně náplně</t>
  </si>
  <si>
    <t>732_</t>
  </si>
  <si>
    <t>384</t>
  </si>
  <si>
    <t>732 102</t>
  </si>
  <si>
    <t>Náhradní náplň pro demineralizační filtr G 1"</t>
  </si>
  <si>
    <t>385</t>
  </si>
  <si>
    <t>732421201</t>
  </si>
  <si>
    <t>Čerpadlo teplovodní mokroběžné závitové cirkulační DN 15 výtlak do 0,9 m průtok 0,35 m3/h pro TUV</t>
  </si>
  <si>
    <t>386</t>
  </si>
  <si>
    <t>732331616</t>
  </si>
  <si>
    <t>Nádoba tlaková expanzní pro topnou a chladicí soustavu s membránou závitové připojení PN 0,6 o objemu 50 l</t>
  </si>
  <si>
    <t>387</t>
  </si>
  <si>
    <t>732331778</t>
  </si>
  <si>
    <t>Příslušenství k expanzním nádobám bezpečnostní uzávěr G 1 k měření tlaku</t>
  </si>
  <si>
    <t>388</t>
  </si>
  <si>
    <t>732421406</t>
  </si>
  <si>
    <t>Čerpadlo teplovodní mokroběžné závitové oběhové DN 25 výtlak do 4,0 m průtok 5,7 m3/h pro vytápění</t>
  </si>
  <si>
    <t>389</t>
  </si>
  <si>
    <t>732421415</t>
  </si>
  <si>
    <t>Čerpadlo teplovodní mokroběžné závitové oběhové DN 25 výtlak do 6,0 m průtok 4,5 m3/h pro vytápění</t>
  </si>
  <si>
    <t>390</t>
  </si>
  <si>
    <t>998732102</t>
  </si>
  <si>
    <t>Přesun hmot tonážní pro strojovny v objektech v do 12 m</t>
  </si>
  <si>
    <t>733</t>
  </si>
  <si>
    <t>Rozvod potrubí</t>
  </si>
  <si>
    <t>391</t>
  </si>
  <si>
    <t>733223202</t>
  </si>
  <si>
    <t>Potrubí měděné tvrdé spojované tvrdým pájením D 15x1</t>
  </si>
  <si>
    <t>733_</t>
  </si>
  <si>
    <t>392</t>
  </si>
  <si>
    <t>733223203</t>
  </si>
  <si>
    <t>Potrubí měděné tvrdé spojované tvrdým pájením D 18x1</t>
  </si>
  <si>
    <t>393</t>
  </si>
  <si>
    <t>733223204</t>
  </si>
  <si>
    <t>Potrubí měděné tvrdé spojované tvrdým pájením D 22x1</t>
  </si>
  <si>
    <t>394</t>
  </si>
  <si>
    <t>733223205</t>
  </si>
  <si>
    <t>Potrubí měděné tvrdé spojované tvrdým pájením D 28x1,5</t>
  </si>
  <si>
    <t>395</t>
  </si>
  <si>
    <t>733223206</t>
  </si>
  <si>
    <t>Potrubí měděné tvrdé spojované tvrdým pájením D 35x1,5</t>
  </si>
  <si>
    <t>396</t>
  </si>
  <si>
    <t>733224205</t>
  </si>
  <si>
    <t>Příplatek k potrubí měděnému za potrubí vedené v kotelnách nebo strojovnách D 28x1,5</t>
  </si>
  <si>
    <t>397</t>
  </si>
  <si>
    <t>733224206</t>
  </si>
  <si>
    <t>Příplatek k potrubí měděnému za potrubí vedené v kotelnách nebo strojovnách D 35x1,5 mm</t>
  </si>
  <si>
    <t>398</t>
  </si>
  <si>
    <t>733291101</t>
  </si>
  <si>
    <t>Zkouška těsnosti potrubí měděné do D 35x1,5</t>
  </si>
  <si>
    <t>399</t>
  </si>
  <si>
    <t>998733101</t>
  </si>
  <si>
    <t>Přesun hmot tonážní pro rozvody potrubí v objektech v do 6 m</t>
  </si>
  <si>
    <t>734</t>
  </si>
  <si>
    <t>Armatury</t>
  </si>
  <si>
    <t>400</t>
  </si>
  <si>
    <t>734421112</t>
  </si>
  <si>
    <t>Tlakoměr s pevným stonkem a zpětnou klapkou tlak 0-16 bar průměr 63 mm zadní připojení</t>
  </si>
  <si>
    <t>734_</t>
  </si>
  <si>
    <t>401</t>
  </si>
  <si>
    <t>734211119</t>
  </si>
  <si>
    <t>Ventil závitový odvzdušňovací G 3/8 PN 14 do 120°C automatický</t>
  </si>
  <si>
    <t>402</t>
  </si>
  <si>
    <t>734222802</t>
  </si>
  <si>
    <t>Ventil závitový termostatický rohový G 1/2 PN 16 do 110°C s ruční hlavou chromovaný</t>
  </si>
  <si>
    <t>403</t>
  </si>
  <si>
    <t>734242415</t>
  </si>
  <si>
    <t>Ventil závitový zpětný přímý G 5/4 PN 16 do 110°C</t>
  </si>
  <si>
    <t>734251212</t>
  </si>
  <si>
    <t>Ventil závitový pojistný rohový G 3/4 provozní tlak od 2,5 do 6 barů</t>
  </si>
  <si>
    <t>734261417</t>
  </si>
  <si>
    <t>Šroubení regulační radiátorové rohové G 1/2 s vypouštěním</t>
  </si>
  <si>
    <t>406</t>
  </si>
  <si>
    <t>734291123</t>
  </si>
  <si>
    <t>Kohout plnící a vypouštěcí G 1/2 PN 10 do 110°C závitový</t>
  </si>
  <si>
    <t>407</t>
  </si>
  <si>
    <t>734291265</t>
  </si>
  <si>
    <t>Filtr závitový přímý G 1 1/4 PN 30 do 110°C s vnitřními závity</t>
  </si>
  <si>
    <t>408</t>
  </si>
  <si>
    <t>734292716</t>
  </si>
  <si>
    <t>Kohout kulový přímý G 1 1/4 PN 42 do 185°C vnitřní závit</t>
  </si>
  <si>
    <t>409</t>
  </si>
  <si>
    <t>734295022</t>
  </si>
  <si>
    <t>Směšovací ventil otopných a chladicích systémů závitový třícestný G 1" se servomotorem</t>
  </si>
  <si>
    <t>410</t>
  </si>
  <si>
    <t>734411101</t>
  </si>
  <si>
    <t>Teploměr technický s pevným stonkem a jímkou zadní připojení průměr 63 mm délky 50 mm</t>
  </si>
  <si>
    <t>734421102</t>
  </si>
  <si>
    <t>Tlakoměr s pevným stonkem a zpětnou klapkou tlak 0-16 bar průměr 63 mm spodní připojení</t>
  </si>
  <si>
    <t>412</t>
  </si>
  <si>
    <t>734424912</t>
  </si>
  <si>
    <t>Příslušenství tlakoměrů kohout čepový PN 25 s nátrubkovou přípojkou M 20x1,5 mm</t>
  </si>
  <si>
    <t>413</t>
  </si>
  <si>
    <t>998734102</t>
  </si>
  <si>
    <t>Přesun hmot tonážní pro armatury v objektech v do 12 m</t>
  </si>
  <si>
    <t>735</t>
  </si>
  <si>
    <t>Otopná tělesa</t>
  </si>
  <si>
    <t>414</t>
  </si>
  <si>
    <t>735151251</t>
  </si>
  <si>
    <t>Otopné těleso panelové jednodeskové 1 přídavná přestupní plocha výška/délka 500/400 mm výkon 343 W</t>
  </si>
  <si>
    <t>735_</t>
  </si>
  <si>
    <t>415</t>
  </si>
  <si>
    <t>735151453</t>
  </si>
  <si>
    <t>Otopné těleso panelové dvoudeskové 1 přídavná přestupní plocha výška/délka 500/600 mm výkon 670 W</t>
  </si>
  <si>
    <t>416</t>
  </si>
  <si>
    <t>735151459</t>
  </si>
  <si>
    <t>Otopné těleso panelové dvoudeskové 1 přídavná přestupní plocha výška/délka 500/1200 mm výkon 1340 W</t>
  </si>
  <si>
    <t>417</t>
  </si>
  <si>
    <t>735151460</t>
  </si>
  <si>
    <t>Otopné těleso panelové dvoudeskové 1 přídavná přestupní plocha výška/délka 500/1400 mm výkon 1564 W</t>
  </si>
  <si>
    <t>418</t>
  </si>
  <si>
    <t>735151463</t>
  </si>
  <si>
    <t>Otopné těleso panelové dvoudeskové 1 přídavná přestupní plocha výška/délka 500/2000 mm výkon 2234 W</t>
  </si>
  <si>
    <t>419</t>
  </si>
  <si>
    <t>735151556</t>
  </si>
  <si>
    <t>Otopné těleso panelové dvoudeskové 2 přídavné přestupní plochy výška/délka 500/900 mm výkon 1307 W</t>
  </si>
  <si>
    <t>420</t>
  </si>
  <si>
    <t>735151557</t>
  </si>
  <si>
    <t>Otopné těleso panelové dvoudeskové 2 přídavné přestupní plochy výška/délka 500/1000 mm výkon 1452 W</t>
  </si>
  <si>
    <t>421</t>
  </si>
  <si>
    <t>735164512</t>
  </si>
  <si>
    <t>Montáž otopného tělesa trubkového na stěnu v tělesa přes 1500 mm</t>
  </si>
  <si>
    <t>422</t>
  </si>
  <si>
    <t>1200.600</t>
  </si>
  <si>
    <t>topný žebřík 1200.600</t>
  </si>
  <si>
    <t>423</t>
  </si>
  <si>
    <t>998735101</t>
  </si>
  <si>
    <t>Přesun hmot tonážní pro otopná tělesa v objektech v do 6 m</t>
  </si>
  <si>
    <t>762</t>
  </si>
  <si>
    <t>Konstrukce tesařské</t>
  </si>
  <si>
    <t>762085.01</t>
  </si>
  <si>
    <t>Kartáčování tesařských prvků - ruční nástroje</t>
  </si>
  <si>
    <t>762_</t>
  </si>
  <si>
    <t>SO-01_76_</t>
  </si>
  <si>
    <t>viditelné dřevěné prvky v interiéru</t>
  </si>
  <si>
    <t>425</t>
  </si>
  <si>
    <t>762331912R00</t>
  </si>
  <si>
    <t>Vyřezání části střešní vazby do 120 cm2,do dl.5 m</t>
  </si>
  <si>
    <t>156,1</t>
  </si>
  <si>
    <t>426</t>
  </si>
  <si>
    <t>762331922R00</t>
  </si>
  <si>
    <t>Vyřezání části střešní vazby do 224 cm2,do dl.5 m</t>
  </si>
  <si>
    <t>223,5</t>
  </si>
  <si>
    <t>vyznačené prvky</t>
  </si>
  <si>
    <t>1310,6*0,1</t>
  </si>
  <si>
    <t>předpoklad 10% stáv.krokví</t>
  </si>
  <si>
    <t>427</t>
  </si>
  <si>
    <t>762331932R00</t>
  </si>
  <si>
    <t>Vyřezání části střešní vazby do 288 cm2,do dl.5 m</t>
  </si>
  <si>
    <t>13,6</t>
  </si>
  <si>
    <t>428</t>
  </si>
  <si>
    <t>762331952R00</t>
  </si>
  <si>
    <t>Vyřezání části střešní vazby nad 450 cm2,do dl.5 m</t>
  </si>
  <si>
    <t>429</t>
  </si>
  <si>
    <t>762332110R00</t>
  </si>
  <si>
    <t>Montáž vázaných krovů pravidelných do 120 cm2</t>
  </si>
  <si>
    <t>334,5</t>
  </si>
  <si>
    <t>generovaná výměra vyznačené prvky</t>
  </si>
  <si>
    <t>430</t>
  </si>
  <si>
    <t>605152002</t>
  </si>
  <si>
    <t>Hranolek stavební SM průřezu do 120cm2, dl. do 6 m  (ztratné 10%)</t>
  </si>
  <si>
    <t>3,39</t>
  </si>
  <si>
    <t>;ztratné 10%; 0,339</t>
  </si>
  <si>
    <t>431</t>
  </si>
  <si>
    <t>762332120R00</t>
  </si>
  <si>
    <t>Montáž vázaných krovů pravidelných do 224 cm2</t>
  </si>
  <si>
    <t>261,85</t>
  </si>
  <si>
    <t>předpoklad skryté kce (10% stáv.krokví)</t>
  </si>
  <si>
    <t>432</t>
  </si>
  <si>
    <t>60515230</t>
  </si>
  <si>
    <t>Hranol stavební SM průřezu do 224 cm2, dl.do 6 m  (ztratné 10%)</t>
  </si>
  <si>
    <t>4,12</t>
  </si>
  <si>
    <t>2,5</t>
  </si>
  <si>
    <t>předpoklad</t>
  </si>
  <si>
    <t>;ztratné 10%; 0,662</t>
  </si>
  <si>
    <t>433</t>
  </si>
  <si>
    <t>762332130R00</t>
  </si>
  <si>
    <t>Montáž vázaných krovů pravidelných do 288 cm2</t>
  </si>
  <si>
    <t>17,9</t>
  </si>
  <si>
    <t>434</t>
  </si>
  <si>
    <t>60515248</t>
  </si>
  <si>
    <t>Hranol stavební SM průřezu do 288 cm2, dl. do 6 m  (ztratné 10%)</t>
  </si>
  <si>
    <t>0,5</t>
  </si>
  <si>
    <t>;ztratné 10%; 0,05</t>
  </si>
  <si>
    <t>435</t>
  </si>
  <si>
    <t>762332140.01</t>
  </si>
  <si>
    <t>Montáž vázaných krovů pravidelných do 600 cm2</t>
  </si>
  <si>
    <t>11,6</t>
  </si>
  <si>
    <t>436</t>
  </si>
  <si>
    <t>60515285</t>
  </si>
  <si>
    <t>Hranol stavební SM nad 450 cm2, dl. 6 - 10 m  (ztratné 10%)</t>
  </si>
  <si>
    <t>;ztratné 10%; 0,07</t>
  </si>
  <si>
    <t>437</t>
  </si>
  <si>
    <t>762339.001</t>
  </si>
  <si>
    <t>Ocelové prvky kce krovu D+M</t>
  </si>
  <si>
    <t>kg</t>
  </si>
  <si>
    <t>59,4</t>
  </si>
  <si>
    <t>dle výpisu prvků</t>
  </si>
  <si>
    <t>438</t>
  </si>
  <si>
    <t>762811811R00</t>
  </si>
  <si>
    <t>Demontáž záklopů z hrubých prken tl. do 3,2 cm</t>
  </si>
  <si>
    <t>výtah</t>
  </si>
  <si>
    <t>3,3*2,25</t>
  </si>
  <si>
    <t>439</t>
  </si>
  <si>
    <t>762831941R00</t>
  </si>
  <si>
    <t>Vyřezání části strop.trámu do 450 cm2,do dl.3 m</t>
  </si>
  <si>
    <t>2,25*3</t>
  </si>
  <si>
    <t>440</t>
  </si>
  <si>
    <t>763133.001</t>
  </si>
  <si>
    <t>Dod.+mont základního vertikálního roštu z latí 3/5cm á=50cm na vruty, (2,5m latě na m2)</t>
  </si>
  <si>
    <t>včetně dodávky impreg.latí 3/5 cm a spojovacího materiálu</t>
  </si>
  <si>
    <t>441</t>
  </si>
  <si>
    <t>763133.002</t>
  </si>
  <si>
    <t>Dod.+mont nosného horizontálního roštu z latí 3/5cm á=75cm na vruty, (1,7m latě na m2)</t>
  </si>
  <si>
    <t>442</t>
  </si>
  <si>
    <t>762131124RT3</t>
  </si>
  <si>
    <t>Montáž bednění stěn, prkna hrubá do 32 mm, na sraz</t>
  </si>
  <si>
    <t>včetně dodávky řeziva, prkna tl. 24 mm</t>
  </si>
  <si>
    <t>443</t>
  </si>
  <si>
    <t>762521108R00</t>
  </si>
  <si>
    <t>Položení podlah nehoblovaných na sraz, hrubé fošny</t>
  </si>
  <si>
    <t>dodávka řeziva ve specifikaci (pochozí lávka 2 podkroví)</t>
  </si>
  <si>
    <t>30,2</t>
  </si>
  <si>
    <t>444</t>
  </si>
  <si>
    <t>60513330</t>
  </si>
  <si>
    <t>Fošna SM I.jak tl. 30 mm dl. 3-5 m š. 100-250 mm (ztratné 8%)</t>
  </si>
  <si>
    <t>30,2*0,03</t>
  </si>
  <si>
    <t>;ztratné 8%; 0,0728</t>
  </si>
  <si>
    <t>445</t>
  </si>
  <si>
    <t>762524911R00</t>
  </si>
  <si>
    <t>Položení polštářů v do 200 mm vč. nastavení, příložek a podkladků</t>
  </si>
  <si>
    <t>dodávka řeziva ve specifikaci (pochozí lávka 2 podkroví půda)</t>
  </si>
  <si>
    <t>93,10</t>
  </si>
  <si>
    <t>446</t>
  </si>
  <si>
    <t>60515278</t>
  </si>
  <si>
    <t>Hranol stavební SM do 200 x 200 mm, 1 - 4 m (ztratné 8%)</t>
  </si>
  <si>
    <t>0,06*0,2*93,1</t>
  </si>
  <si>
    <t>;ztratné 8%; 0,0896</t>
  </si>
  <si>
    <t>447</t>
  </si>
  <si>
    <t>762343101R00</t>
  </si>
  <si>
    <t>Montáž roštu pro tepelnou izolaci (1,9m/m2 stěny)</t>
  </si>
  <si>
    <t>61*1,9</t>
  </si>
  <si>
    <t>448</t>
  </si>
  <si>
    <t>60515791</t>
  </si>
  <si>
    <t>Hranolek stavební SM 60/80 mm, 3 - 5 m (ztratné 5%)</t>
  </si>
  <si>
    <t>0,06*0,08*115,9</t>
  </si>
  <si>
    <t>;ztratné 5%; 0,028</t>
  </si>
  <si>
    <t>449</t>
  </si>
  <si>
    <t>762522812R00</t>
  </si>
  <si>
    <t>Demontáž podlah s polštáři z prken tl. do 50 mm</t>
  </si>
  <si>
    <t>stávající půdní lávka</t>
  </si>
  <si>
    <t>44,2</t>
  </si>
  <si>
    <t>450</t>
  </si>
  <si>
    <t>762529000</t>
  </si>
  <si>
    <t>Úprava stávajících dřevěných pochozích lávek</t>
  </si>
  <si>
    <t>h</t>
  </si>
  <si>
    <t>práce v tarifní třídě 5 (např. tesař)</t>
  </si>
  <si>
    <t>451</t>
  </si>
  <si>
    <t>762395000R00</t>
  </si>
  <si>
    <t>Spojovací a ochranné prostředky pro střechy</t>
  </si>
  <si>
    <t>8,34</t>
  </si>
  <si>
    <t>kce krovu</t>
  </si>
  <si>
    <t>předpoklsd 10% krovu</t>
  </si>
  <si>
    <t>452</t>
  </si>
  <si>
    <t>762195000R00</t>
  </si>
  <si>
    <t>Spojovací a ochranné prostředky pro montáž stěn</t>
  </si>
  <si>
    <t>1,53</t>
  </si>
  <si>
    <t>bednění stěn rizalitu</t>
  </si>
  <si>
    <t>0,56</t>
  </si>
  <si>
    <t>rošt tepel.izol rizalit</t>
  </si>
  <si>
    <t>453</t>
  </si>
  <si>
    <t>998762103R00</t>
  </si>
  <si>
    <t>Přesun hmot pro tesařské konstrukce, výšky do 24 m</t>
  </si>
  <si>
    <t>9,12</t>
  </si>
  <si>
    <t>454</t>
  </si>
  <si>
    <t>762313112R00</t>
  </si>
  <si>
    <t>Montáž svorníků, šroubů délky 300 mm - zpevnění vaznic</t>
  </si>
  <si>
    <t>dl.zpevnění 88,9, svorníky á 0,3m</t>
  </si>
  <si>
    <t>90/0,6</t>
  </si>
  <si>
    <t>455</t>
  </si>
  <si>
    <t>54934031</t>
  </si>
  <si>
    <t>Svorník M16 dl.270mm  2x podložka, 2x matka galvanicky zinkováno</t>
  </si>
  <si>
    <t>456</t>
  </si>
  <si>
    <t>762311101R00</t>
  </si>
  <si>
    <t>Montáž ozub.hmoždíků včetně lůžka - zpevnění vaznic</t>
  </si>
  <si>
    <t>457</t>
  </si>
  <si>
    <t>31175355</t>
  </si>
  <si>
    <t>Ocelový hmoždík typu Buldog pr. 75 mm</t>
  </si>
  <si>
    <t>458</t>
  </si>
  <si>
    <t>11,002</t>
  </si>
  <si>
    <t>763</t>
  </si>
  <si>
    <t>Dřevostavby</t>
  </si>
  <si>
    <t>459</t>
  </si>
  <si>
    <t>763752111R00</t>
  </si>
  <si>
    <t>Montáž podlah - rámů, polštářů, pl. do 50 cm2</t>
  </si>
  <si>
    <t>763_</t>
  </si>
  <si>
    <t>podkladní prahy pod Cetris desku vč.spojovacích prostředků</t>
  </si>
  <si>
    <t>350,8*3,2</t>
  </si>
  <si>
    <t>prahy 80x40mm (3,2m/m2 podlahy)</t>
  </si>
  <si>
    <t>104.0</t>
  </si>
  <si>
    <t>fošny 120x40mm pod podkl.profily nosných stěn vestavby</t>
  </si>
  <si>
    <t>460</t>
  </si>
  <si>
    <t>60515710</t>
  </si>
  <si>
    <t>Hranolek stavební  SM/JD/BO do 100 cm2 (40x 80mm), do 5 m (ztratné 5%)</t>
  </si>
  <si>
    <t>0,04*0,08*1122,6</t>
  </si>
  <si>
    <t>;ztratné 5%; 0,1795</t>
  </si>
  <si>
    <t>461</t>
  </si>
  <si>
    <t>Hranolek stavební  SM/JD/BO do 100 cm2 (40x 120mm), do 5 m (ztratné 5%)</t>
  </si>
  <si>
    <t>0,04*0,12*104</t>
  </si>
  <si>
    <t>462</t>
  </si>
  <si>
    <t>763612131RT1</t>
  </si>
  <si>
    <t>M.obložení stěn z desek do tl.18mm,na sraz,šroubo.-obvod stěna rizalitu</t>
  </si>
  <si>
    <t>bez dodávky desek</t>
  </si>
  <si>
    <t>463</t>
  </si>
  <si>
    <t>59597017</t>
  </si>
  <si>
    <t>Deska sádrovláknitá tl.12,5 mm (ztratné 10%)</t>
  </si>
  <si>
    <t>;ztratné 10%; 4,95</t>
  </si>
  <si>
    <t>464</t>
  </si>
  <si>
    <t>763614232RT1</t>
  </si>
  <si>
    <t>M.podlahy z desek nad tl.18 mm, P+D, šroubov.</t>
  </si>
  <si>
    <t>350,8</t>
  </si>
  <si>
    <t>465</t>
  </si>
  <si>
    <t>595907486</t>
  </si>
  <si>
    <t>Deska cementotřísková Cetris PD tl. 28 mm (ztratné 5%)</t>
  </si>
  <si>
    <t>;ztratné 5%; 17,54</t>
  </si>
  <si>
    <t>466</t>
  </si>
  <si>
    <t>763612231RT1</t>
  </si>
  <si>
    <t>M.obložení stupnic a podstupnic vyrovnávacího schodiště z desek nad tl.18mm,na sraz,šroubo</t>
  </si>
  <si>
    <t>(3*(0,31+0,15))*2,75</t>
  </si>
  <si>
    <t>467</t>
  </si>
  <si>
    <t>59590745</t>
  </si>
  <si>
    <t>Deska cementotřísková  tl. 28 mm (ztratné 10%)</t>
  </si>
  <si>
    <t>3,8</t>
  </si>
  <si>
    <t>;ztratné 10%; 0,38</t>
  </si>
  <si>
    <t>764</t>
  </si>
  <si>
    <t>Konstrukce klempířské</t>
  </si>
  <si>
    <t>468</t>
  </si>
  <si>
    <t>764778311R00</t>
  </si>
  <si>
    <t>Oplech.parapetů z barevného legovaného Al plechu tl.0,7mm,RŠ 200 mm, enkolit</t>
  </si>
  <si>
    <t>764_</t>
  </si>
  <si>
    <t>1,6*4</t>
  </si>
  <si>
    <t>469</t>
  </si>
  <si>
    <t>764778312R00</t>
  </si>
  <si>
    <t>Oplech.parapetů z barevného legovaného Al plechu tl.0,7mm, RŠ 250 mm, enkolit</t>
  </si>
  <si>
    <t>3*0,6</t>
  </si>
  <si>
    <t>470</t>
  </si>
  <si>
    <t>764311392R00</t>
  </si>
  <si>
    <t>Montáž obložení fasády, stojatá drážka z barevného legovaného Al plechu, svitky šířky 0,5 m</t>
  </si>
  <si>
    <t xml:space="preserve">rizalit vikýře
</t>
  </si>
  <si>
    <t>nástavba rizalitu</t>
  </si>
  <si>
    <t>vikýř výtah</t>
  </si>
  <si>
    <t>26,4</t>
  </si>
  <si>
    <t>valbové vikýře</t>
  </si>
  <si>
    <t>2,8</t>
  </si>
  <si>
    <t>trojúhelníkový vikýř</t>
  </si>
  <si>
    <t>471</t>
  </si>
  <si>
    <t>19475101</t>
  </si>
  <si>
    <t>Plech Al svitkový hladký 0,7 x 500 mm barvy P.10-světle šedá-fasáda (ztratné 10%)</t>
  </si>
  <si>
    <t>95,2</t>
  </si>
  <si>
    <t>;ztratné 10%; 9,52</t>
  </si>
  <si>
    <t>472</t>
  </si>
  <si>
    <t>998764103R00</t>
  </si>
  <si>
    <t>Přesun hmot pro klempířské konstr., výšky do 24 m</t>
  </si>
  <si>
    <t>1,46</t>
  </si>
  <si>
    <t>766</t>
  </si>
  <si>
    <t>Konstrukce truhlářské</t>
  </si>
  <si>
    <t>473</t>
  </si>
  <si>
    <t>766810010.001</t>
  </si>
  <si>
    <t>Kuchyňská linka dl. pracovní plochy 2,1m+závěsné horní skříňky a spotřebiče D+M - T1</t>
  </si>
  <si>
    <t>766_</t>
  </si>
  <si>
    <t>podrobná specifikace viz výpis truhlářských výrobků</t>
  </si>
  <si>
    <t>474</t>
  </si>
  <si>
    <t>766694124.001</t>
  </si>
  <si>
    <t>Montáž dřevěných desek (sedáků) š.nad 30 cm - T02a-T02d</t>
  </si>
  <si>
    <t>vstupní prostor m.č.402</t>
  </si>
  <si>
    <t>1,0+3,3+3,3+5,7</t>
  </si>
  <si>
    <t>475</t>
  </si>
  <si>
    <t>60513331</t>
  </si>
  <si>
    <t>Dřevěný sedák parapetní lavice  lepený masiv smrk tl.30mm, š.400mm</t>
  </si>
  <si>
    <t>1,0+3,3+5,7</t>
  </si>
  <si>
    <t>476</t>
  </si>
  <si>
    <t>Dřevěný sedák parapetní lavice  lepený masiv smrk tl.30mm, š.518mm</t>
  </si>
  <si>
    <t>3,3</t>
  </si>
  <si>
    <t>477</t>
  </si>
  <si>
    <t>766620052.01</t>
  </si>
  <si>
    <t>Dod.+mont. okno střešní Velux 780x1374 vč.lamování a zatepl.sady - O05</t>
  </si>
  <si>
    <t>přesná specifikace viz PD-výpis výplní oken</t>
  </si>
  <si>
    <t>478</t>
  </si>
  <si>
    <t>766624062R00</t>
  </si>
  <si>
    <t>Montáž předokenních markýz a rolet střešních oken</t>
  </si>
  <si>
    <t>479</t>
  </si>
  <si>
    <t>766620.01</t>
  </si>
  <si>
    <t>Dod.+mont. okno hliníké 600x1620 , OS, fix+1kř., trojsklo vč.kování, příslušenství a konečné povrchové úpravy  - O01</t>
  </si>
  <si>
    <t>přesná specifikace viz výpis výplní otvorů; montáž včetně uzávěrů vnitřní a vnější spáry</t>
  </si>
  <si>
    <t>480</t>
  </si>
  <si>
    <t>61140586</t>
  </si>
  <si>
    <t>Markýza venkovní, ovládání ruční pro střešní okno 78 x 140 cm</t>
  </si>
  <si>
    <t>481</t>
  </si>
  <si>
    <t>766620.02</t>
  </si>
  <si>
    <t>Dod.+mont. okno dřevěné 1600x800 , OS, 2kř.,jednoduše zasklené vč.kování, příslušenství a konečné povrchové úpravy  - O03</t>
  </si>
  <si>
    <t>přesná specifikace viz výpis výplní otvorů vč konečné povrchové úpravy</t>
  </si>
  <si>
    <t>482</t>
  </si>
  <si>
    <t>766620.03</t>
  </si>
  <si>
    <t>Dod.+mont. okno dřevěné atyp 1600x800, fix, střed.sloupek, plné+úprava pro zaústění VZT vč.kování, příslušenství a konečné povrchové úpravy  - O04</t>
  </si>
  <si>
    <t>483</t>
  </si>
  <si>
    <t>766620.10</t>
  </si>
  <si>
    <t>Dod.+mont. dveře požární 2kř., prosklené-15 min EI 15 DP3-C 145x225 cm vč.kování, příslušenství a konečné povrchové úpravy  - D01</t>
  </si>
  <si>
    <t>přesná specifikace viz výpis výplní otvorů;  montáž včetně uzávěrů vnitřní a vnější spáry</t>
  </si>
  <si>
    <t>484</t>
  </si>
  <si>
    <t>766670.01</t>
  </si>
  <si>
    <t>Dod.+mont. dřevěné vnitřní dveře protipožární (EW 15DP3) 900x1970 vč kování, doplňků a příslušenství - D02</t>
  </si>
  <si>
    <t>přesná specifikace viz výpis výplní otvorů</t>
  </si>
  <si>
    <t>485</t>
  </si>
  <si>
    <t>766670.02</t>
  </si>
  <si>
    <t>Dod.+mont. dřevěné vnitřní dveře protipožární (EW 15DP3) 900x1970 vč kování, doplňků a příslušenství - D03</t>
  </si>
  <si>
    <t>486</t>
  </si>
  <si>
    <t>766670.03</t>
  </si>
  <si>
    <t>Dod.+mont. dřevěné vnitřní dveře protipožární (EW 15DP3) 900x1970 vč kování, doplňků a příslušenství - D04</t>
  </si>
  <si>
    <t>487</t>
  </si>
  <si>
    <t>766670.04</t>
  </si>
  <si>
    <t>Dod.+mont. dřevěné vnitřní dveře protipožární (EW 15DP3) 900x1970 vč kování, doplňků a příslušenství - D05</t>
  </si>
  <si>
    <t>488</t>
  </si>
  <si>
    <t>766670.05</t>
  </si>
  <si>
    <t>Dod.+mont. hliník vnitřní 2.kř.dveře prosklené (900+900)x2100 vč kování, doplňků, příslušenství a konečné povrchové úpravy-- D06</t>
  </si>
  <si>
    <t>489</t>
  </si>
  <si>
    <t>766670.06</t>
  </si>
  <si>
    <t>Dod.+mont. hliník vnitřní 2.kř.dveře prosklené (900+500)x2100 vč kování, doplňků, příslušenství a konečné povrchové úpravy- D07</t>
  </si>
  <si>
    <t>490</t>
  </si>
  <si>
    <t>766670.07</t>
  </si>
  <si>
    <t>Dod.+mont. dřevěné vnitřní 2.kř.dveře prosklené (900+900)x1970 vč kování, doplňků, příslušenství a konečné povrchové úpravy- D08</t>
  </si>
  <si>
    <t>491</t>
  </si>
  <si>
    <t>766670.08</t>
  </si>
  <si>
    <t>Dod.+mont. dřevěné vnitřní dveře 700x1970 vč kování, doplňků a příslušenství - D09</t>
  </si>
  <si>
    <t>492</t>
  </si>
  <si>
    <t>766670.09</t>
  </si>
  <si>
    <t>Dod.+mont. dřevěné vnitřní dveře 700x1970 vč kování, doplňků a příslušenství - D10</t>
  </si>
  <si>
    <t>493</t>
  </si>
  <si>
    <t>766670.10</t>
  </si>
  <si>
    <t>Dod.+mont. dřevěné vnitřní dveře 700x1970 vč kování, doplňků a příslušenství - D11</t>
  </si>
  <si>
    <t>494</t>
  </si>
  <si>
    <t>766670.11</t>
  </si>
  <si>
    <t>Dod.+mont. dřevěné vnitřní dveře 700x1970 vč kování, doplňků a příslušenství - D12</t>
  </si>
  <si>
    <t>495</t>
  </si>
  <si>
    <t>766670.12</t>
  </si>
  <si>
    <t>Dod.+mont. dřevěné vnitřní dveře 700x1970 vč kování, doplňků a příslušenství - D13</t>
  </si>
  <si>
    <t>496</t>
  </si>
  <si>
    <t>766670.13</t>
  </si>
  <si>
    <t>Dod.+mont. dřevěné vnitřní dveře 800x1970 vč kování, doplňků a příslušenství - D14</t>
  </si>
  <si>
    <t>497</t>
  </si>
  <si>
    <t>766670.14</t>
  </si>
  <si>
    <t>Dod.+mont. dřevěné vnitřní dveře 800x1970 vč kování, doplňků a příslušenství - D15</t>
  </si>
  <si>
    <t>498</t>
  </si>
  <si>
    <t>766670.15</t>
  </si>
  <si>
    <t>Dod.+mont. dřevěné vnitřní dveře 800x1970 vč kování, doplňků a příslušenství - D16</t>
  </si>
  <si>
    <t>499</t>
  </si>
  <si>
    <t>766670.16</t>
  </si>
  <si>
    <t>Dod.+mont. dřevěné vnitřní dveře 900x1970 vč kování, doplňků a příslušenství - D17</t>
  </si>
  <si>
    <t>500</t>
  </si>
  <si>
    <t>766670.17</t>
  </si>
  <si>
    <t>Dod.+mont. dřevěné vnitřní dveře 900x1970 vč kování, doplňků a příslušenství - D18</t>
  </si>
  <si>
    <t>501</t>
  </si>
  <si>
    <t>766670.18</t>
  </si>
  <si>
    <t>Dod.+mont. dřevěné vnitřní dveře 800x1970 vč kování, doplňků a příslušenství - D19</t>
  </si>
  <si>
    <t>502</t>
  </si>
  <si>
    <t>766670.19</t>
  </si>
  <si>
    <t>Dod.+mont. dřevěné vnitřní dveře 800x1970 vč kování, doplňků a příslušenství - D20</t>
  </si>
  <si>
    <t>503</t>
  </si>
  <si>
    <t>766670.20</t>
  </si>
  <si>
    <t>Dod.+mont. dřevěné vnitřní dveře 700x1970 vč kování, doplňků a příslušenství - D21</t>
  </si>
  <si>
    <t>504</t>
  </si>
  <si>
    <t>766670.21</t>
  </si>
  <si>
    <t>Dod.+mont. dřevěné vnitřní dveře 700x1970 vč kování, doplňků a příslušenství - D22</t>
  </si>
  <si>
    <t>505</t>
  </si>
  <si>
    <t>766670.22</t>
  </si>
  <si>
    <t>Dod.+mont. dřevěné vnitřní dveře 800x1970 vč kování, doplňků a příslušenství - D23</t>
  </si>
  <si>
    <t>506</t>
  </si>
  <si>
    <t>766670.23</t>
  </si>
  <si>
    <t>Dod.+mont. dřevěné vnitřní dveře 900x1970 vč kování, doplňků a příslušenství - D24</t>
  </si>
  <si>
    <t>507</t>
  </si>
  <si>
    <t>766670.24</t>
  </si>
  <si>
    <t>Dod.+mont. dřevěné vnitřní dveře 900x1970 vč kování, doplňků a příslušenství - D25</t>
  </si>
  <si>
    <t>508</t>
  </si>
  <si>
    <t>766670.25</t>
  </si>
  <si>
    <t>Dod.+mont. dřevěné vnitřní dveře 900x1970 vč kování, doplňků a příslušenství - D26</t>
  </si>
  <si>
    <t>509</t>
  </si>
  <si>
    <t>998766103R00</t>
  </si>
  <si>
    <t>Přesun hmot pro truhlářské konstr., výšky do 24 m</t>
  </si>
  <si>
    <t>2,677</t>
  </si>
  <si>
    <t>767</t>
  </si>
  <si>
    <t>Konstrukce doplňkové stavební (zámečnické)</t>
  </si>
  <si>
    <t>510</t>
  </si>
  <si>
    <t>767900.001</t>
  </si>
  <si>
    <t>Výrobní dokumentace-nosná konstrukce půdní vestavby z ocel.tenkostěnných profilů</t>
  </si>
  <si>
    <t>767_</t>
  </si>
  <si>
    <t>podlaha, nosná kce podhledů, kce rizalitu</t>
  </si>
  <si>
    <t>511</t>
  </si>
  <si>
    <t>767590.001</t>
  </si>
  <si>
    <t>Montáž podlahového roštu nosné konstrukce vestavby- šroubováním</t>
  </si>
  <si>
    <t>vč.spojovacího materiálu</t>
  </si>
  <si>
    <t>9688,24-142,88</t>
  </si>
  <si>
    <t>tenkostěnné profily dle výpisu prvků</t>
  </si>
  <si>
    <t>142,88</t>
  </si>
  <si>
    <t>válc.nosník IPE č.180</t>
  </si>
  <si>
    <t>0,12*9688,24</t>
  </si>
  <si>
    <t>ostatní drobný a spojovací materiál 12%</t>
  </si>
  <si>
    <t>512</t>
  </si>
  <si>
    <t>15431791</t>
  </si>
  <si>
    <t>Profil tenkostěnný C, U  (podlahový)-ztratné 5%</t>
  </si>
  <si>
    <t>9545,36</t>
  </si>
  <si>
    <t>;ztratné 5%; 477,268</t>
  </si>
  <si>
    <t>513</t>
  </si>
  <si>
    <t>13482710</t>
  </si>
  <si>
    <t>Tyč ocelová IPE 180, S235JR</t>
  </si>
  <si>
    <t>;ztratné 5%; 7,144</t>
  </si>
  <si>
    <t>514</t>
  </si>
  <si>
    <t>3117550.01</t>
  </si>
  <si>
    <t>Ostatní drobný a spojovací materiál-12%</t>
  </si>
  <si>
    <t>1163</t>
  </si>
  <si>
    <t>515</t>
  </si>
  <si>
    <t>767585.001</t>
  </si>
  <si>
    <t>Montáž nosné kce podhledů vestavby -šroubováním -</t>
  </si>
  <si>
    <t>4606,7-134,79</t>
  </si>
  <si>
    <t>20,0+25,36+28,58+60,85</t>
  </si>
  <si>
    <t>jekl 80/80</t>
  </si>
  <si>
    <t>4606,7*0,12</t>
  </si>
  <si>
    <t>516</t>
  </si>
  <si>
    <t>15431792</t>
  </si>
  <si>
    <t>Profil tenkostěnný C, U  (nosný rám vestavby)-ztratné 5%</t>
  </si>
  <si>
    <t>4471,91</t>
  </si>
  <si>
    <t>;ztratné 5%; 223,5955</t>
  </si>
  <si>
    <t>517</t>
  </si>
  <si>
    <t>14587778</t>
  </si>
  <si>
    <t>jekl 80/40/2 mm, 80/80/4 mm</t>
  </si>
  <si>
    <t>134,7</t>
  </si>
  <si>
    <t>;ztratné 5%; 6,735</t>
  </si>
  <si>
    <t>518</t>
  </si>
  <si>
    <t>552,80</t>
  </si>
  <si>
    <t>519</t>
  </si>
  <si>
    <t>767137.001</t>
  </si>
  <si>
    <t>Montáž roštu obvoodových stěn rizalitu z tenkostěnných šrěrbinových profilů</t>
  </si>
  <si>
    <t>vč spojovacích prostředků-</t>
  </si>
  <si>
    <t>612,3</t>
  </si>
  <si>
    <t>prvky dle výpisu</t>
  </si>
  <si>
    <t>0,12*612,3</t>
  </si>
  <si>
    <t>520</t>
  </si>
  <si>
    <t>15431793.1</t>
  </si>
  <si>
    <t>Profil tenkostěnný štěrbinový (stojka, vodíící profil, nadpraží otvorů) -ztratné 5%</t>
  </si>
  <si>
    <t>0,613</t>
  </si>
  <si>
    <t>;ztratné 5%; 0,0305</t>
  </si>
  <si>
    <t>521</t>
  </si>
  <si>
    <t>73,5</t>
  </si>
  <si>
    <t>522</t>
  </si>
  <si>
    <t>767590.002</t>
  </si>
  <si>
    <t>Montáž podlahových roštů, nosných rámů a obvod.kce rizalitu- příplatek za krácení</t>
  </si>
  <si>
    <t>846,5*0,1</t>
  </si>
  <si>
    <t>podlahy 10% celk.délky</t>
  </si>
  <si>
    <t>1579,3*0,1</t>
  </si>
  <si>
    <t>vestavba 10% celk.délky</t>
  </si>
  <si>
    <t>185,6*0,1</t>
  </si>
  <si>
    <t>kce rizalitu 10% celk.délky</t>
  </si>
  <si>
    <t>523</t>
  </si>
  <si>
    <t>767995101R00</t>
  </si>
  <si>
    <t>Výroba a montáž kov. atypických konstr. do 5 kg - Z06, Z07, Z08, Z11, Z12</t>
  </si>
  <si>
    <t>vč.povrchové úpravy</t>
  </si>
  <si>
    <t>5*3,5</t>
  </si>
  <si>
    <t>Z06</t>
  </si>
  <si>
    <t>3*3,5</t>
  </si>
  <si>
    <t>Z07</t>
  </si>
  <si>
    <t>4*3,5</t>
  </si>
  <si>
    <t>Z08</t>
  </si>
  <si>
    <t>2,03</t>
  </si>
  <si>
    <t>Z11</t>
  </si>
  <si>
    <t>1,74</t>
  </si>
  <si>
    <t>Z12</t>
  </si>
  <si>
    <t>524</t>
  </si>
  <si>
    <t>767995.001</t>
  </si>
  <si>
    <t>Výroba a montáž kov. atypických konstr. do 10 kg - Z13</t>
  </si>
  <si>
    <t>nosné rámy varovnávacího schodiště - 8ks</t>
  </si>
  <si>
    <t>8*8,6</t>
  </si>
  <si>
    <t>nosné rámy varovnávacího schodiště</t>
  </si>
  <si>
    <t>525</t>
  </si>
  <si>
    <t>767995104R00</t>
  </si>
  <si>
    <t>Výroba a montáž kov. atypických konstr. do 50 kg - Z09, Z10</t>
  </si>
  <si>
    <t>28,6</t>
  </si>
  <si>
    <t>kotvení zkrácených kleštin Z09</t>
  </si>
  <si>
    <t>21,1</t>
  </si>
  <si>
    <t>kotvení sloupku Z10</t>
  </si>
  <si>
    <t>526</t>
  </si>
  <si>
    <t>767995103R00</t>
  </si>
  <si>
    <t>Výroba a montáž kov. atypických konstr. do 20 kg</t>
  </si>
  <si>
    <t>ostatní drobné konstrukce</t>
  </si>
  <si>
    <t>527</t>
  </si>
  <si>
    <t>998767103R00</t>
  </si>
  <si>
    <t>Přesun hmot pro zámečnické konstr., výšky do 24 m</t>
  </si>
  <si>
    <t>23,717</t>
  </si>
  <si>
    <t>771</t>
  </si>
  <si>
    <t>Podlahy z dlaždic</t>
  </si>
  <si>
    <t>528</t>
  </si>
  <si>
    <t>771578011R00</t>
  </si>
  <si>
    <t>Spára podlaha - stěna, silikonem</t>
  </si>
  <si>
    <t>771_</t>
  </si>
  <si>
    <t>SO-01_77_</t>
  </si>
  <si>
    <t>38,5+1</t>
  </si>
  <si>
    <t>soklíky</t>
  </si>
  <si>
    <t>46,4</t>
  </si>
  <si>
    <t>obklady</t>
  </si>
  <si>
    <t>529</t>
  </si>
  <si>
    <t>771101210RT1</t>
  </si>
  <si>
    <t>Penetrace podkladu pod dlažby</t>
  </si>
  <si>
    <t>vč.dodávky penetračního nátěru</t>
  </si>
  <si>
    <t>podlahy</t>
  </si>
  <si>
    <t>1,49+2,31</t>
  </si>
  <si>
    <t>vyrovnávací schody</t>
  </si>
  <si>
    <t>530</t>
  </si>
  <si>
    <t>771212117R00</t>
  </si>
  <si>
    <t>Kladení dlažby keramické do TM, vel. do 600x600 mm</t>
  </si>
  <si>
    <t>vč dodávky tmele</t>
  </si>
  <si>
    <t>35,50</t>
  </si>
  <si>
    <t>531</t>
  </si>
  <si>
    <t>59764207</t>
  </si>
  <si>
    <t>Dlažba keramická 600x600x9 mm, rektifikovaná pro tenké spáry (ztratné 15%)</t>
  </si>
  <si>
    <t>20,9*0,08+1*0,2</t>
  </si>
  <si>
    <t>;ztratné 15%; 5,6055</t>
  </si>
  <si>
    <t>532</t>
  </si>
  <si>
    <t>771475014R00</t>
  </si>
  <si>
    <t>Obklad soklíků keram.rovných, tmel,výška 8 cm</t>
  </si>
  <si>
    <t>20,9</t>
  </si>
  <si>
    <t>generovaná váměra</t>
  </si>
  <si>
    <t>533</t>
  </si>
  <si>
    <t>998771103R00</t>
  </si>
  <si>
    <t>Přesun hmot pro podlahy z dlaždic, výšky do 24 m</t>
  </si>
  <si>
    <t>0,847</t>
  </si>
  <si>
    <t>772</t>
  </si>
  <si>
    <t>Podlahy z přírodního a konglomerovaného kamene</t>
  </si>
  <si>
    <t>534</t>
  </si>
  <si>
    <t>772231302.001</t>
  </si>
  <si>
    <t>Obklad stupňů,kamen tvrdý,stupnice deskami tl.3 cm do tmele (C2TE)</t>
  </si>
  <si>
    <t>R položks</t>
  </si>
  <si>
    <t>772_</t>
  </si>
  <si>
    <t>bezespr na sraz</t>
  </si>
  <si>
    <t>2,75*3</t>
  </si>
  <si>
    <t>535</t>
  </si>
  <si>
    <t>583878862.A</t>
  </si>
  <si>
    <t>Nástupnice slezská žula jemnozrná smirkovaná, šířka 330 mm, tl. 30 mm</t>
  </si>
  <si>
    <t>8,25</t>
  </si>
  <si>
    <t>536</t>
  </si>
  <si>
    <t>772231413.001</t>
  </si>
  <si>
    <t>Obklad stupňů,kamen tvrdý,podstup.deskami tl.2 cm do tmele (C2TE)</t>
  </si>
  <si>
    <t>bezespar na sraz</t>
  </si>
  <si>
    <t>537</t>
  </si>
  <si>
    <t>583878981.A</t>
  </si>
  <si>
    <t>Podstupnice slezská žula jemnozrná smirkovaná, výška do 200 mm, tl. 20 mm</t>
  </si>
  <si>
    <t>538</t>
  </si>
  <si>
    <t>772403123.001</t>
  </si>
  <si>
    <t>Montáž obkladu šikmých soklů na schodišti kamenem tl. 10 mm do tmele</t>
  </si>
  <si>
    <t>zapuštěný sokl, lícovat s povrchovou úpravou; horní hrana sklu ve spádu schodiště</t>
  </si>
  <si>
    <t>1,4*2</t>
  </si>
  <si>
    <t>539</t>
  </si>
  <si>
    <t>58386652.A</t>
  </si>
  <si>
    <t>Sokl slezská žula jemnozrná smirkovaná tl.10mm,  v do 30 cm</t>
  </si>
  <si>
    <t>540</t>
  </si>
  <si>
    <t>998772101R00</t>
  </si>
  <si>
    <t>Přesun hmot pro dlažby z kamene, výšky do 6 m</t>
  </si>
  <si>
    <t>0,86</t>
  </si>
  <si>
    <t>776</t>
  </si>
  <si>
    <t>Podlahy povlakové</t>
  </si>
  <si>
    <t>541</t>
  </si>
  <si>
    <t>776431010.001</t>
  </si>
  <si>
    <t>Dod.+mont.podlahových soklík z pásku kinolea do lišt v=50mm (lišty lepené)</t>
  </si>
  <si>
    <t>776_</t>
  </si>
  <si>
    <t>vč.dodávky lišt a linolea na soklíky</t>
  </si>
  <si>
    <t>237,31</t>
  </si>
  <si>
    <t>542</t>
  </si>
  <si>
    <t>776521110R00</t>
  </si>
  <si>
    <t>Lepení povlak.podlah z pásů přírodního linolea disperz.lepidlem</t>
  </si>
  <si>
    <t>200,9</t>
  </si>
  <si>
    <t>543</t>
  </si>
  <si>
    <t>28410105</t>
  </si>
  <si>
    <t>Linoleum min tl. 2,5 mm, role š. 2 m ; třida zátěže 34 (ztratné 5%)</t>
  </si>
  <si>
    <t>podlaha (generovaná výměra)</t>
  </si>
  <si>
    <t>;ztratné 5%; 10,045</t>
  </si>
  <si>
    <t>544</t>
  </si>
  <si>
    <t>776981121RT2</t>
  </si>
  <si>
    <t>Dod.+mont. lišta nerezová přechodová, stejná výška krytin-dilatace linolea</t>
  </si>
  <si>
    <t>kartáčovaná nerez, šířky 40 mm</t>
  </si>
  <si>
    <t>545</t>
  </si>
  <si>
    <t>776521230R00</t>
  </si>
  <si>
    <t>Lepení podlah povlakových z pásů, vodivých</t>
  </si>
  <si>
    <t>74,9</t>
  </si>
  <si>
    <t>546</t>
  </si>
  <si>
    <t>28410174</t>
  </si>
  <si>
    <t>Linoleum elektrostaticky vodivé tl. 2,5 mm, š. 2 m, tř zátěže 34 (ztratné 5%)</t>
  </si>
  <si>
    <t>;ztratné 5%; 3,745</t>
  </si>
  <si>
    <t>547</t>
  </si>
  <si>
    <t>776971509R00</t>
  </si>
  <si>
    <t>Dod.+mont čistící zóny vnitřní</t>
  </si>
  <si>
    <t>2,6</t>
  </si>
  <si>
    <t>548</t>
  </si>
  <si>
    <t>776996110R00</t>
  </si>
  <si>
    <t>Napuštění povlakových podlah pastou</t>
  </si>
  <si>
    <t>180,9</t>
  </si>
  <si>
    <t>549</t>
  </si>
  <si>
    <t>998776103R00</t>
  </si>
  <si>
    <t>Přesun hmot pro podlahy povlakové, výšky do 24 m</t>
  </si>
  <si>
    <t>1,14</t>
  </si>
  <si>
    <t>781</t>
  </si>
  <si>
    <t>Obklady (keramické)</t>
  </si>
  <si>
    <t>550</t>
  </si>
  <si>
    <t>781101210RT1</t>
  </si>
  <si>
    <t>Penetrace podkladu pod obklady</t>
  </si>
  <si>
    <t>781_</t>
  </si>
  <si>
    <t>SO-01_78_</t>
  </si>
  <si>
    <t>94,1</t>
  </si>
  <si>
    <t>551</t>
  </si>
  <si>
    <t>781111112RT1</t>
  </si>
  <si>
    <t>Řezání a broušení hran obkladů 45° - "kamenický roh"</t>
  </si>
  <si>
    <t>střep standardní, zhotovení na místě</t>
  </si>
  <si>
    <t>4*2,05</t>
  </si>
  <si>
    <t>552</t>
  </si>
  <si>
    <t>781475120R00</t>
  </si>
  <si>
    <t>Obklad vnitřní stěn keramický, do tmele 30x60 cm</t>
  </si>
  <si>
    <t>553</t>
  </si>
  <si>
    <t>781479705RT3</t>
  </si>
  <si>
    <t>Přípl.za spárovací hmotu - plošně</t>
  </si>
  <si>
    <t>malta Keracolor FF (Mapei)</t>
  </si>
  <si>
    <t>554</t>
  </si>
  <si>
    <t>597813747</t>
  </si>
  <si>
    <t>Obkládačka keramická, rektifikovaná pro tenké spáry 300x 600mm (ztratné 10%)</t>
  </si>
  <si>
    <t>obklady stěn</t>
  </si>
  <si>
    <t>;ztratné 10%; 9,41</t>
  </si>
  <si>
    <t>555</t>
  </si>
  <si>
    <t>998781103R00</t>
  </si>
  <si>
    <t>Přesun hmot pro obklady keramické, výšky do 24 m</t>
  </si>
  <si>
    <t>2,54</t>
  </si>
  <si>
    <t>783</t>
  </si>
  <si>
    <t>Nátěry</t>
  </si>
  <si>
    <t>556</t>
  </si>
  <si>
    <t>783782205R00</t>
  </si>
  <si>
    <t>Nátěr tesařských konstrukcí Bochemitem QB 2x</t>
  </si>
  <si>
    <t>783_</t>
  </si>
  <si>
    <t>4011</t>
  </si>
  <si>
    <t>557</t>
  </si>
  <si>
    <t>783226100R00</t>
  </si>
  <si>
    <t>Nátěr syntetický kovových konstrukcí základní</t>
  </si>
  <si>
    <t>29,6</t>
  </si>
  <si>
    <t>558</t>
  </si>
  <si>
    <t>783225600R00</t>
  </si>
  <si>
    <t>Nátěr syntetický kovových konstrukcí 2x email</t>
  </si>
  <si>
    <t>559</t>
  </si>
  <si>
    <t>783903811R00</t>
  </si>
  <si>
    <t>Odmaštění chemickými rozpouštědly</t>
  </si>
  <si>
    <t>29,6+25,3</t>
  </si>
  <si>
    <t>560</t>
  </si>
  <si>
    <t>783222130RT1</t>
  </si>
  <si>
    <t>Nátěr syntetický kov.konstrukcí 2x (zárubně)</t>
  </si>
  <si>
    <t>2v1 na železo</t>
  </si>
  <si>
    <t>25,3</t>
  </si>
  <si>
    <t>784</t>
  </si>
  <si>
    <t>Malby</t>
  </si>
  <si>
    <t>561</t>
  </si>
  <si>
    <t>784111701R00</t>
  </si>
  <si>
    <t>Penetrace podkladu 1x - SDK desky, štukové omítky (stropy,stěny)</t>
  </si>
  <si>
    <t>784_</t>
  </si>
  <si>
    <t>8,1</t>
  </si>
  <si>
    <t>omítky</t>
  </si>
  <si>
    <t>639,7</t>
  </si>
  <si>
    <t>SDKV stěn</t>
  </si>
  <si>
    <t>363,1</t>
  </si>
  <si>
    <t>SDKV podhledy</t>
  </si>
  <si>
    <t>562</t>
  </si>
  <si>
    <t>784195212R00</t>
  </si>
  <si>
    <t>Malba SDK desek, štuk.omítek barvou tekutou, bílá, 2 x (stěny, strop)</t>
  </si>
  <si>
    <t>barva se zvýšenou otěruvzdorností (odolnost proti oděru za mokra dle ČSN EN 13300 - třída 3)</t>
  </si>
  <si>
    <t>1010/2</t>
  </si>
  <si>
    <t>563</t>
  </si>
  <si>
    <t>784195222R00</t>
  </si>
  <si>
    <t>Malba SDK desek, štuk.omítek barvou tekutou, barva, 2 x</t>
  </si>
  <si>
    <t>barva se zvýšenou otěruvzdorností barva se zvýšenou otěruvzdorností (odolnost proti oděru za mokra dle ČSN EN 13300 - třída 3)</t>
  </si>
  <si>
    <t>796VD</t>
  </si>
  <si>
    <t>Protipožární a bezpečnostní zařízení</t>
  </si>
  <si>
    <t>564</t>
  </si>
  <si>
    <t>796001</t>
  </si>
  <si>
    <t>Montáž požárních a bezpečnostních zařízení</t>
  </si>
  <si>
    <t>soub.</t>
  </si>
  <si>
    <t>796VD_</t>
  </si>
  <si>
    <t>SO-01_79_</t>
  </si>
  <si>
    <t>hasící přístroje, tabulky, značky</t>
  </si>
  <si>
    <t>565</t>
  </si>
  <si>
    <t>44984114</t>
  </si>
  <si>
    <t>Přístroj hasicí práškový-hasící schopnost 21A</t>
  </si>
  <si>
    <t>566</t>
  </si>
  <si>
    <t>796009</t>
  </si>
  <si>
    <t>Dodávka požárních, informační a bezpečnostních značek</t>
  </si>
  <si>
    <t>743.1</t>
  </si>
  <si>
    <t>HZS foptovoltaika</t>
  </si>
  <si>
    <t>567</t>
  </si>
  <si>
    <t>900      R02</t>
  </si>
  <si>
    <t>HZS - zednické výpomoci související s pracemi PSV (ZTI, UT, VZT, elektro)</t>
  </si>
  <si>
    <t>743.1_</t>
  </si>
  <si>
    <t>stavební dělník v tarifní třídě 5 - zazdění, zaomítání rýh, kapes a drážek.; zazdění, zabetonování konzol, závěsů a objímek. zazdění a zabetonování prostupů, zapravení kcí suché výstavby a ostatní práce HSV související s dodávkami PSV a montážními pracemi</t>
  </si>
  <si>
    <t>568</t>
  </si>
  <si>
    <t>589001</t>
  </si>
  <si>
    <t>Podružný materiál zednických výpomocí (malty, zdící materiál,beton, materiály suchý výstavby)</t>
  </si>
  <si>
    <t>Lešení a stavební výtahy</t>
  </si>
  <si>
    <t>569</t>
  </si>
  <si>
    <t>941941042R00</t>
  </si>
  <si>
    <t>Montáž lešení leh.řad.s podlahami,š.1,2 m, H 30 m</t>
  </si>
  <si>
    <t>94_</t>
  </si>
  <si>
    <t>SO-01_9_</t>
  </si>
  <si>
    <t>(18+2*2,9)*17,5</t>
  </si>
  <si>
    <t>(10,6+4,9)*4,7</t>
  </si>
  <si>
    <t>570</t>
  </si>
  <si>
    <t>941941292R00</t>
  </si>
  <si>
    <t>Příplatek za každý měsíc použití lešení k pol.1042</t>
  </si>
  <si>
    <t>celkem 6 měsíců</t>
  </si>
  <si>
    <t>489,35*6</t>
  </si>
  <si>
    <t>571</t>
  </si>
  <si>
    <t>941941842R00</t>
  </si>
  <si>
    <t>Demontáž lešení leh.řad.s podlahami,š.1,2 m,H 30 m</t>
  </si>
  <si>
    <t>489,35</t>
  </si>
  <si>
    <t>572</t>
  </si>
  <si>
    <t>941955001R00</t>
  </si>
  <si>
    <t>Lešení lehké pomocné, výška podlahy do 1,2 m</t>
  </si>
  <si>
    <t>600</t>
  </si>
  <si>
    <t>573</t>
  </si>
  <si>
    <t>941955002R00</t>
  </si>
  <si>
    <t>Lešení lehké pomocné, výška podlahy do 1,9 m</t>
  </si>
  <si>
    <t>574</t>
  </si>
  <si>
    <t>941955202R00</t>
  </si>
  <si>
    <t>Lešení lehké pomocné,šachta pl.do 6 m2, H do 3,5 m</t>
  </si>
  <si>
    <t>1,91*2,97</t>
  </si>
  <si>
    <t>Různé dokončovací konstrukce a práce na pozemních stavbách</t>
  </si>
  <si>
    <t>575</t>
  </si>
  <si>
    <t>952902110R00</t>
  </si>
  <si>
    <t>Zametání v místnostech, chodbách, na  schodišti a na půdách</t>
  </si>
  <si>
    <t>95_</t>
  </si>
  <si>
    <t>úklid před zpětnou pokládkou tepel.izolace</t>
  </si>
  <si>
    <t>576</t>
  </si>
  <si>
    <t>952901111R00</t>
  </si>
  <si>
    <t>Vyčištění budov o výšce podlaží do 4 m</t>
  </si>
  <si>
    <t>638,2</t>
  </si>
  <si>
    <t>577</t>
  </si>
  <si>
    <t>913      R00</t>
  </si>
  <si>
    <t>Hzs - Stavební dělník - neměřitelné stavební práce spojené s půdní vestavbou a výměnou střešní krytiny</t>
  </si>
  <si>
    <t>578</t>
  </si>
  <si>
    <t>953981101R00</t>
  </si>
  <si>
    <t>Chemické kotvy do betonu, hl. 80 mm, M 8, chemická malta D+M</t>
  </si>
  <si>
    <t>8*4</t>
  </si>
  <si>
    <t>schodnice vyrovn.schodiště</t>
  </si>
  <si>
    <t>579</t>
  </si>
  <si>
    <t>953981303.001</t>
  </si>
  <si>
    <t>Chemické kotvy, cihly, kotvení hl.min 130 mm, M12, chemická malta D+M</t>
  </si>
  <si>
    <t>závit,tyč, podložka, matka</t>
  </si>
  <si>
    <t>kotvení C 200/2,5</t>
  </si>
  <si>
    <t>580</t>
  </si>
  <si>
    <t>953981103.002</t>
  </si>
  <si>
    <t>Chemické kotvy do betonu, kotvení hl. min 170 mm, M 12, chemická malta D+M</t>
  </si>
  <si>
    <t>kotvení vodícího profilu rizalitu</t>
  </si>
  <si>
    <t>581</t>
  </si>
  <si>
    <t>953981304.001</t>
  </si>
  <si>
    <t>Chemické kotvy, cihly, kotevní hl. min 170 mm, M16, chemická malta D+M</t>
  </si>
  <si>
    <t>Délka kotveného nosníku -112m; závit,tyč, podložka, matka;</t>
  </si>
  <si>
    <t>112*2</t>
  </si>
  <si>
    <t>předpoklad PD 2ks/m nosníku</t>
  </si>
  <si>
    <t>582</t>
  </si>
  <si>
    <t>953981104.002</t>
  </si>
  <si>
    <t>Chemické kotvy beton/cihla, kotvení hl. 300 mm, ocet trny prům 16mm, chemická malta D+M</t>
  </si>
  <si>
    <t>celk.délka trnu 600mm</t>
  </si>
  <si>
    <t>věnec rizalit</t>
  </si>
  <si>
    <t>583</t>
  </si>
  <si>
    <t>953900.001</t>
  </si>
  <si>
    <t>Test únosnosti kotev v cihelném zdivu-tahová (výtažná)zkouška</t>
  </si>
  <si>
    <t>kotvení nosných prvků</t>
  </si>
  <si>
    <t>584</t>
  </si>
  <si>
    <t>953946111R00</t>
  </si>
  <si>
    <t>Osazení ventilačních mřížek</t>
  </si>
  <si>
    <t>585</t>
  </si>
  <si>
    <t>4297311.001</t>
  </si>
  <si>
    <t>Mřížka stěnová 300 x 150 mm, elox.hliník oboustranná vč.upevňovacího rámečku; skryté uchycení</t>
  </si>
  <si>
    <t>586</t>
  </si>
  <si>
    <t>953946111.001</t>
  </si>
  <si>
    <t>Osazení ventilačních mřížek protipožárních</t>
  </si>
  <si>
    <t>587</t>
  </si>
  <si>
    <t>4297311.002</t>
  </si>
  <si>
    <t>Mřížka protipožární stěnová 200 x 100 mm do SDK, EI 30</t>
  </si>
  <si>
    <t>Bourání konstrukcí</t>
  </si>
  <si>
    <t>588</t>
  </si>
  <si>
    <t>962032641R00</t>
  </si>
  <si>
    <t>Bourání zdiva komínového z cihel na MC</t>
  </si>
  <si>
    <t>96_</t>
  </si>
  <si>
    <t>nadstřešní část</t>
  </si>
  <si>
    <t>1,3*0,65*1,8</t>
  </si>
  <si>
    <t>0,5*0,65*2,7</t>
  </si>
  <si>
    <t>1,65*0,65*2,7</t>
  </si>
  <si>
    <t>1,1*0,65*2,7</t>
  </si>
  <si>
    <t>589</t>
  </si>
  <si>
    <t>962032631R00</t>
  </si>
  <si>
    <t>Bourání zdiva komínového z cihel na MVC</t>
  </si>
  <si>
    <t>v půdním prostoru</t>
  </si>
  <si>
    <t>29,07</t>
  </si>
  <si>
    <t>590</t>
  </si>
  <si>
    <t>962031116R00</t>
  </si>
  <si>
    <t>Bourání příček z cihel pálených plných tl. 140 mm</t>
  </si>
  <si>
    <t>33,7</t>
  </si>
  <si>
    <t>591</t>
  </si>
  <si>
    <t>962032314R00</t>
  </si>
  <si>
    <t>Bourání pilířů cihelných</t>
  </si>
  <si>
    <t>592</t>
  </si>
  <si>
    <t>963051110R00</t>
  </si>
  <si>
    <t>Bourání ŽB komín desek tl. do 8 cm</t>
  </si>
  <si>
    <t>1,4*0,75*0,07</t>
  </si>
  <si>
    <t>0,65*0,75*0,07</t>
  </si>
  <si>
    <t>1,75*0,75*0,07</t>
  </si>
  <si>
    <t>1,2*0,75*0,07</t>
  </si>
  <si>
    <t>593</t>
  </si>
  <si>
    <t>965081113.001</t>
  </si>
  <si>
    <t>Bourání dlažeb z dlaždic půdních plochy nad 1 m2</t>
  </si>
  <si>
    <t>vč.maltového lože tl30mm</t>
  </si>
  <si>
    <t>výtah šachta</t>
  </si>
  <si>
    <t>2,9*2,5</t>
  </si>
  <si>
    <t>část m.č.402</t>
  </si>
  <si>
    <t>594</t>
  </si>
  <si>
    <t>965082923R00</t>
  </si>
  <si>
    <t>Odstranění násypu tl. do 10 cm, plocha nad 2 m2</t>
  </si>
  <si>
    <t>(7,42+30,75+7,25)*0,1</t>
  </si>
  <si>
    <t>595</t>
  </si>
  <si>
    <t>968062244R00</t>
  </si>
  <si>
    <t>Vybourání dřevěných rámů oken jednoduch. pl. 1 m2</t>
  </si>
  <si>
    <t>0,6*1,65*5</t>
  </si>
  <si>
    <t>596</t>
  </si>
  <si>
    <t>968072455R00</t>
  </si>
  <si>
    <t>Vybourání kovových dveřních zárubní pl. do 2 m2</t>
  </si>
  <si>
    <t>0,9*2</t>
  </si>
  <si>
    <t>597</t>
  </si>
  <si>
    <t>968071125R00</t>
  </si>
  <si>
    <t>Vyvěšení, zavěšení kovových křídel dveří pl. 2 m2</t>
  </si>
  <si>
    <t>Prorážení otvorů a ostatní bourací práce</t>
  </si>
  <si>
    <t>598</t>
  </si>
  <si>
    <t>979090.001</t>
  </si>
  <si>
    <t>Drcení (štěpkování) vybouraných dřevěných konstrukcí průměru do 20 cm</t>
  </si>
  <si>
    <t>97_</t>
  </si>
  <si>
    <t>80% vybouraných hmot</t>
  </si>
  <si>
    <t>(7,978/0,6)*0,8</t>
  </si>
  <si>
    <t>vybourané dřevěné kce 80%</t>
  </si>
  <si>
    <t>599</t>
  </si>
  <si>
    <t>979096000.001</t>
  </si>
  <si>
    <t>Přistavení štěpkovače</t>
  </si>
  <si>
    <t>979096000.002</t>
  </si>
  <si>
    <t>Přistavení mobilní drtící jednotky</t>
  </si>
  <si>
    <t>601</t>
  </si>
  <si>
    <t>979096205R00</t>
  </si>
  <si>
    <t>Plnění mobilní drticí jednotky stavební sutí</t>
  </si>
  <si>
    <t>(87,39-6,71)*0,8</t>
  </si>
  <si>
    <t>cihel. a beton.kce 80%</t>
  </si>
  <si>
    <t>602</t>
  </si>
  <si>
    <t>979096211R00</t>
  </si>
  <si>
    <t>Drcení stavební suti mobilní drticí jednotkou</t>
  </si>
  <si>
    <t>603</t>
  </si>
  <si>
    <t>979096221R00</t>
  </si>
  <si>
    <t>Třídění stavební suti mobilní třídicí jednotkou</t>
  </si>
  <si>
    <t>64,54</t>
  </si>
  <si>
    <t>604</t>
  </si>
  <si>
    <t>Hzs - Stavební dělník -bourání skrytých konstrukcí, neměřitelné bourací práce</t>
  </si>
  <si>
    <t>H99</t>
  </si>
  <si>
    <t>Ostatní přesuny hmot</t>
  </si>
  <si>
    <t>605</t>
  </si>
  <si>
    <t>999281111R00</t>
  </si>
  <si>
    <t>Přesun hmot pro opravy a údržbu do výšky 25 m</t>
  </si>
  <si>
    <t>H99_</t>
  </si>
  <si>
    <t>89,80+2,5</t>
  </si>
  <si>
    <t>M22</t>
  </si>
  <si>
    <t>Montáže sdělovací a zabezpečovací techniky</t>
  </si>
  <si>
    <t>606</t>
  </si>
  <si>
    <t>222101</t>
  </si>
  <si>
    <t>Zkoušky, měření a revize - slaboproud</t>
  </si>
  <si>
    <t>M22_</t>
  </si>
  <si>
    <t>607</t>
  </si>
  <si>
    <t>222102</t>
  </si>
  <si>
    <t>Doprava materiálu a přesuny hmot- slaboproud</t>
  </si>
  <si>
    <t>765</t>
  </si>
  <si>
    <t>Krytina tvrdá</t>
  </si>
  <si>
    <t>608</t>
  </si>
  <si>
    <t>765375118R00</t>
  </si>
  <si>
    <t>Krytina polykarbonátová, trapéz 183/40, na ocel</t>
  </si>
  <si>
    <t>765_</t>
  </si>
  <si>
    <t>3*6,5</t>
  </si>
  <si>
    <t>M33</t>
  </si>
  <si>
    <t>Montáže dopravních zařízení a vah</t>
  </si>
  <si>
    <t>609</t>
  </si>
  <si>
    <t>330030120.001</t>
  </si>
  <si>
    <t>Dod.+mont.prodloužení stávajícího výtahu - prodloužení o 4,75m (1 stanice)</t>
  </si>
  <si>
    <t>M33_</t>
  </si>
  <si>
    <t>Stávající osobo-nákladní, lanový, bezstrojovnový výtah: KONE-Eco Space 1 
- nosnost 1000kg, rychlost 1,0m/s, zdvih 11,85m, rozměr průchozí kabiny 1100x2100x2100mm; šachetní jednokřídl.posuvné dveře š=900mm s požární odolností EW15-C DP1
výtah  (svařovaná kce z zavřených ocelových profilů)</t>
  </si>
  <si>
    <t>M43</t>
  </si>
  <si>
    <t>Montáže ocelových konstrukcí</t>
  </si>
  <si>
    <t>610</t>
  </si>
  <si>
    <t>430900.001</t>
  </si>
  <si>
    <t>Výrobní dokumentace-nástavba ocelového požárního schodiště</t>
  </si>
  <si>
    <t>M43_</t>
  </si>
  <si>
    <t>611</t>
  </si>
  <si>
    <t>430900.002</t>
  </si>
  <si>
    <t>Výrobní dokumentace-ocelová konstrukce výtahové šachty</t>
  </si>
  <si>
    <t>612</t>
  </si>
  <si>
    <t>430827101.001</t>
  </si>
  <si>
    <t>Montáž opláštění z tahokovu</t>
  </si>
  <si>
    <t>4,2*3,5</t>
  </si>
  <si>
    <t>613</t>
  </si>
  <si>
    <t>15945060</t>
  </si>
  <si>
    <t>Tahokov pozink. 16/8x1,6x1,0 mm (3,15kgt/m2)</t>
  </si>
  <si>
    <t>14,9*3,15/1000</t>
  </si>
  <si>
    <t>614</t>
  </si>
  <si>
    <t>430861001.01</t>
  </si>
  <si>
    <t>Výroba  ocelové konstrukce nástavby požárního schodiště vč.povrchové úpravy žárovým zinkováním, vč.stupňů, podest z pororoštů a zábradlí</t>
  </si>
  <si>
    <t>Nová konstrukce:
hmotnost konstrukce - 1606,2 kg
svary a spojovací materiál - 5% (80kg)
drobný materiál - 11% (177kg)</t>
  </si>
  <si>
    <t>1606,2+80,0+177,0</t>
  </si>
  <si>
    <t>615</t>
  </si>
  <si>
    <t>430861001.001</t>
  </si>
  <si>
    <t>Demontáž ocelové konstrukce požárního schodiště ke zpětnému použití</t>
  </si>
  <si>
    <t>854,24+129</t>
  </si>
  <si>
    <t>zpětná montáž + 15% svary a spoj.materiál</t>
  </si>
  <si>
    <t>616</t>
  </si>
  <si>
    <t>430861001.102</t>
  </si>
  <si>
    <t>Montáž ocelové konstrukce nástavby požárního schodiště</t>
  </si>
  <si>
    <t>sestavení vyrobených dílů na stavbě, vč.jejich dopravy  na stavbu</t>
  </si>
  <si>
    <t>1863,2</t>
  </si>
  <si>
    <t>nová kce</t>
  </si>
  <si>
    <t>617</t>
  </si>
  <si>
    <t>430861001.103</t>
  </si>
  <si>
    <t>Výroba  ocelové konstrukce prodloužení výtahové šachty</t>
  </si>
  <si>
    <t>hmotnost konstrukce - 689 kg
svary a spojovací materiál - 5% (35kg)
drobný materiál - 11% (76kg)</t>
  </si>
  <si>
    <t>800</t>
  </si>
  <si>
    <t>618</t>
  </si>
  <si>
    <t>430861001.104</t>
  </si>
  <si>
    <t>Montáž ocelové konstrukce nástavby výtahové šachty</t>
  </si>
  <si>
    <t>sestavení vyrobených dílů na stavbě</t>
  </si>
  <si>
    <t>S</t>
  </si>
  <si>
    <t>Přesuny sutí</t>
  </si>
  <si>
    <t>619</t>
  </si>
  <si>
    <t>979011311R00</t>
  </si>
  <si>
    <t>Svislá doprava suti a vybouraných hmot shozem</t>
  </si>
  <si>
    <t>S_</t>
  </si>
  <si>
    <t>87,39</t>
  </si>
  <si>
    <t>620</t>
  </si>
  <si>
    <t>979011321R00</t>
  </si>
  <si>
    <t>Montáž a demontáž shozu za 2.NP</t>
  </si>
  <si>
    <t>621</t>
  </si>
  <si>
    <t>979011329R00</t>
  </si>
  <si>
    <t>Přípl. k mont.a dem. shozu za každé další podlaží</t>
  </si>
  <si>
    <t>podlaž</t>
  </si>
  <si>
    <t>2*2</t>
  </si>
  <si>
    <t>622</t>
  </si>
  <si>
    <t>979013112R00</t>
  </si>
  <si>
    <t>Svislá doprava vybouraných hmot na H do 3,5 m</t>
  </si>
  <si>
    <t>7,98</t>
  </si>
  <si>
    <t>tesař.kce</t>
  </si>
  <si>
    <t>623</t>
  </si>
  <si>
    <t>979013119R00</t>
  </si>
  <si>
    <t>Příplatek k hmotám za každých dalších 3,5 m výšky</t>
  </si>
  <si>
    <t>celkem 4x</t>
  </si>
  <si>
    <t>7,98*4</t>
  </si>
  <si>
    <t>624</t>
  </si>
  <si>
    <t>979081111R00</t>
  </si>
  <si>
    <t>Odvoz suti a vybour. hmot na skládku do 1 km</t>
  </si>
  <si>
    <t>včetně naložení na dopravní prostředek a složení na skládce, bez poplatku za skládku.</t>
  </si>
  <si>
    <t>1,6</t>
  </si>
  <si>
    <t>dřevěné kce 20%</t>
  </si>
  <si>
    <t>6,356+0,214+0,139</t>
  </si>
  <si>
    <t>ostatní kce</t>
  </si>
  <si>
    <t>16,14</t>
  </si>
  <si>
    <t>cihel. a beton.kce 20%</t>
  </si>
  <si>
    <t>625</t>
  </si>
  <si>
    <t>979081121R00</t>
  </si>
  <si>
    <t>Příplatek k odvozu za každý další 1 km 5x (celkem 6 km)</t>
  </si>
  <si>
    <t>24,45*5</t>
  </si>
  <si>
    <t>626</t>
  </si>
  <si>
    <t>979082111R00</t>
  </si>
  <si>
    <t>Vnitrostaveništní doprava suti do 10 m</t>
  </si>
  <si>
    <t>87,39+7,98</t>
  </si>
  <si>
    <t>627</t>
  </si>
  <si>
    <t>979082121R00</t>
  </si>
  <si>
    <t>Příplatek k vnitrost. dopravě suti za dalších 5 m (3x)</t>
  </si>
  <si>
    <t>95,37*3</t>
  </si>
  <si>
    <t>628</t>
  </si>
  <si>
    <t>979083116R00</t>
  </si>
  <si>
    <t>Vodorovné přemístění suti na skládku investora do 5000 m</t>
  </si>
  <si>
    <t>prostor pro recyklaci výkup kovů</t>
  </si>
  <si>
    <t>drcené cihlel.a beton. kce</t>
  </si>
  <si>
    <t>6,38</t>
  </si>
  <si>
    <t>štěpkované dřevěné kce</t>
  </si>
  <si>
    <t>629</t>
  </si>
  <si>
    <t>979990107.01</t>
  </si>
  <si>
    <t>Poplatek za uložení suti - směsné stavební a demoliční suti bez obsahu nebezpečných látek skupina odpadu 170904</t>
  </si>
  <si>
    <t>24,45</t>
  </si>
  <si>
    <t>SO-02</t>
  </si>
  <si>
    <t>Edukační centrum,digital.pracoviště-kód interv.044</t>
  </si>
  <si>
    <t>630</t>
  </si>
  <si>
    <t>741-1</t>
  </si>
  <si>
    <t>SO-02_74_</t>
  </si>
  <si>
    <t>SO-02_</t>
  </si>
  <si>
    <t>631</t>
  </si>
  <si>
    <t>741-2</t>
  </si>
  <si>
    <t>632</t>
  </si>
  <si>
    <t>741-3</t>
  </si>
  <si>
    <t>Nástěnné pohybové čidlo IP44</t>
  </si>
  <si>
    <t>633</t>
  </si>
  <si>
    <t>741-4</t>
  </si>
  <si>
    <t>K1-svítidlo interiér,, přisazené se zdrojem LED 49W/7630lm/4000K, základna ocel.plech,stínítko skleněné Triplex opál mat, D500 x 61cm, IP44, tř.ochr.1</t>
  </si>
  <si>
    <t>634</t>
  </si>
  <si>
    <t>741-5</t>
  </si>
  <si>
    <t>A1 - Liniové LED svítidlo, těleso eloxovaný hliník, opálový difuzor, tř.ochr.1, IP20, 30W,4600lm, 4000K, Ra80, 73x72,5x1170mm, přisazené</t>
  </si>
  <si>
    <t>635</t>
  </si>
  <si>
    <t>741-6</t>
  </si>
  <si>
    <t>A2 - Liniové LED svítidlo, těleso eloxovaný hliník, opálový difusor, tř.ochr. 1, IP20, 37W,5500lm, 4000K, Ra80, 73x72,5x1170mm, přisazené</t>
  </si>
  <si>
    <t>636</t>
  </si>
  <si>
    <t>741-7</t>
  </si>
  <si>
    <t>A3-svítidlo interiér.přisazené, se zdrojem LED 9W/3880lm,3000K, základna ocel.plech, stínítko skleněné Triplex opál, mat, D420x90mm, IP44, tř.ochr.1</t>
  </si>
  <si>
    <t>637</t>
  </si>
  <si>
    <t>741-8</t>
  </si>
  <si>
    <t>A4-svítidlo interiér.přisazené se zdrojem LED 20W, 2700lm, 3000K, základna ocel.plech,stínítko skleněné, Triplex opál, mat, D360x88mm, IP44, tř.ochr.1</t>
  </si>
  <si>
    <t>638</t>
  </si>
  <si>
    <t>741-9</t>
  </si>
  <si>
    <t>A5-svítidlo koupelnové se zdrojem LED přisazené, těleso ocel.hliník chrom, stínítko plast čiré, 10W, 1300lm, 3000K, IP44, tř.ochr. II</t>
  </si>
  <si>
    <t xml:space="preserve"> l=595mm x v=88mm x h=65mm; D+M</t>
  </si>
  <si>
    <t>639</t>
  </si>
  <si>
    <t>741-10</t>
  </si>
  <si>
    <t>A6-liniové LED svítidlo, těleso eloxovaný hliník, opálový difusor, tř.ochr. 1, IP20, 37W,5500lm, 4000K, Ra80, 73x72,5x1170mm, přisazené</t>
  </si>
  <si>
    <t>640</t>
  </si>
  <si>
    <t>741-11</t>
  </si>
  <si>
    <t>L1-svítidlo přisazené, nástěnné bílé, vč. ozdobného kroužku, hliníkový odlitek, difusor plastový, IP20, tř.ochr. 1</t>
  </si>
  <si>
    <t>rozměry 85x220xD68mm, vč.2ks LED žárovek 450lm, 2700K; D+M</t>
  </si>
  <si>
    <t>641</t>
  </si>
  <si>
    <t>EN2-venkovní kruhové hliníkové svítidlo přisazené s opálovým difusorem z polykarbonátu, barva stříbrnošedá, 2xE27, IP54,</t>
  </si>
  <si>
    <t>rozměry D=300mm, H=85mm, vč. 2ks LEd žárovek 13W, 230V, 1521lm, 4000K; D+M</t>
  </si>
  <si>
    <t>642</t>
  </si>
  <si>
    <t>741-13</t>
  </si>
  <si>
    <t>S - LED svítidlo v krytí IP66 odolné vůči prachu a vlhku, 43,6W, 6400lm, 4000K, 1600x92x90mm</t>
  </si>
  <si>
    <t>643</t>
  </si>
  <si>
    <t>741-14</t>
  </si>
  <si>
    <t>N1 - Přisazené nouzové svítidlo Pluraluce SL(asym), ALOG, DA, LED 2,5W, IP41, NEW</t>
  </si>
  <si>
    <t>644</t>
  </si>
  <si>
    <t>741-15</t>
  </si>
  <si>
    <t>N2 - Nástěnné nouzové svítidlo Formula RZL/SL (25cm) Alog, WA/DA, LED 3,2W, IP65 NEW, včetně signalizačního piktogramu</t>
  </si>
  <si>
    <t>645</t>
  </si>
  <si>
    <t>741-16</t>
  </si>
  <si>
    <t>Kompletní dodávka rozvodnice RK, technologie MaR (dodávka společně s TČ) vč. její instalace</t>
  </si>
  <si>
    <t>646</t>
  </si>
  <si>
    <t>741-17</t>
  </si>
  <si>
    <t>Přesun materíálů-silnoproud</t>
  </si>
  <si>
    <t>647</t>
  </si>
  <si>
    <t>741-18</t>
  </si>
  <si>
    <t>648</t>
  </si>
  <si>
    <t>741-19</t>
  </si>
  <si>
    <t>649</t>
  </si>
  <si>
    <t>741-20</t>
  </si>
  <si>
    <t>Kompletační čínnost-silnoproud</t>
  </si>
  <si>
    <t>650</t>
  </si>
  <si>
    <t>741-21</t>
  </si>
  <si>
    <t>Měření osvětlení</t>
  </si>
  <si>
    <t>742VD</t>
  </si>
  <si>
    <t>Bleskosvod</t>
  </si>
  <si>
    <t>651</t>
  </si>
  <si>
    <t>742-1</t>
  </si>
  <si>
    <t>Vodič FeZn 10, včetně připojení k HOP/MET</t>
  </si>
  <si>
    <t>742VD_</t>
  </si>
  <si>
    <t>652</t>
  </si>
  <si>
    <t>742-2</t>
  </si>
  <si>
    <t>Zemnící pásek FeZn 30x4</t>
  </si>
  <si>
    <t>653</t>
  </si>
  <si>
    <t>742-3</t>
  </si>
  <si>
    <t>Zemní práce pro uzemnění (výkop, uložení, zához, hutnění)</t>
  </si>
  <si>
    <t>654</t>
  </si>
  <si>
    <t>742-4</t>
  </si>
  <si>
    <t>Zkušební svorka SZD</t>
  </si>
  <si>
    <t>655</t>
  </si>
  <si>
    <t>742-5</t>
  </si>
  <si>
    <t>Značkovací štítek</t>
  </si>
  <si>
    <t>656</t>
  </si>
  <si>
    <t>742-6</t>
  </si>
  <si>
    <t>Svorka pásek x pásek SR2b</t>
  </si>
  <si>
    <t>657</t>
  </si>
  <si>
    <t>742-7</t>
  </si>
  <si>
    <t>Svorka pásek x vodič SR03K</t>
  </si>
  <si>
    <t>658</t>
  </si>
  <si>
    <t>742-8</t>
  </si>
  <si>
    <t>Vodič tvrzený AlMgSi 8</t>
  </si>
  <si>
    <t>659</t>
  </si>
  <si>
    <t>742-9</t>
  </si>
  <si>
    <t>Podpěra vedení pro svod s příložkou PVZZ</t>
  </si>
  <si>
    <t>660</t>
  </si>
  <si>
    <t>742-10</t>
  </si>
  <si>
    <t>Svorka křížová SKD</t>
  </si>
  <si>
    <t>661</t>
  </si>
  <si>
    <t>742-11</t>
  </si>
  <si>
    <t>Podpěra vedení s příchytkou a hrotem PVPH</t>
  </si>
  <si>
    <t>662</t>
  </si>
  <si>
    <t>742-12</t>
  </si>
  <si>
    <t>Svorka spojovací SS</t>
  </si>
  <si>
    <t>663</t>
  </si>
  <si>
    <t>742-13</t>
  </si>
  <si>
    <t>Svorka okapová SOD</t>
  </si>
  <si>
    <t>664</t>
  </si>
  <si>
    <t>742-14</t>
  </si>
  <si>
    <t>Svorka křížová se středovou destičkou KSSD</t>
  </si>
  <si>
    <t>665</t>
  </si>
  <si>
    <t>742-15</t>
  </si>
  <si>
    <t>Uzemňovací svorka na potrubí vč.připojovacího pásku UZP</t>
  </si>
  <si>
    <t>666</t>
  </si>
  <si>
    <t>742-16</t>
  </si>
  <si>
    <t>Držák mezi střešní krokve vč.příslušenství</t>
  </si>
  <si>
    <t>667</t>
  </si>
  <si>
    <t>742-17</t>
  </si>
  <si>
    <t>Podpůrná trubka GFK/AL s jímacím hrotem 1,955m/2,5m, vč.příslušenství</t>
  </si>
  <si>
    <t>668</t>
  </si>
  <si>
    <t>742-18</t>
  </si>
  <si>
    <t>Podpěra vedení plastová pro vodič HVI 23mm - plochá střecha</t>
  </si>
  <si>
    <t>669</t>
  </si>
  <si>
    <t>742-19</t>
  </si>
  <si>
    <t>Podpěra vedení plastová pro vodič HVI 23mm - svod</t>
  </si>
  <si>
    <t>670</t>
  </si>
  <si>
    <t>742-20</t>
  </si>
  <si>
    <t>Střešní držák vedení pro vodič HVI 23mm - šikmá střecha</t>
  </si>
  <si>
    <t>671</t>
  </si>
  <si>
    <t>742-21</t>
  </si>
  <si>
    <t>Vodič HVI long s vysokonapěťovou ochranou 23mm šedý</t>
  </si>
  <si>
    <t>672</t>
  </si>
  <si>
    <t>742-22</t>
  </si>
  <si>
    <t>Sada připojovacích prvků pro vodič HVI vně podpůrné trubky pro oba konce</t>
  </si>
  <si>
    <t>673</t>
  </si>
  <si>
    <t>742-23</t>
  </si>
  <si>
    <t>Připojovací destička čtyřnásobná pro montáž vně trubky</t>
  </si>
  <si>
    <t>674</t>
  </si>
  <si>
    <t>742-24</t>
  </si>
  <si>
    <t>Svorka PA pro vodič HVI long</t>
  </si>
  <si>
    <t>675</t>
  </si>
  <si>
    <t>742-25</t>
  </si>
  <si>
    <t>Litinová šachta LŠ perforovaná pro SZD</t>
  </si>
  <si>
    <t>676</t>
  </si>
  <si>
    <t>742-26</t>
  </si>
  <si>
    <t>Demontáž stávající ochrany před bleskem</t>
  </si>
  <si>
    <t>677</t>
  </si>
  <si>
    <t>742-27</t>
  </si>
  <si>
    <t>Přesun materiálů -bleskosvod</t>
  </si>
  <si>
    <t>678</t>
  </si>
  <si>
    <t>742-28</t>
  </si>
  <si>
    <t>Prořez (ztratné) materiálů -bleskosvod</t>
  </si>
  <si>
    <t>679</t>
  </si>
  <si>
    <t>742-29</t>
  </si>
  <si>
    <t>Podružný materiál -bleskosvod</t>
  </si>
  <si>
    <t>680</t>
  </si>
  <si>
    <t>742-30</t>
  </si>
  <si>
    <t>Kompletační činnost -bleskosvod</t>
  </si>
  <si>
    <t>681</t>
  </si>
  <si>
    <t>742-31</t>
  </si>
  <si>
    <t>Revize bleskosvodu</t>
  </si>
  <si>
    <t>743VD</t>
  </si>
  <si>
    <t>Fotovoltaika</t>
  </si>
  <si>
    <t>682</t>
  </si>
  <si>
    <t>741711002</t>
  </si>
  <si>
    <t>Montáž nosné konstrukce fotovoltaických panelů umístěné na šikmé střeše uchycené na střešní krytině D+M</t>
  </si>
  <si>
    <t>743VD_</t>
  </si>
  <si>
    <t>systémové uchycení na stojatou drážku</t>
  </si>
  <si>
    <t>683</t>
  </si>
  <si>
    <t>741711051</t>
  </si>
  <si>
    <t>Montáž nosné konstrukce fotovoltaických panelů jednotlivých komponentů hliníkových profilů</t>
  </si>
  <si>
    <t>684</t>
  </si>
  <si>
    <t>UPKON11</t>
  </si>
  <si>
    <t>Kompletní dodávka nosné konstrukce pro FVE panely na šikmou střechu; (51ks; 17 sloupců, 3 řady)  plocha panelů cca 40 x 3,5 m vč statickáho výpočtu no</t>
  </si>
  <si>
    <t>SET</t>
  </si>
  <si>
    <t>685</t>
  </si>
  <si>
    <t>741120303</t>
  </si>
  <si>
    <t>Montáž vodičů izolovaných měděných bez ukončení uložených pevně plných a laněných s PVC pláštěm, bezhalogenových, ohniodolných (např. CY, CHAH-V) průř</t>
  </si>
  <si>
    <t>686</t>
  </si>
  <si>
    <t>34141030</t>
  </si>
  <si>
    <t>vodič propojovací flexibilní jádro Cu lanované izolace PVC 450/750V (H07V-K) 1x25mm2</t>
  </si>
  <si>
    <t>687</t>
  </si>
  <si>
    <t>741120301</t>
  </si>
  <si>
    <t>688</t>
  </si>
  <si>
    <t>ELT10.049.942</t>
  </si>
  <si>
    <t>Vodič H07V-K 16 Z/ZL (CYA 16 zlž)</t>
  </si>
  <si>
    <t>M</t>
  </si>
  <si>
    <t>689</t>
  </si>
  <si>
    <t>HZS2232</t>
  </si>
  <si>
    <t>Hodinové zúčtovací sazby profesí PSV provádění stavebních instalací elektrikář odborný</t>
  </si>
  <si>
    <t>propojení mezi FV panely a rozváděčem RFVE</t>
  </si>
  <si>
    <t>690</t>
  </si>
  <si>
    <t>741721211</t>
  </si>
  <si>
    <t>Montáž fotovoltaických panelů výkonu přes 300 Wp, umístěných na ploché střeše krystalických</t>
  </si>
  <si>
    <t>691</t>
  </si>
  <si>
    <t>FVE01</t>
  </si>
  <si>
    <t>Monokrystalický fotovoltaický panel, 545 Wp, šířka 1134 mm, výška 2279 mm, tloušťka 35 mm, hmotnost 28,6 kg, účinnost 21,1%, IP68, včetně kabelů + a -</t>
  </si>
  <si>
    <t>692</t>
  </si>
  <si>
    <t>741130420</t>
  </si>
  <si>
    <t>Montáž fotovoltaických kabelů nalisování konektoru na fotovoltaický kabel</t>
  </si>
  <si>
    <t>693</t>
  </si>
  <si>
    <t>KONESO248</t>
  </si>
  <si>
    <t>Konektory pro propojení FV panelů s vedením ke střídači nebo propojení vedení od panelů se střídačem, průřez vodiče 4 – 6 mm2, jmenovitý proud do 30A,</t>
  </si>
  <si>
    <t>694</t>
  </si>
  <si>
    <t>741120324</t>
  </si>
  <si>
    <t>Montáž fotovoltaických kabelů bez ukončení, uložených pevně, průměru přes 4 do 6 mm</t>
  </si>
  <si>
    <t>695</t>
  </si>
  <si>
    <t>KABSO6MM</t>
  </si>
  <si>
    <t>Solární kabel 6.0 mm2 černý, jmenovité napětí: 600/1000V, zkušební napětí: 3000V, teplota pevná instalace: -30 -70 °C, jmenovitý průměr pláště: 6,3mm</t>
  </si>
  <si>
    <t>696</t>
  </si>
  <si>
    <t>741112201</t>
  </si>
  <si>
    <t>Montáž krabic pancéřových bez napojení na trubky a lišty a demontáže a montáže víčka protahovacích nebo odbočných plastových čtyřhranných, vel. 120x12</t>
  </si>
  <si>
    <t>697</t>
  </si>
  <si>
    <t>KRB878878</t>
  </si>
  <si>
    <t>Venkovní krabicová rozvodka pro fotovoltaiku, se svorkami do 6 mm2, nástěnná, 1000 V=, IP55, včetně ucpávkových vývodek</t>
  </si>
  <si>
    <t>698</t>
  </si>
  <si>
    <t>699</t>
  </si>
  <si>
    <t>700</t>
  </si>
  <si>
    <t>741730018</t>
  </si>
  <si>
    <t>Montáž střídače napětí DC/AC fotovoltaických systémů včetně osazení a připojení síťového DC/AC (On - grid) třífázového</t>
  </si>
  <si>
    <t xml:space="preserve">maximální výstupní výkon přes  přes 25 000 do 50 000 W vč. řídící jednotkiy
</t>
  </si>
  <si>
    <t>701</t>
  </si>
  <si>
    <t>FVE02</t>
  </si>
  <si>
    <t>Fotovoltaický trojfázový střídač, maximální vstupní proud 26/26/26/26 A, max.vstupní napětí 1100 V=, 4 x MPPT, počet stringů na MPPT 2/2/2/2,  jmenovi</t>
  </si>
  <si>
    <t>702</t>
  </si>
  <si>
    <t>FVE03</t>
  </si>
  <si>
    <t>SmartLogger - řídicí jednotka, 2xSPF, 1xLAN. 1xWAN, 1xMBUS/800V, 4x ANTÉNA 4G, 4xDI/12V, 2x DO 12V, 4xAI DC 1-10V/4-20mA, 3x RS485, 1x 12V DC/0,1A OUT</t>
  </si>
  <si>
    <t>703</t>
  </si>
  <si>
    <t>704</t>
  </si>
  <si>
    <t>705</t>
  </si>
  <si>
    <t>741130004</t>
  </si>
  <si>
    <t>Ukončení vodičů izolovaných s označením a zapojením v rozváděči nebo na přístroji, průřezu žíly do 6 mm2</t>
  </si>
  <si>
    <t>706</t>
  </si>
  <si>
    <t>741130148</t>
  </si>
  <si>
    <t>Ukončení šňůr se zapojením počtu a průřezu žil 5x25 mm2</t>
  </si>
  <si>
    <t>707</t>
  </si>
  <si>
    <t>741122611</t>
  </si>
  <si>
    <t>Montáž kabelů měděných bez ukončení uložených pevně plných kulatých nebo bezhalogenových (např. CYKY) počtu a průřezu žil 3x1,5 až 6 mm2</t>
  </si>
  <si>
    <t>708</t>
  </si>
  <si>
    <t>34111030</t>
  </si>
  <si>
    <t>kabel instalační jádro Cu plné izolace PVC plášť PVC 450/750V (CYKY) 3x1,5mm2</t>
  </si>
  <si>
    <t>709</t>
  </si>
  <si>
    <t>Montáž vodičů izolovaných měděných bez ukončení uložených pevně plných a laněných s PVC pláštěm, bezhalogenových, ohniodolných (např. CY, CHAH-V)</t>
  </si>
  <si>
    <t>průřezu žíly 25 až 35 mm2</t>
  </si>
  <si>
    <t>710</t>
  </si>
  <si>
    <t>712</t>
  </si>
  <si>
    <t>741124701</t>
  </si>
  <si>
    <t>Montáž kabelů měděných ovládacích bez ukončení uložených volně stíněných ovládacích s plným jádrem (např. JYTY) počtu a průměru žil 2 až 19x0,8 mm2</t>
  </si>
  <si>
    <t>VAR0707008</t>
  </si>
  <si>
    <t>Kabel datový, metalický, pro horizontální rozvody strukturované kabeláže, vnitřní, cat. 6 Utp</t>
  </si>
  <si>
    <t>714</t>
  </si>
  <si>
    <t>741210102</t>
  </si>
  <si>
    <t>Montáž rozváděčů litinových, hliníkových nebo plastových bez zapojení vodičů sestavy hmotnosti do 100 kg</t>
  </si>
  <si>
    <t xml:space="preserve">hlavní rozváděč fotovoltaické elektrárny a kabelová propojení RFVE-GS1
</t>
  </si>
  <si>
    <t>715</t>
  </si>
  <si>
    <t>741130007</t>
  </si>
  <si>
    <t>Ukončení vodičů izolovaných s označením a zapojením v rozváděči nebo na přístroji, průřezu žíly do 25 mm2</t>
  </si>
  <si>
    <t>hlavní rozváděč fotovoltaické elektrárny a kabelová propojení RFVE-GS1</t>
  </si>
  <si>
    <t>716</t>
  </si>
  <si>
    <t>717</t>
  </si>
  <si>
    <t>741120541</t>
  </si>
  <si>
    <t>Montáž kabelů flexibilních měděných bez ukončení uložených volně těžkých (např. CGTG) průřezu do 2,5 mm2, počtu žil do 7</t>
  </si>
  <si>
    <t>718</t>
  </si>
  <si>
    <t>1210724</t>
  </si>
  <si>
    <t>KABEL H07RN-F 5G25</t>
  </si>
  <si>
    <t>719</t>
  </si>
  <si>
    <t>741320185</t>
  </si>
  <si>
    <t>Montáž jističů se zapojením vodičů třípólových nn do 125 A ve skříni</t>
  </si>
  <si>
    <t>doplnění výzbroje a kabelové propojení RFVE-R71</t>
  </si>
  <si>
    <t>R7163</t>
  </si>
  <si>
    <t>Trojpólový jistič, 63A/3/B , 20kA</t>
  </si>
  <si>
    <t>741122631</t>
  </si>
  <si>
    <t>Montáž kabelů měděných bez ukončení uložených pevně plných kulatých nebo bezhalogenových (např. CYKY) počtu a průřezu žil 3x35+25 mm2</t>
  </si>
  <si>
    <t>34113134</t>
  </si>
  <si>
    <t>kabel silový jádro Cu izolace PVC plášť PVC 0,6/1kV (1-CYKY) 5x25mm2</t>
  </si>
  <si>
    <t>723</t>
  </si>
  <si>
    <t>741122222</t>
  </si>
  <si>
    <t>Montáž kabelů měděných bez ukončení uložených volně nebo v liště plných kulatých (např. CYKY) počtu a průřezu žil 4x10 mm2</t>
  </si>
  <si>
    <t>ELT10.048.218</t>
  </si>
  <si>
    <t>Kabel CYKY-J 4x10 (4B)</t>
  </si>
  <si>
    <t>průřezu žíly 0,55 až 16 mm2</t>
  </si>
  <si>
    <t>ELT10.049.159</t>
  </si>
  <si>
    <t>Vodič H07V-K 6 Z/ZL (CYA 6 zlž)</t>
  </si>
  <si>
    <t>727</t>
  </si>
  <si>
    <t>ELT10.049.056</t>
  </si>
  <si>
    <t>Vodič H07V-K 10 Z/ZL (CYA 10 zlž)</t>
  </si>
  <si>
    <t>729</t>
  </si>
  <si>
    <t>741120305</t>
  </si>
  <si>
    <t>ELT10.049.227</t>
  </si>
  <si>
    <t>Vodič H07V-K 50 Z/ZL (CYA 50 zlž)</t>
  </si>
  <si>
    <t>731</t>
  </si>
  <si>
    <t>34111531</t>
  </si>
  <si>
    <t>kabel silový oheň retardující bezhalogenový s funkčností při požáru 180min a P60-R reakce na oheň B2cas1d1a1 jádro Cu 0,6/1kV (1-CSKH-V) 3x1,5mm2</t>
  </si>
  <si>
    <t>741910412</t>
  </si>
  <si>
    <t>Montáž žlabů bez stojiny a výložníků kovových s podpěrkami a příslušenstvím bez víka, šířky do 100 mm</t>
  </si>
  <si>
    <t>736</t>
  </si>
  <si>
    <t>741910421</t>
  </si>
  <si>
    <t>Montáž žlabů bez stojiny a výložníků kovových s podpěrkami a příslušenstvím uzavření víkem</t>
  </si>
  <si>
    <t>737</t>
  </si>
  <si>
    <t>10.575.806</t>
  </si>
  <si>
    <t>Žlab kabelový, ocelový, děrovaný s integrovano spojkou, 62x50 (ŠxV), zinkování SENDZIMIR</t>
  </si>
  <si>
    <t>738</t>
  </si>
  <si>
    <t>10.697.132</t>
  </si>
  <si>
    <t>Víko kabelového žlabu, ocelové, plné, pro šíři 62mm, zinkování SENDZIMIR</t>
  </si>
  <si>
    <t>739</t>
  </si>
  <si>
    <t>10.076.654</t>
  </si>
  <si>
    <t>Úchyt víka, neelektrolytické pokovení GMT</t>
  </si>
  <si>
    <t>KS</t>
  </si>
  <si>
    <t>740</t>
  </si>
  <si>
    <t>10.697.136</t>
  </si>
  <si>
    <t>Šroub vratný a samojistící matice, 6x10, zinkochromát - ZNCR</t>
  </si>
  <si>
    <t>741</t>
  </si>
  <si>
    <t>10.697.115</t>
  </si>
  <si>
    <t>Podpěra ocelová na stěnu, délka vyložení 82mm, zinkochromát - ZNCR</t>
  </si>
  <si>
    <t>742</t>
  </si>
  <si>
    <t>10.549.326</t>
  </si>
  <si>
    <t>Kotva ocelová, požárně odolná, 75x8mm (Délka x Průměr), pro vrták průměr 8mm</t>
  </si>
  <si>
    <t>743</t>
  </si>
  <si>
    <t>741110001</t>
  </si>
  <si>
    <t>Montáž trubek elektroinstalačních s nasunutím nebo našroubováním do krabic plastových tuhých, uložených pevně, vnější O přes 16 do 23 mm</t>
  </si>
  <si>
    <t>744</t>
  </si>
  <si>
    <t>210290862</t>
  </si>
  <si>
    <t>Doplnění orientačních štítků na kovovou desku nebo plast. hmotu</t>
  </si>
  <si>
    <t>745</t>
  </si>
  <si>
    <t>741920052</t>
  </si>
  <si>
    <t>Montáž a zhotovení ohnivzdorných konstrukcí pro elektrozařízení přepážek z desek nebo vyztužených omítek silikátových s výplní ve stěnovém průchodu, t</t>
  </si>
  <si>
    <t>746</t>
  </si>
  <si>
    <t>741128002</t>
  </si>
  <si>
    <t>Ostatní práce při montáži vodičů a kabelů úpravy vodičů a kabelů označování dalším štítkem</t>
  </si>
  <si>
    <t>747</t>
  </si>
  <si>
    <t>PVLPPBX01236</t>
  </si>
  <si>
    <t>Protipožární blok z polyurethanové pěny s bezhalogenovými přísadami pro požární bezpečnost pro zhotovení protipožárních ucpávek</t>
  </si>
  <si>
    <t>748</t>
  </si>
  <si>
    <t>PVL654684VCS</t>
  </si>
  <si>
    <t>Upevňovací GRIP 15 + kotvící materiál</t>
  </si>
  <si>
    <t>749</t>
  </si>
  <si>
    <t>PVL4789df88</t>
  </si>
  <si>
    <t>Stahovací pásek</t>
  </si>
  <si>
    <t>741330371</t>
  </si>
  <si>
    <t>Montáž ovladačů tlačítkových ve skříni se zapojením vodičů 1 tlačítkových</t>
  </si>
  <si>
    <t>PVLOBTAA05</t>
  </si>
  <si>
    <t>Tlačítko nouzového zastavení s mech.signalizací, uvolnění otočením, ve skříňce, fotovoltaika, 1Z 1V</t>
  </si>
  <si>
    <t>752</t>
  </si>
  <si>
    <t>753</t>
  </si>
  <si>
    <t>CNR394053</t>
  </si>
  <si>
    <t>Štítek označovací se stahovamím páskem, transparetní, polypropylen, 30x8x3,5mm (délka x šířka x výška) včetně terminální značky 27x6,3 mm (pásek)</t>
  </si>
  <si>
    <t>754</t>
  </si>
  <si>
    <t>741810003</t>
  </si>
  <si>
    <t>Zkoušky a prohlídky elektrických rozvodů a zařízení celková prohlídka a vyhotovení revizní zprávy pro objem montážních prací přes 500 do 1000 tis. Kč</t>
  </si>
  <si>
    <t>755</t>
  </si>
  <si>
    <t>741810011</t>
  </si>
  <si>
    <t>Zkoušky a prohlídky elektrických rozvodů a zařízení celková prohlídka a vyhotovení revizní zprávy pro objem montážních prací Příplatek k ceně 0003 za</t>
  </si>
  <si>
    <t>756</t>
  </si>
  <si>
    <t>998741102</t>
  </si>
  <si>
    <t>Přesun hmot pro silnoproud stanovený z hmotnosti přesunovaného materiálu vodorovná dopravní vzdálenost do 50 m základní v objektech výšky přes 6 do 12</t>
  </si>
  <si>
    <t>757</t>
  </si>
  <si>
    <t>PVL487988</t>
  </si>
  <si>
    <t>Náklady na dopravu (panely, střídač)</t>
  </si>
  <si>
    <t>744VD</t>
  </si>
  <si>
    <t>Rozvaděč RFVE</t>
  </si>
  <si>
    <t>758</t>
  </si>
  <si>
    <t>HZS2231</t>
  </si>
  <si>
    <t>Hodinové zúčtovací sazby profesí PSV provádění stavebních instalací elektrikář</t>
  </si>
  <si>
    <t>744VD_</t>
  </si>
  <si>
    <t>Rozvaděč RFVE.sestavení, propojení, oživení a celková kompletace</t>
  </si>
  <si>
    <t>759</t>
  </si>
  <si>
    <t>PVL7220901KSZRFV</t>
  </si>
  <si>
    <t>Protokol o kusové zkoušce, výrobní dokumentace</t>
  </si>
  <si>
    <t>760</t>
  </si>
  <si>
    <t>RFVE_01</t>
  </si>
  <si>
    <t>Skříň volně stojící, v sestavě s rozvádčem RH, IP55/IP20, s dveřmi, zámek Doppelbart (motýlek 3mm), šedá, ŠxVxH=600x2000x400 mm, včetně soklu v = 200</t>
  </si>
  <si>
    <t>761</t>
  </si>
  <si>
    <t>RFVE_02</t>
  </si>
  <si>
    <t>Svorkovnice, sada patek pro upevnění na stěnu, záslepky, držák svorkovnic, kabelové vývodky</t>
  </si>
  <si>
    <t>ELT10.847.665</t>
  </si>
  <si>
    <t>L1-L2-L3-N - Modulový kombinovaný svodič přepětí třídy T1+T2 (I+II, B+C) pro sítě TN-C-S 400V/230V/50Hz, Iimp=12,5kA (10/350 µs), Up(5kA)=920V (8/20 µ</t>
  </si>
  <si>
    <t>ELT10.317.532</t>
  </si>
  <si>
    <t>Hlavní vypínač na DIN lištu, modulový, 3-pólový, Ith=125A, 90A/45kW/AC-23A/415V, uzamykatelný na visací zámek</t>
  </si>
  <si>
    <t>ELT10.317.537</t>
  </si>
  <si>
    <t>Hlavní vypínač na DIN lištu, modulový, 4-pólový, Ith=125A, 90A/45kW/AC-23A/415V, uzamykatelný na visací zámek</t>
  </si>
  <si>
    <t>RFVE_04</t>
  </si>
  <si>
    <t>Nepřímý trojfázový jednosazbový elektroměr, 125 A, na lištu DIN, certifikace MID, datový výstup RS485/Modbus, včetně 3 ks MTP 250 A / 50 mA</t>
  </si>
  <si>
    <t>RFVE_06</t>
  </si>
  <si>
    <t>Pomocný a spojovací materiál (vodiče, koncovky, propojovací hřebeny, zakončení, označení apod.)</t>
  </si>
  <si>
    <t>RFVE_07</t>
  </si>
  <si>
    <t>Zdroj nepřerušeného napájení s integrovaným síťovým dílem, napájecí napětí 230V AC , výstupní napětí 24 V DC /2A, krytí IP20, rozměry 68x99x107 mm (Šx</t>
  </si>
  <si>
    <t>768</t>
  </si>
  <si>
    <t>RFVE_08</t>
  </si>
  <si>
    <t>Akumulátorový modul, 24 V DC, 0,8 Ah, pro použití s DC-USVS/ 24DC/ 2A, montáž na DIN lištu, rozměry 68 x 99 x 107 mm</t>
  </si>
  <si>
    <t>769</t>
  </si>
  <si>
    <t>RFVE_09</t>
  </si>
  <si>
    <t>Pojistkový odpojovač pro fotovoltaické aplikace, 2-pólový, do 1000V DC / 30A, C10 (10x38mm)</t>
  </si>
  <si>
    <t>770</t>
  </si>
  <si>
    <t>RFVE_10</t>
  </si>
  <si>
    <t>Ultra rychlá válcová pojistka pro fotovoltaiku, (norma UL), 10x38mm, 1100V DC, 15A</t>
  </si>
  <si>
    <t>RFVE_11</t>
  </si>
  <si>
    <t>Svodič přepětí pro fotovoltaické systémy, 2- pólový, úroveň ochrany: 3,6 kV, svodový proud (8/20): 20kA, Imax=40kA</t>
  </si>
  <si>
    <t>PVL267894555</t>
  </si>
  <si>
    <t>Proudový chránič s nadproudovou ochranou modulový, 1+N/10A/B/0,03/A, 1+N-pólový, In=10A, I?n=30mA, charakteristika B, typ A, Iraz=250A/8/20 µs, Ik=10k</t>
  </si>
  <si>
    <t>773</t>
  </si>
  <si>
    <t>ELT10.079.550</t>
  </si>
  <si>
    <t>Zásuvka modulová, na DIN lištu, 16A/230V, s ochranným kolíkem, přívod zespodu, přívod seshora, šířka 2,5 TE, IP20</t>
  </si>
  <si>
    <t>774</t>
  </si>
  <si>
    <t>PVL5697747</t>
  </si>
  <si>
    <t>Interface relay, kontakt 1x přepínací 2A/24V/DC, cívka 230V AC/DC, na DIN lištu</t>
  </si>
  <si>
    <t>775</t>
  </si>
  <si>
    <t>ELT10.060.755</t>
  </si>
  <si>
    <t>Jistič modulový 6A/1/B, 1-pólový, In=6A, charakteristika B, Ik=10kA</t>
  </si>
  <si>
    <t>ELT10.059.968</t>
  </si>
  <si>
    <t>Jistič modulový 63A/3/B, 3-pólový, In=63A, charakteristika B, Ik=10kA</t>
  </si>
  <si>
    <t>777</t>
  </si>
  <si>
    <t>ELT10.059.705</t>
  </si>
  <si>
    <t>Vypínací spoušť [napěťová] k modulovým přístrojům pro dodatečnou montáž, pracovní napětí AC/DC: 110–415 V / 110–220 V, pracovní proud AC/DC: 2,1 A / 1</t>
  </si>
  <si>
    <t>778</t>
  </si>
  <si>
    <t>MNWDRC100B</t>
  </si>
  <si>
    <t>Zdroj na DIN lištu s možností připojení záložní betarie, U1 = 230 V AC, U2 = 12-15V DC, P2 = 90 W, I2 = 7,5A A, ochrana proti vyčerpání baterie, přepó</t>
  </si>
  <si>
    <t>779</t>
  </si>
  <si>
    <t>SCHww</t>
  </si>
  <si>
    <t>Stykač průmyslový, 4-pólový, cívka Uc=230V AC, 115A/400V/AC1, 43kW/400V/AC3</t>
  </si>
  <si>
    <t>780</t>
  </si>
  <si>
    <t>ELT10.840.349</t>
  </si>
  <si>
    <t>Pojistkový odpínač válcových pojistek 10x38, 500V/32A AC, modulární, 3 pólový, bez signalizace</t>
  </si>
  <si>
    <t>ELT10.081.639</t>
  </si>
  <si>
    <t>Pojistková vložka válcová 10x38, 500V/2A AC, charakteristika gG</t>
  </si>
  <si>
    <t>782</t>
  </si>
  <si>
    <t>JAVR140F1075X</t>
  </si>
  <si>
    <t>Programovatelná řídicí jednotka, 8x DI 24V DC, 4x AI 0-10V DC, 1x RS485, výstup 8x spínací kontakt do 230V AC, napájení 24V DC, na DIN lištu s displej</t>
  </si>
  <si>
    <t>TIG4851125899</t>
  </si>
  <si>
    <t>Vysílač RSS Transmitter kit, včetně 1x proudový prstenec pro až 10 kabelů DC</t>
  </si>
  <si>
    <t>CNR230293062</t>
  </si>
  <si>
    <t>Svodič přepětí, typ TYP 1/P1 pro sběrnicové sítě (RS485), In [C2] (8/20) µs = 10kA, Up [Iimp D1] ? 25 V, v provedení do patice</t>
  </si>
  <si>
    <t>785</t>
  </si>
  <si>
    <t>CNR196788562</t>
  </si>
  <si>
    <t>Patice univerzální, pro modulový svodič přepětí k datovým a sdělovacím sítím, ochrana 4 pólů</t>
  </si>
  <si>
    <t>745VD</t>
  </si>
  <si>
    <t>Elektroměrový rozvaděč TČ</t>
  </si>
  <si>
    <t>786</t>
  </si>
  <si>
    <t>745VD_</t>
  </si>
  <si>
    <t>Elektroměrový rozváděč pro TČ do 40A, montáž na povrch</t>
  </si>
  <si>
    <t>787</t>
  </si>
  <si>
    <t>KOT45588977</t>
  </si>
  <si>
    <t>Skříň elektroměrová, dvě pozice, 800x800x250, IP43/IP20, oceloplechová, do zdiva</t>
  </si>
  <si>
    <t>788</t>
  </si>
  <si>
    <t>ELT10.061.035</t>
  </si>
  <si>
    <t>Jistič modulový 32A/3/B, 3-pólový, In=32A, charakteristika B, Ik=10kA</t>
  </si>
  <si>
    <t>789</t>
  </si>
  <si>
    <t>ELT11.335.983</t>
  </si>
  <si>
    <t>Instalační relé modulové 16A/230V, 1 ZAP, In=16A/AC1, 324/230V/AC3, napětí cívky 230V AC</t>
  </si>
  <si>
    <t>790</t>
  </si>
  <si>
    <t>ELT10.055.143</t>
  </si>
  <si>
    <t>Jistič modulový 2A/1/B, 1-pólový, In=2A, charakteristika B, Ik=10kA</t>
  </si>
  <si>
    <t>746VD</t>
  </si>
  <si>
    <t>Skříň hlavní pro TČ</t>
  </si>
  <si>
    <t>791</t>
  </si>
  <si>
    <t>746VD_</t>
  </si>
  <si>
    <t>792</t>
  </si>
  <si>
    <t>PLCER2PL</t>
  </si>
  <si>
    <t>Skříň plastová na povrch, 12 TE, IP40/IP20, pružné vývodky</t>
  </si>
  <si>
    <t>793</t>
  </si>
  <si>
    <t>794</t>
  </si>
  <si>
    <t>795</t>
  </si>
  <si>
    <t>ELT10.060.896</t>
  </si>
  <si>
    <t>Jistič modulový 16A/3/B, 3-pólový, In=16A, charakteristika B, Ik=10kA</t>
  </si>
  <si>
    <t>796</t>
  </si>
  <si>
    <t>622412900.001</t>
  </si>
  <si>
    <t>Zapravení vnější omítky po demontáži závěsného konzolového lešení. Celk. dl. konzol.lešení - 135,4m</t>
  </si>
  <si>
    <t>SO-02_6_</t>
  </si>
  <si>
    <t>práce bez pevné pracovní podlahy</t>
  </si>
  <si>
    <t>Izolace střech (živičné krytiny)</t>
  </si>
  <si>
    <t>797</t>
  </si>
  <si>
    <t>712391587R00</t>
  </si>
  <si>
    <t>Provedení povlakové krytiny střech do 10°, přibití pásů nebo fólie hřebíky (drátěnkami)</t>
  </si>
  <si>
    <t>712_</t>
  </si>
  <si>
    <t>SO-02_71_</t>
  </si>
  <si>
    <t>podklad dřevěné bednění</t>
  </si>
  <si>
    <t>61,6</t>
  </si>
  <si>
    <t>střecha rizalitu-difuzní fólie</t>
  </si>
  <si>
    <t>62,6</t>
  </si>
  <si>
    <t>střecha rizalitu-separační vrstva</t>
  </si>
  <si>
    <t>798</t>
  </si>
  <si>
    <t>712691687R00</t>
  </si>
  <si>
    <t>Provedení povlakové krytiny střech nad 30°, přibití asfaltových pásů hřebíky</t>
  </si>
  <si>
    <t>1037,1</t>
  </si>
  <si>
    <t>hlavní střecha-difuzní fólie</t>
  </si>
  <si>
    <t>1067,1</t>
  </si>
  <si>
    <t>hlavní střecha-separační vrstva</t>
  </si>
  <si>
    <t>71,61</t>
  </si>
  <si>
    <t>vikýře-separační vrstva</t>
  </si>
  <si>
    <t>43,30</t>
  </si>
  <si>
    <t>valbová střecha (vedlejší vstup)-separační vrstva</t>
  </si>
  <si>
    <t>23,85</t>
  </si>
  <si>
    <t>piltová střecha (dvorní část)-separační vrstva</t>
  </si>
  <si>
    <t>799</t>
  </si>
  <si>
    <t>62843026</t>
  </si>
  <si>
    <t>Pojistná hydroizolace bitumenová, vícevrstvá, difuzně otevřená se samolepícími spoji (Sd max.0,1m) pro pokládku na bednění (ztratné 10%)</t>
  </si>
  <si>
    <t>61,6+1037,1</t>
  </si>
  <si>
    <t>hl.střecha, vikýře</t>
  </si>
  <si>
    <t>;ztratné 10%; 109,87</t>
  </si>
  <si>
    <t>62843021</t>
  </si>
  <si>
    <t>Asfalt podkladový pás se samolepícími spoji, umělohmotné rouno pro pokládku na bednění, tl.3,0mm-separační vrstva  (ztratné 10%)</t>
  </si>
  <si>
    <t>62,6+1067,1+71,61+43,30+23,85</t>
  </si>
  <si>
    <t>;ztratné 10%; 126,846</t>
  </si>
  <si>
    <t>801</t>
  </si>
  <si>
    <t>998712103R00</t>
  </si>
  <si>
    <t>Přesun hmot pro povlakové krytiny, výšky do 24 m</t>
  </si>
  <si>
    <t>6,675</t>
  </si>
  <si>
    <t>802</t>
  </si>
  <si>
    <t>751510046</t>
  </si>
  <si>
    <t>Vzduchotechnické potrubí pozink kruhové spirálně vinuté D do 600 mm</t>
  </si>
  <si>
    <t>SO-02_72_</t>
  </si>
  <si>
    <t>803</t>
  </si>
  <si>
    <t>751514766</t>
  </si>
  <si>
    <t>Mtž protidešťové stříšky nebo výfukové hlavice do potrubí kruhového s přírubou D do 600 mm</t>
  </si>
  <si>
    <t>804</t>
  </si>
  <si>
    <t>42974016</t>
  </si>
  <si>
    <t>stříška protidešťová s lemem Pz D 560mm</t>
  </si>
  <si>
    <t>805</t>
  </si>
  <si>
    <t>751572102</t>
  </si>
  <si>
    <t>Uchycení potrubí kruhového pomocí objímky</t>
  </si>
  <si>
    <t>806</t>
  </si>
  <si>
    <t>HZS3111zdroj</t>
  </si>
  <si>
    <t>Hodinová zúčtovací sazba montér potrubí-montáž zařízení zdroje tepla</t>
  </si>
  <si>
    <t>SO-02_73_</t>
  </si>
  <si>
    <t>807</t>
  </si>
  <si>
    <t>HZS3212k</t>
  </si>
  <si>
    <t>Hodinová zúčtovací sazba montér vzduchotechniky a chlazení odborný- napojení na odvod kondenzátu vč. mat.</t>
  </si>
  <si>
    <t>808</t>
  </si>
  <si>
    <t>TČ1</t>
  </si>
  <si>
    <t>tepelné čerpadlo vzduch-voda, vnitřní provedení, top. výkon 7/35=9,72 kW, top. faktor 7/35 =3,27, vest. elektrokotel 8,8 kW</t>
  </si>
  <si>
    <t>809</t>
  </si>
  <si>
    <t>TČ2</t>
  </si>
  <si>
    <t>opláštění vnitřního provedení</t>
  </si>
  <si>
    <t>810</t>
  </si>
  <si>
    <t>TČ3</t>
  </si>
  <si>
    <t>regulace tep. čerpadla a otopné soustavy vč. modulu pro dálkový přenos</t>
  </si>
  <si>
    <t>811</t>
  </si>
  <si>
    <t>TČ4</t>
  </si>
  <si>
    <t>vzduchová hadice d=560 mm, délka 4 m</t>
  </si>
  <si>
    <t>812</t>
  </si>
  <si>
    <t>TČ5</t>
  </si>
  <si>
    <t>průchodka stěnou d=560</t>
  </si>
  <si>
    <t>813</t>
  </si>
  <si>
    <t>TČ6</t>
  </si>
  <si>
    <t>mřížka k průchodce d=560, vodorovná 897x490 mm</t>
  </si>
  <si>
    <t>814</t>
  </si>
  <si>
    <t>TČ7</t>
  </si>
  <si>
    <t>pružné tlakové hadice G 5/4</t>
  </si>
  <si>
    <t>815</t>
  </si>
  <si>
    <t>TČ8</t>
  </si>
  <si>
    <t>akumulační zásobník topné vody V=415 l</t>
  </si>
  <si>
    <t>816</t>
  </si>
  <si>
    <t>TČ9</t>
  </si>
  <si>
    <t>smaltovaný zásobník teplé vody stacionární V=300l, plocha výměníku 4,8m2</t>
  </si>
  <si>
    <t>817</t>
  </si>
  <si>
    <t>762088116R00</t>
  </si>
  <si>
    <t>Zakrývání provizorní plachtou 15x20m,vč.odstranění</t>
  </si>
  <si>
    <t>SO-02_76_</t>
  </si>
  <si>
    <t>818</t>
  </si>
  <si>
    <t>762341210RT2</t>
  </si>
  <si>
    <t>Montáž bednění střech rovných, prkna hrubá na sraz</t>
  </si>
  <si>
    <t>včetně dodávky prken tloušťky 24 mm</t>
  </si>
  <si>
    <t>(1037,10+43,25+23,82)*0,3</t>
  </si>
  <si>
    <t>stávající bednění výměna do 30%</t>
  </si>
  <si>
    <t>1067,09+71,61+61,6+62,6</t>
  </si>
  <si>
    <t>nové bednění</t>
  </si>
  <si>
    <t>819</t>
  </si>
  <si>
    <t>762342206.001</t>
  </si>
  <si>
    <t>Montáž kontralatí na vruty, s těsnicí páskou</t>
  </si>
  <si>
    <t>včetně dodávky impreg. latí 6/6 cm</t>
  </si>
  <si>
    <t>1037,09</t>
  </si>
  <si>
    <t>hl.střecha</t>
  </si>
  <si>
    <t>vikýře</t>
  </si>
  <si>
    <t>820</t>
  </si>
  <si>
    <t>762350.01</t>
  </si>
  <si>
    <t>Úprava bednění střech v místě větraného hřebene a nároží - 2x hranolek 6/10 cm</t>
  </si>
  <si>
    <t xml:space="preserve">
</t>
  </si>
  <si>
    <t>108,3</t>
  </si>
  <si>
    <t>821</t>
  </si>
  <si>
    <t>762341811R00</t>
  </si>
  <si>
    <t>Demontáž bednění střech rovných z prken hrubých</t>
  </si>
  <si>
    <t>69,3+25,74</t>
  </si>
  <si>
    <t>bednění v místě rizalitu</t>
  </si>
  <si>
    <t>48,53</t>
  </si>
  <si>
    <t>stávající vikýře</t>
  </si>
  <si>
    <t>9,7</t>
  </si>
  <si>
    <t>střešní okna</t>
  </si>
  <si>
    <t>822</t>
  </si>
  <si>
    <t>1664,75*0,025</t>
  </si>
  <si>
    <t>bednění střechy</t>
  </si>
  <si>
    <t>823</t>
  </si>
  <si>
    <t>28,191</t>
  </si>
  <si>
    <t>824</t>
  </si>
  <si>
    <t>764774503R00</t>
  </si>
  <si>
    <t>Falc.krytina z barevného legovaného Al plechu tl.0,7mm,v.20 m,povrchová úprava Coll-Coating, svitky š.500, přes 45°, povrchová úprava Coll-Coating</t>
  </si>
  <si>
    <t>světle šedá (RAL 7005)</t>
  </si>
  <si>
    <t>1269</t>
  </si>
  <si>
    <t>825</t>
  </si>
  <si>
    <t>764775303R00</t>
  </si>
  <si>
    <t>Odvětrávací hřebenáč dvouplášťový pro větrané střechy D+M</t>
  </si>
  <si>
    <t>K30</t>
  </si>
  <si>
    <t>hěben, nároží</t>
  </si>
  <si>
    <t>826</t>
  </si>
  <si>
    <t>764775308.006</t>
  </si>
  <si>
    <t>Zatahovací pás (plech pod hřebenáč) z barevného legovaného Al plechu tl.0,7mm, RŠ 135 mm  D+M</t>
  </si>
  <si>
    <t>108,3*2</t>
  </si>
  <si>
    <t>827</t>
  </si>
  <si>
    <t>764719311.001</t>
  </si>
  <si>
    <t>Úprava nevětraného hřebena a nároží z barevného legovaného Al plechu tl.0,7mm, povrchová úprava Coll-Coating,</t>
  </si>
  <si>
    <t>dvojitá stojatá drážka</t>
  </si>
  <si>
    <t>14,2</t>
  </si>
  <si>
    <t>hřeben</t>
  </si>
  <si>
    <t>44,7</t>
  </si>
  <si>
    <t>nároží</t>
  </si>
  <si>
    <t>828</t>
  </si>
  <si>
    <t>764775308.007</t>
  </si>
  <si>
    <t>Zatahovací pásy (oplech.změny sklonu střechy) z barevného legovaného Al plechu tl.0,7mm,  D+M</t>
  </si>
  <si>
    <t>K32 (RŠ=65mm)+K33 (RŠ=115mm)</t>
  </si>
  <si>
    <t>829</t>
  </si>
  <si>
    <t>764775310.001</t>
  </si>
  <si>
    <t>Bezpečné úžlabí z barevného legovaného Al plechu tl.0,7mm s dvojitou drážkou, RŠ 650mm D+M</t>
  </si>
  <si>
    <t>K34</t>
  </si>
  <si>
    <t>53,90</t>
  </si>
  <si>
    <t>830</t>
  </si>
  <si>
    <t>764775308.001</t>
  </si>
  <si>
    <t>Okapový plech z barevného legovaného Al plechu tl.0,7mm, RŠ 205 mm D+M</t>
  </si>
  <si>
    <t>K01</t>
  </si>
  <si>
    <t>183,6</t>
  </si>
  <si>
    <t>831</t>
  </si>
  <si>
    <t>764394330.001</t>
  </si>
  <si>
    <t>Zpevňovací pás z Al plechu tl.0,7mm, RŠ 190 mm (okap) D+M</t>
  </si>
  <si>
    <t>K02</t>
  </si>
  <si>
    <t>832</t>
  </si>
  <si>
    <t>764775307.001</t>
  </si>
  <si>
    <t>Ochranná mřížka proti ptákům Al děrovaný plech tl.0,7mm, šířka 205 mm (okap)</t>
  </si>
  <si>
    <t>K03</t>
  </si>
  <si>
    <t>833</t>
  </si>
  <si>
    <t>764394330.002</t>
  </si>
  <si>
    <t>Zpevňovací pás z Al plechu tl.0,7mm, RŠ 290 mm (okap) D+M</t>
  </si>
  <si>
    <t>K04</t>
  </si>
  <si>
    <t>834</t>
  </si>
  <si>
    <t>764775308.002</t>
  </si>
  <si>
    <t>Okapový plech z barevného legovaného Al plechu tl.0,7mm, RŠ 480 mm (okap) D+M</t>
  </si>
  <si>
    <t>K05</t>
  </si>
  <si>
    <t>835</t>
  </si>
  <si>
    <t>764775308R00</t>
  </si>
  <si>
    <t>Okapový plech z barevného legovaného Al plechu tl.0,7mm, RŠ 220 mm (okap vikýř) D+M</t>
  </si>
  <si>
    <t>K06</t>
  </si>
  <si>
    <t>42,5</t>
  </si>
  <si>
    <t>836</t>
  </si>
  <si>
    <t>764775307.002</t>
  </si>
  <si>
    <t>Ochranná mřížka proti ptákům -Al děrovaný plech tl.0,7mm, šířka 230 mm (okap vikýř) D+M</t>
  </si>
  <si>
    <t>K07</t>
  </si>
  <si>
    <t>837</t>
  </si>
  <si>
    <t>764775308.003</t>
  </si>
  <si>
    <t>Krycí pás z barevného legovaného Al plechu tl.0,7mm, RŠ 195 mm (okap vikýř) D+M</t>
  </si>
  <si>
    <t>K08</t>
  </si>
  <si>
    <t>838</t>
  </si>
  <si>
    <t>764775308.004</t>
  </si>
  <si>
    <t>Lišta z barevného legovaného Al plechu tl.0,7mm, RŠ 85 mm (okap vikýř) D+M</t>
  </si>
  <si>
    <t>K09</t>
  </si>
  <si>
    <t>839</t>
  </si>
  <si>
    <t>764775308.005</t>
  </si>
  <si>
    <t>Okapový plech z barevného legovaného Al plechu tl.0,7mm, RŠ 300 mm D+M</t>
  </si>
  <si>
    <t>K10</t>
  </si>
  <si>
    <t>9,3</t>
  </si>
  <si>
    <t>840</t>
  </si>
  <si>
    <t>764775307.003</t>
  </si>
  <si>
    <t>Ochranná mřížka proti ptákům -Al děrovaný plech tl.0,7mm, šířka 120 mm (fasáda odtah) D+M</t>
  </si>
  <si>
    <t>K11</t>
  </si>
  <si>
    <t>841</t>
  </si>
  <si>
    <t>764394330.003</t>
  </si>
  <si>
    <t>Vyztužovací pás z Al plechu tl.0,7mm, RŠ 180 mm (fasáda odtah) D+M</t>
  </si>
  <si>
    <t>K12</t>
  </si>
  <si>
    <t>842</t>
  </si>
  <si>
    <t>764394330.004</t>
  </si>
  <si>
    <t>Vyztužovací pás z Al plechu tl.0,7mm, RŠ 370 mm (fasáda odtah) D+M</t>
  </si>
  <si>
    <t>K13</t>
  </si>
  <si>
    <t>843</t>
  </si>
  <si>
    <t>764775307.004</t>
  </si>
  <si>
    <t>Ochranná mřížka proti ptákům -Al děrovaný plech tl.0,7mm, šířka 125 mm (fasáda odtah) D+M</t>
  </si>
  <si>
    <t>K14</t>
  </si>
  <si>
    <t>22,80</t>
  </si>
  <si>
    <t>844</t>
  </si>
  <si>
    <t>Lišta z barevného legovaného Al plechu tl.0,7mm, RŠ 60 mm (fasáda odtah) D+M</t>
  </si>
  <si>
    <t>K15</t>
  </si>
  <si>
    <t>22,8</t>
  </si>
  <si>
    <t>845</t>
  </si>
  <si>
    <t>764421380.001</t>
  </si>
  <si>
    <t>Oplechování říms z barevného legovaného Al plechu tl.0,7mm, RŠ 625 mm (fasáda přívod) D+M</t>
  </si>
  <si>
    <t>K16</t>
  </si>
  <si>
    <t>13,75</t>
  </si>
  <si>
    <t>,</t>
  </si>
  <si>
    <t>846</t>
  </si>
  <si>
    <t>Lišta z barevného legovaného Al plechu tl.0,7mm, RŠ 45 mm (fasáda přívod) D+M</t>
  </si>
  <si>
    <t>K17</t>
  </si>
  <si>
    <t>847</t>
  </si>
  <si>
    <t>764775308.008</t>
  </si>
  <si>
    <t>Krycí pás z barevného legovaného Al plechu tl.0,7mm, RŠ 45 mm (fasáda přívod) D+M</t>
  </si>
  <si>
    <t>K18</t>
  </si>
  <si>
    <t>848</t>
  </si>
  <si>
    <t>764775307.005</t>
  </si>
  <si>
    <t>Ochranná mřížka proti ptákům -Al děrovaný plech tl.0,7mm, šířka 120 mm (fasáda přívod) D+M</t>
  </si>
  <si>
    <t>K19</t>
  </si>
  <si>
    <t>849</t>
  </si>
  <si>
    <t>764775308.009</t>
  </si>
  <si>
    <t>Zatahovací pás z barevného legovaného Al plechu tl.0,7mm, RŠ 300 mm (fasáda přívod)D+M</t>
  </si>
  <si>
    <t>K20</t>
  </si>
  <si>
    <t>850</t>
  </si>
  <si>
    <t>764775308.010</t>
  </si>
  <si>
    <t>Lišta z barevného legovaného Al plechu tl.0,7mm, RŠ 80mm (fasáda okna, dveře) D+M</t>
  </si>
  <si>
    <t>K21</t>
  </si>
  <si>
    <t>17,2</t>
  </si>
  <si>
    <t>851</t>
  </si>
  <si>
    <t>764775308.011</t>
  </si>
  <si>
    <t>Krycí pás z barevného legovaného Al plechu tl.0,7mm, RŠ 130mm (fasáda okna, dveře) D+M</t>
  </si>
  <si>
    <t>K22</t>
  </si>
  <si>
    <t>3,25</t>
  </si>
  <si>
    <t>852</t>
  </si>
  <si>
    <t>764775307.006</t>
  </si>
  <si>
    <t>Ochranná mřížka proti ptákům -Al děrovaný plech tl.0,7mm, šířka 120 mm (fasáda okna, dveře) D+M</t>
  </si>
  <si>
    <t>K23</t>
  </si>
  <si>
    <t>853</t>
  </si>
  <si>
    <t>764775308.012</t>
  </si>
  <si>
    <t>Zatahovací pás z barevného legovaného Al plechu tl.0,7mm, RŠ 200 mm (fasáda okna, dveře)D+M</t>
  </si>
  <si>
    <t>K24</t>
  </si>
  <si>
    <t>854</t>
  </si>
  <si>
    <t>764775308.013</t>
  </si>
  <si>
    <t>Krycí pás z barevného legovaného Al plechu tl.0,7mm, RŠ 270 mm (fasáda okna, dveře)D+M</t>
  </si>
  <si>
    <t>K25</t>
  </si>
  <si>
    <t>13,95</t>
  </si>
  <si>
    <t>855</t>
  </si>
  <si>
    <t>764394330.005</t>
  </si>
  <si>
    <t>Zpevňovací pás z Al plechu tl.0,7mm, RŠ 235 mm (parapet okna) D+M</t>
  </si>
  <si>
    <t>K26</t>
  </si>
  <si>
    <t>1,8</t>
  </si>
  <si>
    <t>856</t>
  </si>
  <si>
    <t>764778304.001</t>
  </si>
  <si>
    <t>Oplechování parapetů,z barevného legovaného Al plechu tl.0,7mm, RŠ 420 mm (fasáda okna, dveře) D+M</t>
  </si>
  <si>
    <t>K27</t>
  </si>
  <si>
    <t>857</t>
  </si>
  <si>
    <t>764775308.014</t>
  </si>
  <si>
    <t>Lišta z barevného legovaného Al plechu tl.0,7mm, RŠ 60 mm (fasáda okna, dveře) D+M</t>
  </si>
  <si>
    <t>K28</t>
  </si>
  <si>
    <t>858</t>
  </si>
  <si>
    <t>764775307.007</t>
  </si>
  <si>
    <t>Ochranná mřížka proti ptákům -Al děrovaný plech tl.0,7mm, šířka 125 mm (fasáda okna, dveře) D+M</t>
  </si>
  <si>
    <t>K29</t>
  </si>
  <si>
    <t>859</t>
  </si>
  <si>
    <t>764775308.015</t>
  </si>
  <si>
    <t>Lišta z barevného legovaného Al plechu tl.0,7mm, RŠ 155 mm (napoj.střechy na svislou kci) D+M</t>
  </si>
  <si>
    <t>K35</t>
  </si>
  <si>
    <t>16,60</t>
  </si>
  <si>
    <t>860</t>
  </si>
  <si>
    <t>764775308.016</t>
  </si>
  <si>
    <t>Krycí pás z barevného legovaného Al plechu tl.0,7mm, RŠ 300 mm (napoj.střechy na svislou kci) D+M</t>
  </si>
  <si>
    <t>K36</t>
  </si>
  <si>
    <t>9,05</t>
  </si>
  <si>
    <t>861</t>
  </si>
  <si>
    <t>764775308.017</t>
  </si>
  <si>
    <t>Lišta z barevného legovaného Al plechu tl.0,7mm, RŠ 70mm (napoj.střechy na svislou kci) D+M</t>
  </si>
  <si>
    <t>K37</t>
  </si>
  <si>
    <t>67,25</t>
  </si>
  <si>
    <t>862</t>
  </si>
  <si>
    <t>764775308.018</t>
  </si>
  <si>
    <t>Zatahovací pás z barevného legovaného Al plechu tl.0,7mm, RŠ 300 mm (napoj.střechy na svislou kci) D+M</t>
  </si>
  <si>
    <t>K38</t>
  </si>
  <si>
    <t>863</t>
  </si>
  <si>
    <t>764775308.019</t>
  </si>
  <si>
    <t>Krycí pás z barevného legovaného Al plechu tl.0,7mm, RŠ 315 mm (napoj.střechy na svislou kci) D+M</t>
  </si>
  <si>
    <t>K39</t>
  </si>
  <si>
    <t>42,15</t>
  </si>
  <si>
    <t>864</t>
  </si>
  <si>
    <t>764394330.007</t>
  </si>
  <si>
    <t>Vyztužovací pás z Al plechu tl.0,7mm, RŠ 325 mm (závětr.lišta rizalit) D+M</t>
  </si>
  <si>
    <t>K40</t>
  </si>
  <si>
    <t>13,5</t>
  </si>
  <si>
    <t>865</t>
  </si>
  <si>
    <t>764775308.020</t>
  </si>
  <si>
    <t>Krycí pás z barevného legovaného Al plechu tl.0,7mm, RŠ 180 mm (závětr.lišta rizalit) D+M</t>
  </si>
  <si>
    <t>K41</t>
  </si>
  <si>
    <t>866</t>
  </si>
  <si>
    <t>764775308.021</t>
  </si>
  <si>
    <t>Krycí pás z barevného legovaného Al plechu tl.0,7mm, RŠ 190 mm (závětr.lišta pult.střecha) D+M</t>
  </si>
  <si>
    <t>K42</t>
  </si>
  <si>
    <t>8,95</t>
  </si>
  <si>
    <t>867</t>
  </si>
  <si>
    <t>764775308.022</t>
  </si>
  <si>
    <t>Krycí pás z barevného legovaného Al plechu tl.0,7mm, RŠ 80 mm (závětr.lišta pult.střecha) D+M</t>
  </si>
  <si>
    <t>K43</t>
  </si>
  <si>
    <t>868</t>
  </si>
  <si>
    <t>764775308.023</t>
  </si>
  <si>
    <t>Zatahovací pás z barevného legovaného Al plechu tl.0,7mm, RŠ 220 mm (čel.hrana sedlové vikýře) D+M</t>
  </si>
  <si>
    <t>K44</t>
  </si>
  <si>
    <t>10,9</t>
  </si>
  <si>
    <t>869</t>
  </si>
  <si>
    <t>764775308.024</t>
  </si>
  <si>
    <t>Zatahovací pás z barevného legovaného Al plechu tl.0,7mm, RŠ 95 mm (čel.hrana sedlové vikýře) D+M</t>
  </si>
  <si>
    <t>K45</t>
  </si>
  <si>
    <t>870</t>
  </si>
  <si>
    <t>764778304.002</t>
  </si>
  <si>
    <t>Oplechování parapetů,z barevného legovaného Al plechu tl.0,7mm, RŠ 165 mm (okna vikýře) D+M</t>
  </si>
  <si>
    <t>K46</t>
  </si>
  <si>
    <t>12,8</t>
  </si>
  <si>
    <t>871</t>
  </si>
  <si>
    <t>764775323R00</t>
  </si>
  <si>
    <t>Lemování komínů z barevného legovaného Al plechu tl.0,7mm, v ploše</t>
  </si>
  <si>
    <t>13,75*0,5</t>
  </si>
  <si>
    <t>872</t>
  </si>
  <si>
    <t>764352.001</t>
  </si>
  <si>
    <t>Žlabový hák 400 pro Al žlaby půlkruhové D+M - Z01a</t>
  </si>
  <si>
    <t>vč.upevňovacího materiálu</t>
  </si>
  <si>
    <t>873</t>
  </si>
  <si>
    <t>764352.002</t>
  </si>
  <si>
    <t>Žlabový hák 333 pro Al žlaby půlkruhové D+M - Z01b</t>
  </si>
  <si>
    <t>874</t>
  </si>
  <si>
    <t>764352.003</t>
  </si>
  <si>
    <t>Žlabový hák římsový 400 pro Al žlaby půlkruhové D+M - Z02a</t>
  </si>
  <si>
    <t>875</t>
  </si>
  <si>
    <t>764352.004</t>
  </si>
  <si>
    <t>Žlabový hák římsový 333 pro Al žlaby půlkruhové D+M - Z02b</t>
  </si>
  <si>
    <t>876</t>
  </si>
  <si>
    <t>764778109R00</t>
  </si>
  <si>
    <t>Kotlík žlabový kulatý, žlab 400 mm z barevného legovaného Al plechu, D 150mm D+M</t>
  </si>
  <si>
    <t>K49</t>
  </si>
  <si>
    <t>877</t>
  </si>
  <si>
    <t>764778114R00</t>
  </si>
  <si>
    <t>Žlab podokapní půlkruhový z barevného legovaného Al plechu, RŠ 400 mm vč.čel, vnějších rohů D+M</t>
  </si>
  <si>
    <t>K48</t>
  </si>
  <si>
    <t>149,1</t>
  </si>
  <si>
    <t>878</t>
  </si>
  <si>
    <t>764778124R00</t>
  </si>
  <si>
    <t>Odpadní trouby z barevného legovaného Al plechu kruhové, D 150 mm; vč.kolen (27ks), odbočky (1ks) a uchycení D+M</t>
  </si>
  <si>
    <t>K50</t>
  </si>
  <si>
    <t>104,5</t>
  </si>
  <si>
    <t>přímá část</t>
  </si>
  <si>
    <t>27*0,6</t>
  </si>
  <si>
    <t>kolena</t>
  </si>
  <si>
    <t>odbočka</t>
  </si>
  <si>
    <t>879</t>
  </si>
  <si>
    <t>764778107RT1</t>
  </si>
  <si>
    <t>Kotlík žlabový kulatý, žlab 333 mm z barevného legovaného Al plechu, D 120mm D+M</t>
  </si>
  <si>
    <t>K52</t>
  </si>
  <si>
    <t>880</t>
  </si>
  <si>
    <t>764778113RT1</t>
  </si>
  <si>
    <t>Žlab podokapní půlkruhový z barevného legovaného Al plechu, RŠ 333 mm vč.čel, vnějších rohů  D+M</t>
  </si>
  <si>
    <t>K51</t>
  </si>
  <si>
    <t>31,3</t>
  </si>
  <si>
    <t>881</t>
  </si>
  <si>
    <t>764778123RT1</t>
  </si>
  <si>
    <t>Odpadní trouby kruhové z barevného legovaného Al plechu, D 120 mm vč.kolen (2ks) a uchycení D+M</t>
  </si>
  <si>
    <t>K53</t>
  </si>
  <si>
    <t>6,7</t>
  </si>
  <si>
    <t>2*0,6</t>
  </si>
  <si>
    <t>882</t>
  </si>
  <si>
    <t>764778120R00</t>
  </si>
  <si>
    <t>Dilatace půlkruhového žlabu z barevného legovaného Al plechu, RŠ 400 mm</t>
  </si>
  <si>
    <t>sada s návalkou, gumou a krytem gumy</t>
  </si>
  <si>
    <t>883</t>
  </si>
  <si>
    <t>764775.001</t>
  </si>
  <si>
    <t>Prostup střechou, těsnící manžeta,nástavec odvětrání DN75 - K54</t>
  </si>
  <si>
    <t>884</t>
  </si>
  <si>
    <t>764775.002</t>
  </si>
  <si>
    <t>Prostup střechou, těsnící manžeta,nástavec odvětrání DN100 - K55</t>
  </si>
  <si>
    <t>885</t>
  </si>
  <si>
    <t>764775.003</t>
  </si>
  <si>
    <t>Prostup střechou, těsnící manžeta,nástavec odvětrání DN110 - K56</t>
  </si>
  <si>
    <t>886</t>
  </si>
  <si>
    <t>764775.004</t>
  </si>
  <si>
    <t>Prostup střechou, těsnící manžeta,nástavec odvětrání DN125 - K57</t>
  </si>
  <si>
    <t>887</t>
  </si>
  <si>
    <t>764775.005</t>
  </si>
  <si>
    <t>Prostup střechou, těsnící manžeta,nástavec odvětrání DN150 - K58</t>
  </si>
  <si>
    <t>888</t>
  </si>
  <si>
    <t>764775.006</t>
  </si>
  <si>
    <t>Prostup střechou, těsnící manžeta,nástavec odvětrání DN200 - K59</t>
  </si>
  <si>
    <t>889</t>
  </si>
  <si>
    <t>764775.007</t>
  </si>
  <si>
    <t>Kabelový prostup střechou systémový 2x10mm+1x30mm - K60</t>
  </si>
  <si>
    <t>890</t>
  </si>
  <si>
    <t>764775.008</t>
  </si>
  <si>
    <t>Prostup střechou, těsnící manžeta prům.50mm - K61</t>
  </si>
  <si>
    <t>jímací tyče bleskosvodu</t>
  </si>
  <si>
    <t>891</t>
  </si>
  <si>
    <t>764344.001</t>
  </si>
  <si>
    <t>Montáž lemování trub prúm 600mm z Al plechu, ze 2 dílů D+M - K62</t>
  </si>
  <si>
    <t>Rpoložka</t>
  </si>
  <si>
    <t>opracování prostupu potrubí TČ</t>
  </si>
  <si>
    <t>892</t>
  </si>
  <si>
    <t>764773313.01</t>
  </si>
  <si>
    <t>Bezpečnostní hák k AL.falcované krytině -dimenzováno min na dvě osoby vč.nátěru D+M</t>
  </si>
  <si>
    <t>Z03</t>
  </si>
  <si>
    <t>893</t>
  </si>
  <si>
    <t>Svěrka trubky sněhové zábrany dvojitá k drážkové krytině</t>
  </si>
  <si>
    <t>Z04a</t>
  </si>
  <si>
    <t>894</t>
  </si>
  <si>
    <t>Svěrka trubky sněhové zábrany jednoduchá k drážkové krytině</t>
  </si>
  <si>
    <t>Z04b</t>
  </si>
  <si>
    <t>895</t>
  </si>
  <si>
    <t>Trubka sněhové zábrany prům.28mm k AL.drážkovým krytinám vč spojek D+M</t>
  </si>
  <si>
    <t>Z04a+Z04b</t>
  </si>
  <si>
    <t>85,7*2</t>
  </si>
  <si>
    <t>60,1*1</t>
  </si>
  <si>
    <t>896</t>
  </si>
  <si>
    <t>764312842R00</t>
  </si>
  <si>
    <t>Demont. krytiny, stáv. Al krytiny, nad 25 m2, nad 45°</t>
  </si>
  <si>
    <t>1234,1</t>
  </si>
  <si>
    <t>hlavní střecha</t>
  </si>
  <si>
    <t>43,2</t>
  </si>
  <si>
    <t>vedlejší valbová střecha</t>
  </si>
  <si>
    <t>23,9</t>
  </si>
  <si>
    <t>vedlejší plochá střecha</t>
  </si>
  <si>
    <t>897</t>
  </si>
  <si>
    <t>764322842R00</t>
  </si>
  <si>
    <t>Demontáž oplechování okapů, TK, rš 500 mm, nad 45°</t>
  </si>
  <si>
    <t>256,2</t>
  </si>
  <si>
    <t>898</t>
  </si>
  <si>
    <t>764393832R00</t>
  </si>
  <si>
    <t>Demontáž hřebene střechy a nároží, rš do 400 mm, nad 45°</t>
  </si>
  <si>
    <t>41,2+11,5+1,5+2,8</t>
  </si>
  <si>
    <t>hřeben střechy</t>
  </si>
  <si>
    <t>5*11,2+2*8,2+5,7*2</t>
  </si>
  <si>
    <t>nároži</t>
  </si>
  <si>
    <t>(1,9*2+1,2)*9</t>
  </si>
  <si>
    <t>nároří a hřeben vikýřů</t>
  </si>
  <si>
    <t>899</t>
  </si>
  <si>
    <t>764392842R00</t>
  </si>
  <si>
    <t>Demontáž úžlabí, rš 500 mm, sklon nad 45°</t>
  </si>
  <si>
    <t>8,1*2+11,1</t>
  </si>
  <si>
    <t>900</t>
  </si>
  <si>
    <t>764348815R00</t>
  </si>
  <si>
    <t>Demontáž sněhového zachytače, sklon nad 45°</t>
  </si>
  <si>
    <t>901</t>
  </si>
  <si>
    <t>764359812R00</t>
  </si>
  <si>
    <t>Demontáž kotlíku kónického, sklon nad 45°</t>
  </si>
  <si>
    <t>902</t>
  </si>
  <si>
    <t>764454804R00</t>
  </si>
  <si>
    <t>Demontáž odpadních trub kruhových, D 200 mm vč.kolen</t>
  </si>
  <si>
    <t>122,5+6</t>
  </si>
  <si>
    <t>903</t>
  </si>
  <si>
    <t>764352822R00</t>
  </si>
  <si>
    <t>Demontáž žlabů půlkruh.rovných, rš 500 mm, nad 45°</t>
  </si>
  <si>
    <t>904</t>
  </si>
  <si>
    <t>764351838R00</t>
  </si>
  <si>
    <t>Demontáž háků, sklon nad 45°</t>
  </si>
  <si>
    <t>905</t>
  </si>
  <si>
    <t>764345833R00</t>
  </si>
  <si>
    <t>Demontáž ventilačních nástavců D do 150 mm,nad 45°</t>
  </si>
  <si>
    <t>906</t>
  </si>
  <si>
    <t>764342843R00</t>
  </si>
  <si>
    <t>Demontáž lemování trub D 250 mm, hl. kryt. nad 45°</t>
  </si>
  <si>
    <t>907</t>
  </si>
  <si>
    <t>764339832R00</t>
  </si>
  <si>
    <t>Demontáž lemov. komínů v ploše, hl. kryt, nad 45°</t>
  </si>
  <si>
    <t>7,2</t>
  </si>
  <si>
    <t>908</t>
  </si>
  <si>
    <t>764362812R00</t>
  </si>
  <si>
    <t>Demontáž střešního okna/výlezu, hladká krytina, nad 45°</t>
  </si>
  <si>
    <t>909</t>
  </si>
  <si>
    <t>6,405</t>
  </si>
  <si>
    <t>910</t>
  </si>
  <si>
    <t>766421213R00</t>
  </si>
  <si>
    <t>Obložení podhledů jednod. palubkami SM š. do 15 cm</t>
  </si>
  <si>
    <t>1,28*8</t>
  </si>
  <si>
    <t>911</t>
  </si>
  <si>
    <t>611916874</t>
  </si>
  <si>
    <t>Palubka obkladová SM jakost A/B, tl. 19 mm, šířka 146 mm</t>
  </si>
  <si>
    <t>10,24</t>
  </si>
  <si>
    <t>;ztratné 10%; 1,024</t>
  </si>
  <si>
    <t>912</t>
  </si>
  <si>
    <t>766427112.001</t>
  </si>
  <si>
    <t>Podkladový rošt z prken pro obložení podhledů vikýřů (2m/m2) D+M</t>
  </si>
  <si>
    <t>913</t>
  </si>
  <si>
    <t>766624052R00</t>
  </si>
  <si>
    <t>Montáž střešního výlezu rozměr 60/60 cm</t>
  </si>
  <si>
    <t>914</t>
  </si>
  <si>
    <t>553530031</t>
  </si>
  <si>
    <t>Okno výlezové 600x600 mm pro Al falcované krytiny vč dřev..rámu pro nevytápěné prostory-O06</t>
  </si>
  <si>
    <t>915</t>
  </si>
  <si>
    <t>766620.04</t>
  </si>
  <si>
    <t>Dod.+mont. okno dřevěné 1600x800 , OS, 2kř.,zasklené trojsklem vč.kování, příslušenství a konečné povrchové úpravy  - O03</t>
  </si>
  <si>
    <t>přesná specifikace viz výpis výplní otvorů, montáž včetně uzávěrů vnitřní a vnější spáry</t>
  </si>
  <si>
    <t>916</t>
  </si>
  <si>
    <t>766694122R00</t>
  </si>
  <si>
    <t>Montáž parapetních desek š.nad 30 cm,dl.do 160 cm</t>
  </si>
  <si>
    <t>917</t>
  </si>
  <si>
    <t>61187550</t>
  </si>
  <si>
    <t>Deska parapetní masiv smrk šířka 200 mm vč.povrchové úpravy - T03</t>
  </si>
  <si>
    <t>4*1,6</t>
  </si>
  <si>
    <t>918</t>
  </si>
  <si>
    <t>0,424</t>
  </si>
  <si>
    <t>Čalounické úpravy</t>
  </si>
  <si>
    <t>919</t>
  </si>
  <si>
    <t>786612200R00</t>
  </si>
  <si>
    <t>Montáž rolet textilních</t>
  </si>
  <si>
    <t>786_</t>
  </si>
  <si>
    <t>SO-02_78_</t>
  </si>
  <si>
    <t xml:space="preserve">zastínění m.č.414, 417
</t>
  </si>
  <si>
    <t>1,6*0,8*3</t>
  </si>
  <si>
    <t>920</t>
  </si>
  <si>
    <t>61141209</t>
  </si>
  <si>
    <t>Roleta látková interiérová 80 x 85 cm</t>
  </si>
  <si>
    <t>921</t>
  </si>
  <si>
    <t>998786103R00</t>
  </si>
  <si>
    <t>Přesun hmot pro zastiň. techniku, výšky do 24 m</t>
  </si>
  <si>
    <t>0,011</t>
  </si>
  <si>
    <t>922</t>
  </si>
  <si>
    <t>Ostatní zařízení</t>
  </si>
  <si>
    <t>923</t>
  </si>
  <si>
    <t>TIGTS4AF1P</t>
  </si>
  <si>
    <t>Zařízení pouze pro rapid shutdown (rychlé rozpojení) pod jeden panel</t>
  </si>
  <si>
    <t>924</t>
  </si>
  <si>
    <t>925</t>
  </si>
  <si>
    <t>CNR196786962</t>
  </si>
  <si>
    <t>Svodič přepětí, typ TYP 1/P1 pro datové aplikace sítě ETHERNET, In [C2] (8/20) µs = 10kA, Usignal ? +/- 5 V, v provedení do patice</t>
  </si>
  <si>
    <t>926</t>
  </si>
  <si>
    <t>927</t>
  </si>
  <si>
    <t>HZS3232</t>
  </si>
  <si>
    <t>Hodinové zúčtovací sazby montáží technologických zařízení na stavebních objektech montér měřících zařízení odborný</t>
  </si>
  <si>
    <t>základní nastavení střídače dle požadavků ČEZ, uvedení střídače do provozu</t>
  </si>
  <si>
    <t>928</t>
  </si>
  <si>
    <t>zprovoznění datové komunikace střídače, zapojení střídače do komunikační sítě provozovatele</t>
  </si>
  <si>
    <t>929</t>
  </si>
  <si>
    <t>Koordinace a součinnost s pracovníky ČEZ Distribuce a.s. během zprovoznění a nastavení střídače</t>
  </si>
  <si>
    <t>930</t>
  </si>
  <si>
    <t>Koordinace profesí, příprava stavby</t>
  </si>
  <si>
    <t>931</t>
  </si>
  <si>
    <t>Spolupráce s revizním technikem</t>
  </si>
  <si>
    <t>932</t>
  </si>
  <si>
    <t>HZS4211</t>
  </si>
  <si>
    <t>Hodinové zúčtovací sazby ostatních profesí revizní a kontrolní činnost revizní technik</t>
  </si>
  <si>
    <t>Vyhotovení výchozí revize</t>
  </si>
  <si>
    <t>933</t>
  </si>
  <si>
    <t>Vyhotovení dokumentace skutečného stavu</t>
  </si>
  <si>
    <t>934</t>
  </si>
  <si>
    <t>945001</t>
  </si>
  <si>
    <t>Výrobní dokumentace-závěsného konzolového lešení</t>
  </si>
  <si>
    <t>SO-02_9_</t>
  </si>
  <si>
    <t>935</t>
  </si>
  <si>
    <t>945943001R00</t>
  </si>
  <si>
    <t>Montáž závěsného lešení konzolového, chem. kotvy</t>
  </si>
  <si>
    <t>vč pracovní podlahy a záchytného ohrazení</t>
  </si>
  <si>
    <t>135,4</t>
  </si>
  <si>
    <t>5*1</t>
  </si>
  <si>
    <t>vnější rohy</t>
  </si>
  <si>
    <t>936</t>
  </si>
  <si>
    <t>945943091R00</t>
  </si>
  <si>
    <t>Pronájem konzolového lešení - den</t>
  </si>
  <si>
    <t>předpoklad 30 dnů</t>
  </si>
  <si>
    <t>139,15*30</t>
  </si>
  <si>
    <t>937</t>
  </si>
  <si>
    <t>945943801R00</t>
  </si>
  <si>
    <t>Demontáž závěsného lešení konzolového, chem.kotvy</t>
  </si>
  <si>
    <t>139,15</t>
  </si>
  <si>
    <t>938</t>
  </si>
  <si>
    <t>944946111RT2</t>
  </si>
  <si>
    <t>Textílie ochranná před propadem suti z lešení- podlahy, záchytné ohrazení</t>
  </si>
  <si>
    <t>včetně dodávky textílie min.300g/m2</t>
  </si>
  <si>
    <t>140,4*1,5</t>
  </si>
  <si>
    <t>podlaha</t>
  </si>
  <si>
    <t>záchytné hrazení</t>
  </si>
  <si>
    <t>939</t>
  </si>
  <si>
    <t>944946811R00</t>
  </si>
  <si>
    <t>Odstranění textilie z lešeňových podlah a záchytného ohrazení</t>
  </si>
  <si>
    <t>421,2</t>
  </si>
  <si>
    <t>940</t>
  </si>
  <si>
    <t>0,6*1,65*4</t>
  </si>
  <si>
    <t>941</t>
  </si>
  <si>
    <t>(7,27/0,6)*0,8</t>
  </si>
  <si>
    <t>942</t>
  </si>
  <si>
    <t>0,73</t>
  </si>
  <si>
    <t>943</t>
  </si>
  <si>
    <t>220490845</t>
  </si>
  <si>
    <t>Montáž příslušenství pro telefonní přístroje portu strukturované kabeláže</t>
  </si>
  <si>
    <t>944</t>
  </si>
  <si>
    <t>0128CAT6</t>
  </si>
  <si>
    <t>Krimplovací konektor RJ45, cat. 6, osazen 8 kontakty</t>
  </si>
  <si>
    <t>945</t>
  </si>
  <si>
    <t>0,171</t>
  </si>
  <si>
    <t>946</t>
  </si>
  <si>
    <t>7,27</t>
  </si>
  <si>
    <t>6,66</t>
  </si>
  <si>
    <t>klempíř.kce</t>
  </si>
  <si>
    <t>947</t>
  </si>
  <si>
    <t>13,93*4</t>
  </si>
  <si>
    <t>948</t>
  </si>
  <si>
    <t>1,45</t>
  </si>
  <si>
    <t>0,65+0,16</t>
  </si>
  <si>
    <t>ostatní klempíř.kce</t>
  </si>
  <si>
    <t>0,17</t>
  </si>
  <si>
    <t>bourání kcí (okna)</t>
  </si>
  <si>
    <t>949</t>
  </si>
  <si>
    <t>2,43*5</t>
  </si>
  <si>
    <t>950</t>
  </si>
  <si>
    <t>14,1</t>
  </si>
  <si>
    <t>951</t>
  </si>
  <si>
    <t>14,1*3</t>
  </si>
  <si>
    <t>952</t>
  </si>
  <si>
    <t>Vodorovné přemístění suti na skládku do 5000 m</t>
  </si>
  <si>
    <t>5,81</t>
  </si>
  <si>
    <t>5,85</t>
  </si>
  <si>
    <t>výkup kovů 90% klempíř výrobků</t>
  </si>
  <si>
    <t>953</t>
  </si>
  <si>
    <t>dřevo</t>
  </si>
  <si>
    <t>0,65</t>
  </si>
  <si>
    <t>ostatní klempíř.kce 10%</t>
  </si>
  <si>
    <t>0,16</t>
  </si>
  <si>
    <t>výlezy střecha</t>
  </si>
  <si>
    <t>okna vikýře</t>
  </si>
  <si>
    <t>954</t>
  </si>
  <si>
    <t>979951131R00</t>
  </si>
  <si>
    <t>Výkup kovů - hliník, plechy</t>
  </si>
  <si>
    <t>2,863+0,366</t>
  </si>
  <si>
    <t>955</t>
  </si>
  <si>
    <t>979951111R00</t>
  </si>
  <si>
    <t>Výkup kovů - železný šrot tl. do 4 mm</t>
  </si>
  <si>
    <t>6,66-3,23</t>
  </si>
  <si>
    <t>VORN</t>
  </si>
  <si>
    <t>VORN - Vedlejší a ostatní rozpočtové náklady</t>
  </si>
  <si>
    <t>03VRN</t>
  </si>
  <si>
    <t>956</t>
  </si>
  <si>
    <t>030001VRN</t>
  </si>
  <si>
    <t>Soubor</t>
  </si>
  <si>
    <t>03VRN_</t>
  </si>
  <si>
    <t>VORN_ _</t>
  </si>
  <si>
    <t>VORN_</t>
  </si>
  <si>
    <t>vybudování, provoz a odstranění - oplocení, mont.a demont stavebního výtahu/jeřábu (předpoklad po celou dobu výstavby) hygienické a pracovní zázemí pro pracovníky; spotřebované energie; provádění bezpečnostních a hygienických opatření na staveništi</t>
  </si>
  <si>
    <t>07VRN</t>
  </si>
  <si>
    <t>957</t>
  </si>
  <si>
    <t>079002VRN</t>
  </si>
  <si>
    <t>07VRN_</t>
  </si>
  <si>
    <t>provoz investora (zachování provozu knihovny po dobu výstavby)</t>
  </si>
  <si>
    <t>09VRN</t>
  </si>
  <si>
    <t>958</t>
  </si>
  <si>
    <t>090001VRN</t>
  </si>
  <si>
    <t>Kompletační a koordinjační činnost zhotovitele</t>
  </si>
  <si>
    <t>09VRN_</t>
  </si>
  <si>
    <t>959</t>
  </si>
  <si>
    <t>090002VRN</t>
  </si>
  <si>
    <t>Dokumentace skutečného provedení</t>
  </si>
  <si>
    <t>960</t>
  </si>
  <si>
    <t>090003VRN</t>
  </si>
  <si>
    <t>Práce bez pevné pracovní podlahy</t>
  </si>
  <si>
    <t>oprava fasády po demontáži závěsného lešení</t>
  </si>
  <si>
    <t>F</t>
  </si>
  <si>
    <t>T</t>
  </si>
  <si>
    <t>Celkem:</t>
  </si>
  <si>
    <t>Rekapitulace SO-01 - Edukační centrum, digital.pracoviště</t>
  </si>
  <si>
    <t>Slepý stavební rozpočet  SO-01 Edukační centrum, digital.pracoviště</t>
  </si>
  <si>
    <t>Rekapitulace SO-02 - Edukační centrum,digital.pracoviště-kód interv.044</t>
  </si>
  <si>
    <t>Slepý stavební rozpočet SO-02  Edukační centrum,digital.pracoviště-kód interv.044</t>
  </si>
  <si>
    <t>zhotovení hydroizolační vrstvy na stěně sprch. Koutu</t>
  </si>
  <si>
    <t xml:space="preserve">podlahy hygienických zařízení +techn.místnost
</t>
  </si>
  <si>
    <t xml:space="preserve">podlahy hygienických zařízení + techn.místnost
</t>
  </si>
  <si>
    <t>zhotovení hydroizolační vrstvy na stěně sprch. koutu</t>
  </si>
  <si>
    <t>Rekapitulace VORN - Vedlejší a ostatní rozpočtové náklady</t>
  </si>
  <si>
    <t>Klozet keramický závěsný na nosné stěny s hlubokým splachováním odpad vodorovný; max objem splach.vody 6,0l, max průměrný objem splach vody 3,5l</t>
  </si>
  <si>
    <t>Pisoárový záchodek automatický s radarovým senzorem; max spotřeba splach.vody 2 l/mísu /hod</t>
  </si>
  <si>
    <t>Baterie  nástěnná páková s otáčivým kulatým ústím a délkou ramínka 210 mm; max průtok 6 l/min.</t>
  </si>
  <si>
    <t>Baterie dřezová stojánková páková s otáčivým kulatým ústím a délkou ramínka 220 mm; max průtok 6 l/min.</t>
  </si>
  <si>
    <t>Baterie umyvadlová stojánková páková s výpustí; max průtok 6 l/min.</t>
  </si>
  <si>
    <t>Baterie sprchové nástěnné pákové; max průtok 8 l/min.</t>
  </si>
  <si>
    <t>Baterie sprchové nástěnné pákové; max průtok 8 l/min</t>
  </si>
  <si>
    <t>Baterie umyvadlová stojánková páková s výpustí; max průtok 6 l/min</t>
  </si>
  <si>
    <t>Baterie dřezová stojánková páková s otáčivým kulatým ústím a délkou ramínka 220 mm; max průtok 6 l/min</t>
  </si>
  <si>
    <t>Baterie  nástěnná páková s otáčivým kulatým ústím a délkou ramínka 210 mm; max průtok 6 l/min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</si>
</sst>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Calibri"/>
      <family val="2"/>
    </font>
    <font>
      <sz val="10"/>
      <name val="Arial"/>
      <family val="2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8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i/>
      <sz val="10"/>
      <color rgb="FF0000FF"/>
      <name val="Arial"/>
      <family val="2"/>
    </font>
    <font>
      <sz val="11"/>
      <name val="Arial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C0C0C0"/>
      </left>
      <right/>
      <top/>
      <bottom/>
    </border>
    <border>
      <left/>
      <right style="thin">
        <color rgb="FFC0C0C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1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4" fontId="9" fillId="0" borderId="7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4" fontId="9" fillId="0" borderId="5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8" fillId="2" borderId="5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7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0" fontId="4" fillId="2" borderId="0" xfId="0" applyNumberFormat="1" applyFont="1" applyFill="1" applyBorder="1" applyAlignment="1" applyProtection="1">
      <alignment horizontal="right" vertical="center"/>
      <protection/>
    </xf>
    <xf numFmtId="0" fontId="4" fillId="2" borderId="9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2" fillId="3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1" fontId="4" fillId="2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4" fontId="14" fillId="0" borderId="0" xfId="0" applyNumberFormat="1" applyFont="1" applyFill="1" applyBorder="1" applyAlignment="1" applyProtection="1">
      <alignment horizontal="right" vertical="center"/>
      <protection/>
    </xf>
    <xf numFmtId="0" fontId="13" fillId="3" borderId="0" xfId="0" applyNumberFormat="1" applyFont="1" applyFill="1" applyBorder="1" applyAlignment="1" applyProtection="1">
      <alignment/>
      <protection locked="0"/>
    </xf>
    <xf numFmtId="0" fontId="13" fillId="0" borderId="9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3" fillId="4" borderId="22" xfId="0" applyNumberFormat="1" applyFont="1" applyFill="1" applyBorder="1" applyAlignment="1" applyProtection="1">
      <alignment horizontal="left" vertical="center"/>
      <protection/>
    </xf>
    <xf numFmtId="0" fontId="3" fillId="4" borderId="0" xfId="0" applyNumberFormat="1" applyFont="1" applyFill="1" applyBorder="1" applyAlignment="1" applyProtection="1">
      <alignment horizontal="left" vertical="center"/>
      <protection/>
    </xf>
    <xf numFmtId="4" fontId="3" fillId="4" borderId="0" xfId="0" applyNumberFormat="1" applyFont="1" applyFill="1" applyBorder="1" applyAlignment="1" applyProtection="1">
      <alignment horizontal="right" vertical="center"/>
      <protection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4" borderId="23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5" fillId="4" borderId="22" xfId="0" applyNumberFormat="1" applyFont="1" applyFill="1" applyBorder="1" applyAlignment="1" applyProtection="1">
      <alignment/>
      <protection/>
    </xf>
    <xf numFmtId="0" fontId="15" fillId="4" borderId="0" xfId="0" applyNumberFormat="1" applyFont="1" applyFill="1" applyBorder="1" applyAlignment="1" applyProtection="1">
      <alignment/>
      <protection/>
    </xf>
    <xf numFmtId="0" fontId="11" fillId="4" borderId="0" xfId="0" applyNumberFormat="1" applyFont="1" applyFill="1" applyBorder="1" applyAlignment="1" applyProtection="1">
      <alignment horizontal="left" vertical="center"/>
      <protection/>
    </xf>
    <xf numFmtId="4" fontId="11" fillId="4" borderId="0" xfId="0" applyNumberFormat="1" applyFont="1" applyFill="1" applyBorder="1" applyAlignment="1" applyProtection="1">
      <alignment horizontal="right" vertical="center"/>
      <protection/>
    </xf>
    <xf numFmtId="0" fontId="15" fillId="3" borderId="0" xfId="0" applyNumberFormat="1" applyFont="1" applyFill="1" applyBorder="1" applyAlignment="1" applyProtection="1">
      <alignment/>
      <protection locked="0"/>
    </xf>
    <xf numFmtId="0" fontId="15" fillId="4" borderId="23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4" borderId="22" xfId="0" applyNumberFormat="1" applyFont="1" applyFill="1" applyBorder="1" applyAlignment="1" applyProtection="1">
      <alignment horizontal="left" vertical="center"/>
      <protection/>
    </xf>
    <xf numFmtId="0" fontId="3" fillId="4" borderId="0" xfId="0" applyNumberFormat="1" applyFont="1" applyFill="1" applyBorder="1" applyAlignment="1" applyProtection="1">
      <alignment horizontal="left" vertical="center"/>
      <protection/>
    </xf>
    <xf numFmtId="4" fontId="3" fillId="4" borderId="0" xfId="0" applyNumberFormat="1" applyFont="1" applyFill="1" applyBorder="1" applyAlignment="1" applyProtection="1">
      <alignment horizontal="right" vertical="center"/>
      <protection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4" borderId="23" xfId="0" applyNumberFormat="1" applyFont="1" applyFill="1" applyBorder="1" applyAlignment="1" applyProtection="1">
      <alignment horizontal="right" vertical="center"/>
      <protection/>
    </xf>
    <xf numFmtId="0" fontId="15" fillId="4" borderId="22" xfId="0" applyNumberFormat="1" applyFont="1" applyFill="1" applyBorder="1" applyAlignment="1" applyProtection="1">
      <alignment/>
      <protection/>
    </xf>
    <xf numFmtId="0" fontId="15" fillId="4" borderId="0" xfId="0" applyNumberFormat="1" applyFont="1" applyFill="1" applyBorder="1" applyAlignment="1" applyProtection="1">
      <alignment/>
      <protection/>
    </xf>
    <xf numFmtId="0" fontId="11" fillId="4" borderId="0" xfId="0" applyNumberFormat="1" applyFont="1" applyFill="1" applyBorder="1" applyAlignment="1" applyProtection="1">
      <alignment horizontal="left" vertical="center"/>
      <protection/>
    </xf>
    <xf numFmtId="4" fontId="11" fillId="4" borderId="0" xfId="0" applyNumberFormat="1" applyFont="1" applyFill="1" applyBorder="1" applyAlignment="1" applyProtection="1">
      <alignment horizontal="right" vertical="center"/>
      <protection/>
    </xf>
    <xf numFmtId="0" fontId="15" fillId="3" borderId="0" xfId="0" applyNumberFormat="1" applyFont="1" applyFill="1" applyBorder="1" applyAlignment="1" applyProtection="1">
      <alignment/>
      <protection locked="0"/>
    </xf>
    <xf numFmtId="0" fontId="15" fillId="4" borderId="23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left" vertical="center"/>
      <protection/>
    </xf>
    <xf numFmtId="4" fontId="11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/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8" fillId="0" borderId="7" xfId="0" applyNumberFormat="1" applyFont="1" applyFill="1" applyBorder="1" applyAlignment="1" applyProtection="1">
      <alignment horizontal="left" vertical="center"/>
      <protection/>
    </xf>
    <xf numFmtId="0" fontId="8" fillId="2" borderId="29" xfId="0" applyNumberFormat="1" applyFont="1" applyFill="1" applyBorder="1" applyAlignment="1" applyProtection="1">
      <alignment horizontal="left" vertical="center"/>
      <protection/>
    </xf>
    <xf numFmtId="0" fontId="8" fillId="2" borderId="30" xfId="0" applyNumberFormat="1" applyFont="1" applyFill="1" applyBorder="1" applyAlignment="1" applyProtection="1">
      <alignment horizontal="left" vertical="center"/>
      <protection/>
    </xf>
    <xf numFmtId="0" fontId="8" fillId="2" borderId="2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0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left" vertical="center"/>
      <protection/>
    </xf>
    <xf numFmtId="0" fontId="8" fillId="0" borderId="5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" fontId="3" fillId="0" borderId="9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4" fontId="8" fillId="0" borderId="35" xfId="0" applyNumberFormat="1" applyFont="1" applyFill="1" applyBorder="1" applyAlignment="1" applyProtection="1">
      <alignment horizontal="right" vertical="center"/>
      <protection/>
    </xf>
    <xf numFmtId="0" fontId="8" fillId="0" borderId="35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6" xfId="0" applyNumberFormat="1" applyFont="1" applyFill="1" applyBorder="1" applyAlignment="1" applyProtection="1">
      <alignment horizontal="left" vertical="center"/>
      <protection/>
    </xf>
    <xf numFmtId="0" fontId="4" fillId="0" borderId="37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3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3" fillId="4" borderId="0" xfId="0" applyNumberFormat="1" applyFont="1" applyFill="1" applyBorder="1" applyAlignment="1" applyProtection="1">
      <alignment horizontal="left" vertical="center" wrapText="1"/>
      <protection/>
    </xf>
    <xf numFmtId="0" fontId="3" fillId="4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3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4" borderId="0" xfId="0" applyNumberFormat="1" applyFont="1" applyFill="1" applyBorder="1" applyAlignment="1" applyProtection="1">
      <alignment horizontal="left" vertical="center" wrapText="1"/>
      <protection/>
    </xf>
    <xf numFmtId="0" fontId="3" fillId="4" borderId="0" xfId="0" applyNumberFormat="1" applyFont="1" applyFill="1" applyBorder="1" applyAlignment="1" applyProtection="1">
      <alignment horizontal="left" vertical="center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3" borderId="3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 topLeftCell="A1">
      <selection activeCell="A37" sqref="A37:I37"/>
    </sheetView>
  </sheetViews>
  <sheetFormatPr defaultColWidth="12.140625" defaultRowHeight="15" customHeight="1"/>
  <cols>
    <col min="1" max="1" width="9.140625" style="0" customWidth="1"/>
    <col min="2" max="2" width="12.8515625" style="0" customWidth="1"/>
    <col min="3" max="3" width="27.140625" style="0" customWidth="1"/>
    <col min="4" max="4" width="10.00390625" style="0" customWidth="1"/>
    <col min="5" max="5" width="14.00390625" style="0" customWidth="1"/>
    <col min="6" max="6" width="27.140625" style="0" customWidth="1"/>
    <col min="7" max="7" width="9.140625" style="0" customWidth="1"/>
    <col min="8" max="8" width="12.8515625" style="0" customWidth="1"/>
    <col min="9" max="9" width="27.140625" style="0" customWidth="1"/>
  </cols>
  <sheetData>
    <row r="1" spans="1:9" ht="54.75" customHeight="1">
      <c r="A1" s="188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ht="14.4">
      <c r="A2" s="190" t="s">
        <v>1</v>
      </c>
      <c r="B2" s="191"/>
      <c r="C2" s="196" t="str">
        <f>'Stavební rozpočet-vyplnit'!D2</f>
        <v>Vybudování edukačního centra a digit.pracoviště v Městské knihovně T.G.Masaryka Šumperk</v>
      </c>
      <c r="D2" s="197"/>
      <c r="E2" s="187" t="s">
        <v>2</v>
      </c>
      <c r="F2" s="187" t="str">
        <f>'Stavební rozpočet-vyplnit'!J2</f>
        <v>Město Šumperk</v>
      </c>
      <c r="G2" s="191"/>
      <c r="H2" s="187" t="s">
        <v>3</v>
      </c>
      <c r="I2" s="193" t="s">
        <v>4</v>
      </c>
    </row>
    <row r="3" spans="1:9" ht="25.5" customHeight="1">
      <c r="A3" s="192"/>
      <c r="B3" s="148"/>
      <c r="C3" s="198"/>
      <c r="D3" s="198"/>
      <c r="E3" s="148"/>
      <c r="F3" s="148"/>
      <c r="G3" s="148"/>
      <c r="H3" s="148"/>
      <c r="I3" s="194"/>
    </row>
    <row r="4" spans="1:9" ht="14.4">
      <c r="A4" s="185" t="s">
        <v>5</v>
      </c>
      <c r="B4" s="148"/>
      <c r="C4" s="147" t="str">
        <f>'Stavební rozpočet-vyplnit'!D4</f>
        <v>Stavební úpravy, nástavba</v>
      </c>
      <c r="D4" s="148"/>
      <c r="E4" s="147" t="s">
        <v>6</v>
      </c>
      <c r="F4" s="147" t="str">
        <f>'Stavební rozpočet-vyplnit'!J4</f>
        <v>Ing.Ladislav Trčka - PROINK</v>
      </c>
      <c r="G4" s="148"/>
      <c r="H4" s="147" t="s">
        <v>3</v>
      </c>
      <c r="I4" s="194" t="s">
        <v>4</v>
      </c>
    </row>
    <row r="5" spans="1:9" ht="15" customHeight="1">
      <c r="A5" s="192"/>
      <c r="B5" s="148"/>
      <c r="C5" s="148"/>
      <c r="D5" s="148"/>
      <c r="E5" s="148"/>
      <c r="F5" s="148"/>
      <c r="G5" s="148"/>
      <c r="H5" s="148"/>
      <c r="I5" s="194"/>
    </row>
    <row r="6" spans="1:9" ht="14.4">
      <c r="A6" s="185" t="s">
        <v>7</v>
      </c>
      <c r="B6" s="148"/>
      <c r="C6" s="147" t="str">
        <f>'Stavební rozpočet-vyplnit'!D6</f>
        <v>Šumperk</v>
      </c>
      <c r="D6" s="148"/>
      <c r="E6" s="147" t="s">
        <v>8</v>
      </c>
      <c r="F6" s="147">
        <f>'Stavební rozpočet-vyplnit'!J6</f>
        <v>0</v>
      </c>
      <c r="G6" s="148"/>
      <c r="H6" s="147" t="s">
        <v>3</v>
      </c>
      <c r="I6" s="194" t="s">
        <v>4</v>
      </c>
    </row>
    <row r="7" spans="1:9" ht="15" customHeight="1">
      <c r="A7" s="192"/>
      <c r="B7" s="148"/>
      <c r="C7" s="148"/>
      <c r="D7" s="148"/>
      <c r="E7" s="148"/>
      <c r="F7" s="148"/>
      <c r="G7" s="148"/>
      <c r="H7" s="148"/>
      <c r="I7" s="194"/>
    </row>
    <row r="8" spans="1:9" ht="14.4">
      <c r="A8" s="185" t="s">
        <v>9</v>
      </c>
      <c r="B8" s="148"/>
      <c r="C8" s="147" t="str">
        <f>'Stavební rozpočet-vyplnit'!H4</f>
        <v xml:space="preserve"> </v>
      </c>
      <c r="D8" s="148"/>
      <c r="E8" s="147" t="s">
        <v>10</v>
      </c>
      <c r="F8" s="147" t="str">
        <f>'Stavební rozpočet-vyplnit'!H6</f>
        <v xml:space="preserve"> </v>
      </c>
      <c r="G8" s="148"/>
      <c r="H8" s="148" t="s">
        <v>11</v>
      </c>
      <c r="I8" s="195">
        <v>960</v>
      </c>
    </row>
    <row r="9" spans="1:9" ht="14.4">
      <c r="A9" s="192"/>
      <c r="B9" s="148"/>
      <c r="C9" s="148"/>
      <c r="D9" s="148"/>
      <c r="E9" s="148"/>
      <c r="F9" s="148"/>
      <c r="G9" s="148"/>
      <c r="H9" s="148"/>
      <c r="I9" s="194"/>
    </row>
    <row r="10" spans="1:9" ht="14.4">
      <c r="A10" s="185" t="s">
        <v>12</v>
      </c>
      <c r="B10" s="148"/>
      <c r="C10" s="147" t="str">
        <f>'Stavební rozpočet-vyplnit'!D8</f>
        <v>8014614</v>
      </c>
      <c r="D10" s="148"/>
      <c r="E10" s="147" t="s">
        <v>13</v>
      </c>
      <c r="F10" s="147">
        <f>'Stavební rozpočet-vyplnit'!J8</f>
        <v>0</v>
      </c>
      <c r="G10" s="148"/>
      <c r="H10" s="148" t="s">
        <v>14</v>
      </c>
      <c r="I10" s="179">
        <f>'Stavební rozpočet-vyplnit'!H8</f>
        <v>0</v>
      </c>
    </row>
    <row r="11" spans="1:9" ht="14.4">
      <c r="A11" s="186"/>
      <c r="B11" s="184"/>
      <c r="C11" s="184"/>
      <c r="D11" s="184"/>
      <c r="E11" s="184"/>
      <c r="F11" s="184"/>
      <c r="G11" s="184"/>
      <c r="H11" s="184"/>
      <c r="I11" s="180"/>
    </row>
    <row r="12" spans="1:9" ht="22.8">
      <c r="A12" s="181" t="s">
        <v>15</v>
      </c>
      <c r="B12" s="181"/>
      <c r="C12" s="181"/>
      <c r="D12" s="181"/>
      <c r="E12" s="181"/>
      <c r="F12" s="181"/>
      <c r="G12" s="181"/>
      <c r="H12" s="181"/>
      <c r="I12" s="181"/>
    </row>
    <row r="13" spans="1:9" ht="26.25" customHeight="1">
      <c r="A13" s="5" t="s">
        <v>16</v>
      </c>
      <c r="B13" s="182" t="s">
        <v>17</v>
      </c>
      <c r="C13" s="183"/>
      <c r="D13" s="6" t="s">
        <v>18</v>
      </c>
      <c r="E13" s="182" t="s">
        <v>19</v>
      </c>
      <c r="F13" s="183"/>
      <c r="G13" s="6" t="s">
        <v>20</v>
      </c>
      <c r="H13" s="182" t="s">
        <v>21</v>
      </c>
      <c r="I13" s="183"/>
    </row>
    <row r="14" spans="1:9" ht="15.6">
      <c r="A14" s="7" t="s">
        <v>22</v>
      </c>
      <c r="B14" s="8" t="s">
        <v>23</v>
      </c>
      <c r="C14" s="9">
        <f>SUM('Stavební rozpočet-vyplnit'!AB12:AB2063)</f>
        <v>0</v>
      </c>
      <c r="D14" s="169" t="s">
        <v>24</v>
      </c>
      <c r="E14" s="170"/>
      <c r="F14" s="9">
        <f>VORN!I15</f>
        <v>0</v>
      </c>
      <c r="G14" s="169" t="s">
        <v>25</v>
      </c>
      <c r="H14" s="170"/>
      <c r="I14" s="10">
        <f>VORN!I21</f>
        <v>0</v>
      </c>
    </row>
    <row r="15" spans="1:9" ht="15.6">
      <c r="A15" s="11" t="s">
        <v>4</v>
      </c>
      <c r="B15" s="8" t="s">
        <v>26</v>
      </c>
      <c r="C15" s="9">
        <f>SUM('Stavební rozpočet-vyplnit'!AC12:AC2063)</f>
        <v>0</v>
      </c>
      <c r="D15" s="169" t="s">
        <v>27</v>
      </c>
      <c r="E15" s="170"/>
      <c r="F15" s="9">
        <f>VORN!I16</f>
        <v>0</v>
      </c>
      <c r="G15" s="169" t="s">
        <v>28</v>
      </c>
      <c r="H15" s="170"/>
      <c r="I15" s="10">
        <f>VORN!I22</f>
        <v>0</v>
      </c>
    </row>
    <row r="16" spans="1:9" ht="15.6">
      <c r="A16" s="7" t="s">
        <v>29</v>
      </c>
      <c r="B16" s="8" t="s">
        <v>23</v>
      </c>
      <c r="C16" s="9">
        <f>SUM('Stavební rozpočet-vyplnit'!AD12:AD2063)</f>
        <v>0</v>
      </c>
      <c r="D16" s="169" t="s">
        <v>30</v>
      </c>
      <c r="E16" s="170"/>
      <c r="F16" s="9">
        <f>VORN!I17</f>
        <v>0</v>
      </c>
      <c r="G16" s="169" t="s">
        <v>31</v>
      </c>
      <c r="H16" s="170"/>
      <c r="I16" s="10">
        <f>VORN!I23</f>
        <v>0</v>
      </c>
    </row>
    <row r="17" spans="1:9" ht="15.6">
      <c r="A17" s="11" t="s">
        <v>4</v>
      </c>
      <c r="B17" s="8" t="s">
        <v>26</v>
      </c>
      <c r="C17" s="9">
        <f>SUM('Stavební rozpočet-vyplnit'!AE12:AE2063)</f>
        <v>0</v>
      </c>
      <c r="D17" s="169" t="s">
        <v>4</v>
      </c>
      <c r="E17" s="170"/>
      <c r="F17" s="10" t="s">
        <v>4</v>
      </c>
      <c r="G17" s="169" t="s">
        <v>32</v>
      </c>
      <c r="H17" s="170"/>
      <c r="I17" s="10">
        <f>VORN!I24</f>
        <v>0</v>
      </c>
    </row>
    <row r="18" spans="1:9" ht="15.6">
      <c r="A18" s="7" t="s">
        <v>33</v>
      </c>
      <c r="B18" s="8" t="s">
        <v>23</v>
      </c>
      <c r="C18" s="9">
        <f>SUM('Stavební rozpočet-vyplnit'!AF12:AF2063)</f>
        <v>0</v>
      </c>
      <c r="D18" s="169" t="s">
        <v>4</v>
      </c>
      <c r="E18" s="170"/>
      <c r="F18" s="10" t="s">
        <v>4</v>
      </c>
      <c r="G18" s="169" t="s">
        <v>34</v>
      </c>
      <c r="H18" s="170"/>
      <c r="I18" s="10">
        <f>VORN!I25</f>
        <v>0</v>
      </c>
    </row>
    <row r="19" spans="1:9" ht="15.6">
      <c r="A19" s="11" t="s">
        <v>4</v>
      </c>
      <c r="B19" s="8" t="s">
        <v>26</v>
      </c>
      <c r="C19" s="9">
        <f>SUM('Stavební rozpočet-vyplnit'!AG12:AG2063)</f>
        <v>0</v>
      </c>
      <c r="D19" s="169" t="s">
        <v>4</v>
      </c>
      <c r="E19" s="170"/>
      <c r="F19" s="10" t="s">
        <v>4</v>
      </c>
      <c r="G19" s="169" t="s">
        <v>35</v>
      </c>
      <c r="H19" s="170"/>
      <c r="I19" s="10">
        <f>VORN!I26</f>
        <v>0</v>
      </c>
    </row>
    <row r="20" spans="1:9" ht="15.6">
      <c r="A20" s="161" t="s">
        <v>36</v>
      </c>
      <c r="B20" s="162"/>
      <c r="C20" s="9">
        <f>SUM('Stavební rozpočet-vyplnit'!AH12:AH2063)</f>
        <v>0</v>
      </c>
      <c r="D20" s="169" t="s">
        <v>4</v>
      </c>
      <c r="E20" s="170"/>
      <c r="F20" s="10" t="s">
        <v>4</v>
      </c>
      <c r="G20" s="169" t="s">
        <v>4</v>
      </c>
      <c r="H20" s="170"/>
      <c r="I20" s="10" t="s">
        <v>4</v>
      </c>
    </row>
    <row r="21" spans="1:9" ht="15.6">
      <c r="A21" s="176" t="s">
        <v>37</v>
      </c>
      <c r="B21" s="177"/>
      <c r="C21" s="12">
        <f>SUM('Stavební rozpočet-vyplnit'!Z12:Z2063)</f>
        <v>0</v>
      </c>
      <c r="D21" s="171" t="s">
        <v>4</v>
      </c>
      <c r="E21" s="172"/>
      <c r="F21" s="13" t="s">
        <v>4</v>
      </c>
      <c r="G21" s="171" t="s">
        <v>4</v>
      </c>
      <c r="H21" s="172"/>
      <c r="I21" s="13" t="s">
        <v>4</v>
      </c>
    </row>
    <row r="22" spans="1:9" ht="16.5" customHeight="1">
      <c r="A22" s="178" t="s">
        <v>38</v>
      </c>
      <c r="B22" s="174"/>
      <c r="C22" s="14">
        <f>ROUND(SUM(C14:C21),0)</f>
        <v>0</v>
      </c>
      <c r="D22" s="173" t="s">
        <v>39</v>
      </c>
      <c r="E22" s="174"/>
      <c r="F22" s="14">
        <f>SUM(F14:F21)</f>
        <v>0</v>
      </c>
      <c r="G22" s="173" t="s">
        <v>40</v>
      </c>
      <c r="H22" s="174"/>
      <c r="I22" s="14">
        <f>SUM(I14:I21)</f>
        <v>0</v>
      </c>
    </row>
    <row r="23" spans="4:9" ht="15.6">
      <c r="D23" s="161" t="s">
        <v>41</v>
      </c>
      <c r="E23" s="162"/>
      <c r="F23" s="15">
        <v>0</v>
      </c>
      <c r="G23" s="175" t="s">
        <v>42</v>
      </c>
      <c r="H23" s="162"/>
      <c r="I23" s="9">
        <v>0</v>
      </c>
    </row>
    <row r="24" spans="7:9" ht="15.6">
      <c r="G24" s="161" t="s">
        <v>43</v>
      </c>
      <c r="H24" s="162"/>
      <c r="I24" s="12">
        <f>vorn_sum</f>
        <v>0</v>
      </c>
    </row>
    <row r="25" spans="7:9" ht="15.6">
      <c r="G25" s="161" t="s">
        <v>44</v>
      </c>
      <c r="H25" s="162"/>
      <c r="I25" s="14">
        <v>0</v>
      </c>
    </row>
    <row r="27" spans="1:3" ht="15.6">
      <c r="A27" s="163" t="s">
        <v>45</v>
      </c>
      <c r="B27" s="164"/>
      <c r="C27" s="16">
        <f>ROUND(SUM('Stavební rozpočet-vyplnit'!AJ12:AJ2063),0)</f>
        <v>0</v>
      </c>
    </row>
    <row r="28" spans="1:9" ht="15.6">
      <c r="A28" s="165" t="s">
        <v>46</v>
      </c>
      <c r="B28" s="166"/>
      <c r="C28" s="17">
        <f>ROUND(SUM('Stavební rozpočet-vyplnit'!AK12:AK2063),0)</f>
        <v>0</v>
      </c>
      <c r="D28" s="167" t="s">
        <v>47</v>
      </c>
      <c r="E28" s="164"/>
      <c r="F28" s="16">
        <f>ROUND(C28*(12/100),2)</f>
        <v>0</v>
      </c>
      <c r="G28" s="167" t="s">
        <v>48</v>
      </c>
      <c r="H28" s="164"/>
      <c r="I28" s="16">
        <f>ROUND(SUM(C27:C29),0)</f>
        <v>0</v>
      </c>
    </row>
    <row r="29" spans="1:9" ht="15.6">
      <c r="A29" s="165" t="s">
        <v>49</v>
      </c>
      <c r="B29" s="166"/>
      <c r="C29" s="17">
        <f>ROUND(SUM('Stavební rozpočet-vyplnit'!AL12:AL2063),0)</f>
        <v>0</v>
      </c>
      <c r="D29" s="168" t="s">
        <v>50</v>
      </c>
      <c r="E29" s="166"/>
      <c r="F29" s="17">
        <f>ROUND(C29*(21/100),2)</f>
        <v>0</v>
      </c>
      <c r="G29" s="168" t="s">
        <v>51</v>
      </c>
      <c r="H29" s="166"/>
      <c r="I29" s="17">
        <f>ROUND(SUM(F28:F29)+I28,0)</f>
        <v>0</v>
      </c>
    </row>
    <row r="31" spans="1:9" ht="15">
      <c r="A31" s="158" t="s">
        <v>52</v>
      </c>
      <c r="B31" s="150"/>
      <c r="C31" s="151"/>
      <c r="D31" s="149" t="s">
        <v>53</v>
      </c>
      <c r="E31" s="150"/>
      <c r="F31" s="151"/>
      <c r="G31" s="149" t="s">
        <v>54</v>
      </c>
      <c r="H31" s="150"/>
      <c r="I31" s="151"/>
    </row>
    <row r="32" spans="1:9" ht="15">
      <c r="A32" s="159" t="s">
        <v>4</v>
      </c>
      <c r="B32" s="153"/>
      <c r="C32" s="154"/>
      <c r="D32" s="152" t="s">
        <v>4</v>
      </c>
      <c r="E32" s="153"/>
      <c r="F32" s="154"/>
      <c r="G32" s="152" t="s">
        <v>4</v>
      </c>
      <c r="H32" s="153"/>
      <c r="I32" s="154"/>
    </row>
    <row r="33" spans="1:9" ht="15">
      <c r="A33" s="159" t="s">
        <v>4</v>
      </c>
      <c r="B33" s="153"/>
      <c r="C33" s="154"/>
      <c r="D33" s="152" t="s">
        <v>4</v>
      </c>
      <c r="E33" s="153"/>
      <c r="F33" s="154"/>
      <c r="G33" s="152" t="s">
        <v>4</v>
      </c>
      <c r="H33" s="153"/>
      <c r="I33" s="154"/>
    </row>
    <row r="34" spans="1:9" ht="15">
      <c r="A34" s="159" t="s">
        <v>4</v>
      </c>
      <c r="B34" s="153"/>
      <c r="C34" s="154"/>
      <c r="D34" s="152" t="s">
        <v>4</v>
      </c>
      <c r="E34" s="153"/>
      <c r="F34" s="154"/>
      <c r="G34" s="152" t="s">
        <v>4</v>
      </c>
      <c r="H34" s="153"/>
      <c r="I34" s="154"/>
    </row>
    <row r="35" spans="1:9" ht="15">
      <c r="A35" s="160" t="s">
        <v>55</v>
      </c>
      <c r="B35" s="156"/>
      <c r="C35" s="157"/>
      <c r="D35" s="155" t="s">
        <v>55</v>
      </c>
      <c r="E35" s="156"/>
      <c r="F35" s="157"/>
      <c r="G35" s="155" t="s">
        <v>55</v>
      </c>
      <c r="H35" s="156"/>
      <c r="I35" s="157"/>
    </row>
    <row r="36" ht="14.4">
      <c r="A36" s="18" t="s">
        <v>56</v>
      </c>
    </row>
    <row r="37" spans="1:9" ht="12.75" customHeight="1">
      <c r="A37" s="147" t="s">
        <v>4</v>
      </c>
      <c r="B37" s="148"/>
      <c r="C37" s="148"/>
      <c r="D37" s="148"/>
      <c r="E37" s="148"/>
      <c r="F37" s="148"/>
      <c r="G37" s="148"/>
      <c r="H37" s="148"/>
      <c r="I37" s="148"/>
    </row>
  </sheetData>
  <sheetProtection password="F483" sheet="1"/>
  <mergeCells count="83">
    <mergeCell ref="A1:I1"/>
    <mergeCell ref="A2:B3"/>
    <mergeCell ref="A4:B5"/>
    <mergeCell ref="A6:B7"/>
    <mergeCell ref="A8:B9"/>
    <mergeCell ref="F2:G3"/>
    <mergeCell ref="F4:G5"/>
    <mergeCell ref="F6:G7"/>
    <mergeCell ref="F8:G9"/>
    <mergeCell ref="I2:I3"/>
    <mergeCell ref="I4:I5"/>
    <mergeCell ref="I6:I7"/>
    <mergeCell ref="I8:I9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H2:H3"/>
    <mergeCell ref="H4:H5"/>
    <mergeCell ref="H6:H7"/>
    <mergeCell ref="H8:H9"/>
    <mergeCell ref="H10:H11"/>
    <mergeCell ref="I10:I11"/>
    <mergeCell ref="A12:I12"/>
    <mergeCell ref="B13:C13"/>
    <mergeCell ref="E13:F13"/>
    <mergeCell ref="H13:I13"/>
    <mergeCell ref="F10:G11"/>
    <mergeCell ref="A10:B11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7:I37"/>
    <mergeCell ref="G31:I31"/>
    <mergeCell ref="G32:I32"/>
    <mergeCell ref="G33:I33"/>
    <mergeCell ref="G34:I34"/>
    <mergeCell ref="G35:I35"/>
    <mergeCell ref="D31:F31"/>
    <mergeCell ref="D32:F32"/>
    <mergeCell ref="D33:F33"/>
    <mergeCell ref="D34:F34"/>
    <mergeCell ref="D35:F35"/>
    <mergeCell ref="A31:C31"/>
    <mergeCell ref="A32:C32"/>
    <mergeCell ref="A33:C33"/>
    <mergeCell ref="A34:C34"/>
    <mergeCell ref="A35:C35"/>
  </mergeCells>
  <printOptions/>
  <pageMargins left="0.393999993801117" right="0.393999993801117" top="0.591000020503998" bottom="0.591000020503998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 topLeftCell="A1">
      <selection activeCell="A45" sqref="A45:E45"/>
    </sheetView>
  </sheetViews>
  <sheetFormatPr defaultColWidth="12.140625" defaultRowHeight="15" customHeight="1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54.75" customHeight="1">
      <c r="A1" s="188" t="s">
        <v>57</v>
      </c>
      <c r="B1" s="189"/>
      <c r="C1" s="189"/>
      <c r="D1" s="189"/>
      <c r="E1" s="189"/>
      <c r="F1" s="189"/>
      <c r="G1" s="189"/>
      <c r="H1" s="189"/>
      <c r="I1" s="189"/>
    </row>
    <row r="2" spans="1:9" ht="14.4">
      <c r="A2" s="190" t="s">
        <v>1</v>
      </c>
      <c r="B2" s="191"/>
      <c r="C2" s="196" t="str">
        <f>'Stavební rozpočet-vyplnit'!D2</f>
        <v>Vybudování edukačního centra a digit.pracoviště v Městské knihovně T.G.Masaryka Šumperk</v>
      </c>
      <c r="D2" s="197"/>
      <c r="E2" s="187" t="s">
        <v>2</v>
      </c>
      <c r="F2" s="187" t="str">
        <f>'Stavební rozpočet-vyplnit'!J2</f>
        <v>Město Šumperk</v>
      </c>
      <c r="G2" s="191"/>
      <c r="H2" s="187" t="s">
        <v>3</v>
      </c>
      <c r="I2" s="193" t="s">
        <v>4</v>
      </c>
    </row>
    <row r="3" spans="1:9" ht="25.5" customHeight="1">
      <c r="A3" s="192"/>
      <c r="B3" s="148"/>
      <c r="C3" s="198"/>
      <c r="D3" s="198"/>
      <c r="E3" s="148"/>
      <c r="F3" s="148"/>
      <c r="G3" s="148"/>
      <c r="H3" s="148"/>
      <c r="I3" s="194"/>
    </row>
    <row r="4" spans="1:9" ht="14.4">
      <c r="A4" s="185" t="s">
        <v>5</v>
      </c>
      <c r="B4" s="148"/>
      <c r="C4" s="147" t="str">
        <f>'Stavební rozpočet-vyplnit'!D4</f>
        <v>Stavební úpravy, nástavba</v>
      </c>
      <c r="D4" s="148"/>
      <c r="E4" s="147" t="s">
        <v>6</v>
      </c>
      <c r="F4" s="147" t="str">
        <f>'Stavební rozpočet-vyplnit'!J4</f>
        <v>Ing.Ladislav Trčka - PROINK</v>
      </c>
      <c r="G4" s="148"/>
      <c r="H4" s="147" t="s">
        <v>3</v>
      </c>
      <c r="I4" s="194" t="s">
        <v>4</v>
      </c>
    </row>
    <row r="5" spans="1:9" ht="15" customHeight="1">
      <c r="A5" s="192"/>
      <c r="B5" s="148"/>
      <c r="C5" s="148"/>
      <c r="D5" s="148"/>
      <c r="E5" s="148"/>
      <c r="F5" s="148"/>
      <c r="G5" s="148"/>
      <c r="H5" s="148"/>
      <c r="I5" s="194"/>
    </row>
    <row r="6" spans="1:9" ht="14.4">
      <c r="A6" s="185" t="s">
        <v>7</v>
      </c>
      <c r="B6" s="148"/>
      <c r="C6" s="147" t="str">
        <f>'Stavební rozpočet-vyplnit'!D6</f>
        <v>Šumperk</v>
      </c>
      <c r="D6" s="148"/>
      <c r="E6" s="147" t="s">
        <v>8</v>
      </c>
      <c r="F6" s="147">
        <f>'Stavební rozpočet-vyplnit'!J6</f>
        <v>0</v>
      </c>
      <c r="G6" s="148"/>
      <c r="H6" s="147" t="s">
        <v>3</v>
      </c>
      <c r="I6" s="194" t="s">
        <v>4</v>
      </c>
    </row>
    <row r="7" spans="1:9" ht="15" customHeight="1">
      <c r="A7" s="192"/>
      <c r="B7" s="148"/>
      <c r="C7" s="148"/>
      <c r="D7" s="148"/>
      <c r="E7" s="148"/>
      <c r="F7" s="148"/>
      <c r="G7" s="148"/>
      <c r="H7" s="148"/>
      <c r="I7" s="194"/>
    </row>
    <row r="8" spans="1:9" ht="14.4">
      <c r="A8" s="185" t="s">
        <v>9</v>
      </c>
      <c r="B8" s="148"/>
      <c r="C8" s="147" t="str">
        <f>'Stavební rozpočet-vyplnit'!H4</f>
        <v xml:space="preserve"> </v>
      </c>
      <c r="D8" s="148"/>
      <c r="E8" s="147" t="s">
        <v>10</v>
      </c>
      <c r="F8" s="147" t="str">
        <f>'Stavební rozpočet-vyplnit'!H6</f>
        <v xml:space="preserve"> </v>
      </c>
      <c r="G8" s="148"/>
      <c r="H8" s="148" t="s">
        <v>11</v>
      </c>
      <c r="I8" s="195">
        <v>960</v>
      </c>
    </row>
    <row r="9" spans="1:9" ht="14.4">
      <c r="A9" s="192"/>
      <c r="B9" s="148"/>
      <c r="C9" s="148"/>
      <c r="D9" s="148"/>
      <c r="E9" s="148"/>
      <c r="F9" s="148"/>
      <c r="G9" s="148"/>
      <c r="H9" s="148"/>
      <c r="I9" s="194"/>
    </row>
    <row r="10" spans="1:9" ht="14.4">
      <c r="A10" s="185" t="s">
        <v>12</v>
      </c>
      <c r="B10" s="148"/>
      <c r="C10" s="147" t="str">
        <f>'Stavební rozpočet-vyplnit'!D8</f>
        <v>8014614</v>
      </c>
      <c r="D10" s="148"/>
      <c r="E10" s="147" t="s">
        <v>13</v>
      </c>
      <c r="F10" s="147">
        <f>'Stavební rozpočet-vyplnit'!J8</f>
        <v>0</v>
      </c>
      <c r="G10" s="148"/>
      <c r="H10" s="148" t="s">
        <v>14</v>
      </c>
      <c r="I10" s="179">
        <f>'Stavební rozpočet-vyplnit'!H8</f>
        <v>0</v>
      </c>
    </row>
    <row r="11" spans="1:9" ht="14.4">
      <c r="A11" s="186"/>
      <c r="B11" s="184"/>
      <c r="C11" s="184"/>
      <c r="D11" s="184"/>
      <c r="E11" s="184"/>
      <c r="F11" s="184"/>
      <c r="G11" s="184"/>
      <c r="H11" s="184"/>
      <c r="I11" s="180"/>
    </row>
    <row r="13" spans="1:5" ht="15.6">
      <c r="A13" s="214" t="s">
        <v>58</v>
      </c>
      <c r="B13" s="214"/>
      <c r="C13" s="214"/>
      <c r="D13" s="214"/>
      <c r="E13" s="214"/>
    </row>
    <row r="14" spans="1:9" ht="14.4">
      <c r="A14" s="215" t="s">
        <v>59</v>
      </c>
      <c r="B14" s="216"/>
      <c r="C14" s="216"/>
      <c r="D14" s="216"/>
      <c r="E14" s="217"/>
      <c r="F14" s="19" t="s">
        <v>60</v>
      </c>
      <c r="G14" s="19" t="s">
        <v>61</v>
      </c>
      <c r="H14" s="19" t="s">
        <v>62</v>
      </c>
      <c r="I14" s="19" t="s">
        <v>60</v>
      </c>
    </row>
    <row r="15" spans="1:9" ht="14.4">
      <c r="A15" s="199" t="s">
        <v>24</v>
      </c>
      <c r="B15" s="200"/>
      <c r="C15" s="200"/>
      <c r="D15" s="200"/>
      <c r="E15" s="201"/>
      <c r="F15" s="20">
        <v>0</v>
      </c>
      <c r="G15" s="21" t="s">
        <v>4</v>
      </c>
      <c r="H15" s="21" t="s">
        <v>4</v>
      </c>
      <c r="I15" s="20">
        <f>F15</f>
        <v>0</v>
      </c>
    </row>
    <row r="16" spans="1:9" ht="14.4">
      <c r="A16" s="199" t="s">
        <v>27</v>
      </c>
      <c r="B16" s="200"/>
      <c r="C16" s="200"/>
      <c r="D16" s="200"/>
      <c r="E16" s="201"/>
      <c r="F16" s="20">
        <v>0</v>
      </c>
      <c r="G16" s="21" t="s">
        <v>4</v>
      </c>
      <c r="H16" s="21" t="s">
        <v>4</v>
      </c>
      <c r="I16" s="20">
        <f>F16</f>
        <v>0</v>
      </c>
    </row>
    <row r="17" spans="1:9" ht="14.4">
      <c r="A17" s="202" t="s">
        <v>30</v>
      </c>
      <c r="B17" s="203"/>
      <c r="C17" s="203"/>
      <c r="D17" s="203"/>
      <c r="E17" s="204"/>
      <c r="F17" s="22">
        <v>0</v>
      </c>
      <c r="G17" s="23" t="s">
        <v>4</v>
      </c>
      <c r="H17" s="23" t="s">
        <v>4</v>
      </c>
      <c r="I17" s="22">
        <f>F17</f>
        <v>0</v>
      </c>
    </row>
    <row r="18" spans="1:9" ht="14.4">
      <c r="A18" s="205" t="s">
        <v>63</v>
      </c>
      <c r="B18" s="206"/>
      <c r="C18" s="206"/>
      <c r="D18" s="206"/>
      <c r="E18" s="207"/>
      <c r="F18" s="24" t="s">
        <v>4</v>
      </c>
      <c r="G18" s="25" t="s">
        <v>4</v>
      </c>
      <c r="H18" s="25" t="s">
        <v>4</v>
      </c>
      <c r="I18" s="26">
        <f>SUM(I15:I17)</f>
        <v>0</v>
      </c>
    </row>
    <row r="20" spans="1:9" ht="14.4">
      <c r="A20" s="215" t="s">
        <v>21</v>
      </c>
      <c r="B20" s="216"/>
      <c r="C20" s="216"/>
      <c r="D20" s="216"/>
      <c r="E20" s="217"/>
      <c r="F20" s="19" t="s">
        <v>60</v>
      </c>
      <c r="G20" s="19" t="s">
        <v>61</v>
      </c>
      <c r="H20" s="19" t="s">
        <v>62</v>
      </c>
      <c r="I20" s="19" t="s">
        <v>60</v>
      </c>
    </row>
    <row r="21" spans="1:9" ht="14.4">
      <c r="A21" s="199" t="s">
        <v>25</v>
      </c>
      <c r="B21" s="200"/>
      <c r="C21" s="200"/>
      <c r="D21" s="200"/>
      <c r="E21" s="201"/>
      <c r="F21" s="20">
        <v>0</v>
      </c>
      <c r="G21" s="21" t="s">
        <v>4</v>
      </c>
      <c r="H21" s="21" t="s">
        <v>4</v>
      </c>
      <c r="I21" s="20">
        <f aca="true" t="shared" si="0" ref="I21:I26">F21</f>
        <v>0</v>
      </c>
    </row>
    <row r="22" spans="1:9" ht="14.4">
      <c r="A22" s="199" t="s">
        <v>28</v>
      </c>
      <c r="B22" s="200"/>
      <c r="C22" s="200"/>
      <c r="D22" s="200"/>
      <c r="E22" s="201"/>
      <c r="F22" s="20">
        <v>0</v>
      </c>
      <c r="G22" s="21" t="s">
        <v>4</v>
      </c>
      <c r="H22" s="21" t="s">
        <v>4</v>
      </c>
      <c r="I22" s="20">
        <f t="shared" si="0"/>
        <v>0</v>
      </c>
    </row>
    <row r="23" spans="1:9" ht="14.4">
      <c r="A23" s="199" t="s">
        <v>31</v>
      </c>
      <c r="B23" s="200"/>
      <c r="C23" s="200"/>
      <c r="D23" s="200"/>
      <c r="E23" s="201"/>
      <c r="F23" s="20">
        <v>0</v>
      </c>
      <c r="G23" s="21" t="s">
        <v>4</v>
      </c>
      <c r="H23" s="21" t="s">
        <v>4</v>
      </c>
      <c r="I23" s="20">
        <f t="shared" si="0"/>
        <v>0</v>
      </c>
    </row>
    <row r="24" spans="1:9" ht="14.4">
      <c r="A24" s="199" t="s">
        <v>32</v>
      </c>
      <c r="B24" s="200"/>
      <c r="C24" s="200"/>
      <c r="D24" s="200"/>
      <c r="E24" s="201"/>
      <c r="F24" s="20">
        <v>0</v>
      </c>
      <c r="G24" s="21" t="s">
        <v>4</v>
      </c>
      <c r="H24" s="21" t="s">
        <v>4</v>
      </c>
      <c r="I24" s="20">
        <f t="shared" si="0"/>
        <v>0</v>
      </c>
    </row>
    <row r="25" spans="1:9" ht="14.4">
      <c r="A25" s="199" t="s">
        <v>34</v>
      </c>
      <c r="B25" s="200"/>
      <c r="C25" s="200"/>
      <c r="D25" s="200"/>
      <c r="E25" s="201"/>
      <c r="F25" s="20">
        <v>0</v>
      </c>
      <c r="G25" s="21" t="s">
        <v>4</v>
      </c>
      <c r="H25" s="21" t="s">
        <v>4</v>
      </c>
      <c r="I25" s="20">
        <f t="shared" si="0"/>
        <v>0</v>
      </c>
    </row>
    <row r="26" spans="1:9" ht="14.4">
      <c r="A26" s="202" t="s">
        <v>35</v>
      </c>
      <c r="B26" s="203"/>
      <c r="C26" s="203"/>
      <c r="D26" s="203"/>
      <c r="E26" s="204"/>
      <c r="F26" s="22">
        <v>0</v>
      </c>
      <c r="G26" s="23" t="s">
        <v>4</v>
      </c>
      <c r="H26" s="23" t="s">
        <v>4</v>
      </c>
      <c r="I26" s="22">
        <f t="shared" si="0"/>
        <v>0</v>
      </c>
    </row>
    <row r="27" spans="1:9" ht="14.4">
      <c r="A27" s="205" t="s">
        <v>64</v>
      </c>
      <c r="B27" s="206"/>
      <c r="C27" s="206"/>
      <c r="D27" s="206"/>
      <c r="E27" s="207"/>
      <c r="F27" s="24" t="s">
        <v>4</v>
      </c>
      <c r="G27" s="25" t="s">
        <v>4</v>
      </c>
      <c r="H27" s="25" t="s">
        <v>4</v>
      </c>
      <c r="I27" s="26">
        <f>SUM(I21:I26)</f>
        <v>0</v>
      </c>
    </row>
    <row r="29" spans="1:9" ht="15.6">
      <c r="A29" s="208" t="s">
        <v>65</v>
      </c>
      <c r="B29" s="209"/>
      <c r="C29" s="209"/>
      <c r="D29" s="209"/>
      <c r="E29" s="210"/>
      <c r="F29" s="211">
        <f>I18+I27</f>
        <v>0</v>
      </c>
      <c r="G29" s="212"/>
      <c r="H29" s="212"/>
      <c r="I29" s="213"/>
    </row>
    <row r="33" spans="1:5" ht="15.6">
      <c r="A33" s="214" t="s">
        <v>66</v>
      </c>
      <c r="B33" s="214"/>
      <c r="C33" s="214"/>
      <c r="D33" s="214"/>
      <c r="E33" s="214"/>
    </row>
    <row r="34" spans="1:9" ht="14.4">
      <c r="A34" s="215" t="s">
        <v>67</v>
      </c>
      <c r="B34" s="216"/>
      <c r="C34" s="216"/>
      <c r="D34" s="216"/>
      <c r="E34" s="217"/>
      <c r="F34" s="19" t="s">
        <v>60</v>
      </c>
      <c r="G34" s="19" t="s">
        <v>61</v>
      </c>
      <c r="H34" s="19" t="s">
        <v>62</v>
      </c>
      <c r="I34" s="19" t="s">
        <v>60</v>
      </c>
    </row>
    <row r="35" spans="1:9" ht="14.4">
      <c r="A35" s="199" t="s">
        <v>68</v>
      </c>
      <c r="B35" s="200"/>
      <c r="C35" s="200"/>
      <c r="D35" s="200"/>
      <c r="E35" s="201"/>
      <c r="F35" s="20">
        <f>SUM('Stavební rozpočet-vyplnit'!BM12:BM2063)</f>
        <v>0</v>
      </c>
      <c r="G35" s="21" t="s">
        <v>4</v>
      </c>
      <c r="H35" s="21" t="s">
        <v>4</v>
      </c>
      <c r="I35" s="20">
        <f aca="true" t="shared" si="1" ref="I35:I44">F35</f>
        <v>0</v>
      </c>
    </row>
    <row r="36" spans="1:9" ht="14.4">
      <c r="A36" s="199" t="s">
        <v>69</v>
      </c>
      <c r="B36" s="200"/>
      <c r="C36" s="200"/>
      <c r="D36" s="200"/>
      <c r="E36" s="201"/>
      <c r="F36" s="20">
        <f>SUM('Stavební rozpočet-vyplnit'!BN12:BN2063)</f>
        <v>0</v>
      </c>
      <c r="G36" s="21" t="s">
        <v>4</v>
      </c>
      <c r="H36" s="21" t="s">
        <v>4</v>
      </c>
      <c r="I36" s="20">
        <f t="shared" si="1"/>
        <v>0</v>
      </c>
    </row>
    <row r="37" spans="1:9" ht="14.4">
      <c r="A37" s="199" t="s">
        <v>25</v>
      </c>
      <c r="B37" s="200"/>
      <c r="C37" s="200"/>
      <c r="D37" s="200"/>
      <c r="E37" s="201"/>
      <c r="F37" s="20">
        <f>SUM('Stavební rozpočet-vyplnit'!BO12:BO2063)</f>
        <v>0</v>
      </c>
      <c r="G37" s="21" t="s">
        <v>4</v>
      </c>
      <c r="H37" s="21" t="s">
        <v>4</v>
      </c>
      <c r="I37" s="20">
        <f t="shared" si="1"/>
        <v>0</v>
      </c>
    </row>
    <row r="38" spans="1:9" ht="14.4">
      <c r="A38" s="199" t="s">
        <v>70</v>
      </c>
      <c r="B38" s="200"/>
      <c r="C38" s="200"/>
      <c r="D38" s="200"/>
      <c r="E38" s="201"/>
      <c r="F38" s="20">
        <f>SUM('Stavební rozpočet-vyplnit'!BP12:BP2063)</f>
        <v>0</v>
      </c>
      <c r="G38" s="21" t="s">
        <v>4</v>
      </c>
      <c r="H38" s="21" t="s">
        <v>4</v>
      </c>
      <c r="I38" s="20">
        <f t="shared" si="1"/>
        <v>0</v>
      </c>
    </row>
    <row r="39" spans="1:9" ht="14.4">
      <c r="A39" s="199" t="s">
        <v>71</v>
      </c>
      <c r="B39" s="200"/>
      <c r="C39" s="200"/>
      <c r="D39" s="200"/>
      <c r="E39" s="201"/>
      <c r="F39" s="20">
        <f>SUM('Stavební rozpočet-vyplnit'!BQ12:BQ2063)</f>
        <v>0</v>
      </c>
      <c r="G39" s="21" t="s">
        <v>4</v>
      </c>
      <c r="H39" s="21" t="s">
        <v>4</v>
      </c>
      <c r="I39" s="20">
        <f t="shared" si="1"/>
        <v>0</v>
      </c>
    </row>
    <row r="40" spans="1:9" ht="14.4">
      <c r="A40" s="199" t="s">
        <v>31</v>
      </c>
      <c r="B40" s="200"/>
      <c r="C40" s="200"/>
      <c r="D40" s="200"/>
      <c r="E40" s="201"/>
      <c r="F40" s="20">
        <f>SUM('Stavební rozpočet-vyplnit'!BR12:BR2063)</f>
        <v>0</v>
      </c>
      <c r="G40" s="21" t="s">
        <v>4</v>
      </c>
      <c r="H40" s="21" t="s">
        <v>4</v>
      </c>
      <c r="I40" s="20">
        <f t="shared" si="1"/>
        <v>0</v>
      </c>
    </row>
    <row r="41" spans="1:9" ht="14.4">
      <c r="A41" s="199" t="s">
        <v>32</v>
      </c>
      <c r="B41" s="200"/>
      <c r="C41" s="200"/>
      <c r="D41" s="200"/>
      <c r="E41" s="201"/>
      <c r="F41" s="20">
        <f>SUM('Stavební rozpočet-vyplnit'!BS12:BS2063)</f>
        <v>0</v>
      </c>
      <c r="G41" s="21" t="s">
        <v>4</v>
      </c>
      <c r="H41" s="21" t="s">
        <v>4</v>
      </c>
      <c r="I41" s="20">
        <f t="shared" si="1"/>
        <v>0</v>
      </c>
    </row>
    <row r="42" spans="1:9" ht="14.4">
      <c r="A42" s="199" t="s">
        <v>72</v>
      </c>
      <c r="B42" s="200"/>
      <c r="C42" s="200"/>
      <c r="D42" s="200"/>
      <c r="E42" s="201"/>
      <c r="F42" s="20">
        <f>SUM('Stavební rozpočet-vyplnit'!BT12:BT2063)</f>
        <v>0</v>
      </c>
      <c r="G42" s="21" t="s">
        <v>4</v>
      </c>
      <c r="H42" s="21" t="s">
        <v>4</v>
      </c>
      <c r="I42" s="20">
        <f t="shared" si="1"/>
        <v>0</v>
      </c>
    </row>
    <row r="43" spans="1:9" ht="14.4">
      <c r="A43" s="199" t="s">
        <v>73</v>
      </c>
      <c r="B43" s="200"/>
      <c r="C43" s="200"/>
      <c r="D43" s="200"/>
      <c r="E43" s="201"/>
      <c r="F43" s="20">
        <f>SUM('Stavební rozpočet-vyplnit'!BU12:BU2063)</f>
        <v>0</v>
      </c>
      <c r="G43" s="21" t="s">
        <v>4</v>
      </c>
      <c r="H43" s="21" t="s">
        <v>4</v>
      </c>
      <c r="I43" s="20">
        <f t="shared" si="1"/>
        <v>0</v>
      </c>
    </row>
    <row r="44" spans="1:9" ht="14.4">
      <c r="A44" s="202" t="s">
        <v>74</v>
      </c>
      <c r="B44" s="203"/>
      <c r="C44" s="203"/>
      <c r="D44" s="203"/>
      <c r="E44" s="204"/>
      <c r="F44" s="22">
        <f>SUM('Stavební rozpočet-vyplnit'!BV12:BV2063)</f>
        <v>0</v>
      </c>
      <c r="G44" s="23" t="s">
        <v>4</v>
      </c>
      <c r="H44" s="23" t="s">
        <v>4</v>
      </c>
      <c r="I44" s="22">
        <f t="shared" si="1"/>
        <v>0</v>
      </c>
    </row>
    <row r="45" spans="1:9" ht="14.4">
      <c r="A45" s="205" t="s">
        <v>75</v>
      </c>
      <c r="B45" s="206"/>
      <c r="C45" s="206"/>
      <c r="D45" s="206"/>
      <c r="E45" s="207"/>
      <c r="F45" s="24" t="s">
        <v>4</v>
      </c>
      <c r="G45" s="25" t="s">
        <v>4</v>
      </c>
      <c r="H45" s="25" t="s">
        <v>4</v>
      </c>
      <c r="I45" s="26">
        <f>SUM(I35:I44)</f>
        <v>0</v>
      </c>
    </row>
  </sheetData>
  <sheetProtection password="F483" sheet="1"/>
  <mergeCells count="60">
    <mergeCell ref="A1:I1"/>
    <mergeCell ref="A2:B3"/>
    <mergeCell ref="A4:B5"/>
    <mergeCell ref="A6:B7"/>
    <mergeCell ref="A8:B9"/>
    <mergeCell ref="H2:H3"/>
    <mergeCell ref="H4:H5"/>
    <mergeCell ref="H6:H7"/>
    <mergeCell ref="H8:H9"/>
    <mergeCell ref="I2:I3"/>
    <mergeCell ref="I4:I5"/>
    <mergeCell ref="I6:I7"/>
    <mergeCell ref="I8:I9"/>
    <mergeCell ref="E2:E3"/>
    <mergeCell ref="E4:E5"/>
    <mergeCell ref="E6:E7"/>
    <mergeCell ref="E8:E9"/>
    <mergeCell ref="E10:E11"/>
    <mergeCell ref="F2:G3"/>
    <mergeCell ref="F4:G5"/>
    <mergeCell ref="F6:G7"/>
    <mergeCell ref="F8:G9"/>
    <mergeCell ref="F10:G11"/>
    <mergeCell ref="C2:D3"/>
    <mergeCell ref="C4:D5"/>
    <mergeCell ref="C6:D7"/>
    <mergeCell ref="C8:D9"/>
    <mergeCell ref="C10:D11"/>
    <mergeCell ref="I10:I11"/>
    <mergeCell ref="A13:E13"/>
    <mergeCell ref="A14:E14"/>
    <mergeCell ref="A15:E15"/>
    <mergeCell ref="A16:E16"/>
    <mergeCell ref="H10:H11"/>
    <mergeCell ref="A10:B11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066"/>
  <sheetViews>
    <sheetView tabSelected="1" workbookViewId="0" topLeftCell="A1">
      <pane ySplit="11" topLeftCell="A12" activePane="bottomLeft" state="frozen"/>
      <selection pane="bottomLeft" activeCell="D726" sqref="D726:E726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6.710937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189" t="s">
        <v>76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AS1" s="27">
        <f>SUM(AJ1:AJ2)</f>
        <v>0</v>
      </c>
      <c r="AT1" s="27">
        <f>SUM(AK1:AK2)</f>
        <v>0</v>
      </c>
      <c r="AU1" s="27">
        <f>SUM(AL1:AL2)</f>
        <v>0</v>
      </c>
    </row>
    <row r="2" spans="1:12" ht="14.4">
      <c r="A2" s="190" t="s">
        <v>1</v>
      </c>
      <c r="B2" s="191"/>
      <c r="C2" s="191"/>
      <c r="D2" s="196" t="s">
        <v>77</v>
      </c>
      <c r="E2" s="197"/>
      <c r="F2" s="191" t="s">
        <v>78</v>
      </c>
      <c r="G2" s="191"/>
      <c r="H2" s="250" t="s">
        <v>79</v>
      </c>
      <c r="I2" s="187" t="s">
        <v>2</v>
      </c>
      <c r="J2" s="187" t="s">
        <v>80</v>
      </c>
      <c r="K2" s="191"/>
      <c r="L2" s="193"/>
    </row>
    <row r="3" spans="1:12" ht="14.4">
      <c r="A3" s="192"/>
      <c r="B3" s="148"/>
      <c r="C3" s="148"/>
      <c r="D3" s="198"/>
      <c r="E3" s="198"/>
      <c r="F3" s="148"/>
      <c r="G3" s="148"/>
      <c r="H3" s="243"/>
      <c r="I3" s="148"/>
      <c r="J3" s="148"/>
      <c r="K3" s="148"/>
      <c r="L3" s="194"/>
    </row>
    <row r="4" spans="1:12" ht="14.4">
      <c r="A4" s="185" t="s">
        <v>5</v>
      </c>
      <c r="B4" s="148"/>
      <c r="C4" s="148"/>
      <c r="D4" s="147" t="s">
        <v>81</v>
      </c>
      <c r="E4" s="148"/>
      <c r="F4" s="148" t="s">
        <v>9</v>
      </c>
      <c r="G4" s="148"/>
      <c r="H4" s="243" t="s">
        <v>79</v>
      </c>
      <c r="I4" s="147" t="s">
        <v>6</v>
      </c>
      <c r="J4" s="147" t="s">
        <v>82</v>
      </c>
      <c r="K4" s="148"/>
      <c r="L4" s="194"/>
    </row>
    <row r="5" spans="1:12" ht="14.4">
      <c r="A5" s="192"/>
      <c r="B5" s="148"/>
      <c r="C5" s="148"/>
      <c r="D5" s="148"/>
      <c r="E5" s="148"/>
      <c r="F5" s="148"/>
      <c r="G5" s="148"/>
      <c r="H5" s="243"/>
      <c r="I5" s="148"/>
      <c r="J5" s="148"/>
      <c r="K5" s="148"/>
      <c r="L5" s="194"/>
    </row>
    <row r="6" spans="1:12" ht="14.4">
      <c r="A6" s="185" t="s">
        <v>7</v>
      </c>
      <c r="B6" s="148"/>
      <c r="C6" s="148"/>
      <c r="D6" s="147" t="s">
        <v>83</v>
      </c>
      <c r="E6" s="148"/>
      <c r="F6" s="148" t="s">
        <v>10</v>
      </c>
      <c r="G6" s="148"/>
      <c r="H6" s="243" t="s">
        <v>79</v>
      </c>
      <c r="I6" s="147" t="s">
        <v>8</v>
      </c>
      <c r="J6" s="242"/>
      <c r="K6" s="243"/>
      <c r="L6" s="244"/>
    </row>
    <row r="7" spans="1:12" ht="14.4">
      <c r="A7" s="192"/>
      <c r="B7" s="148"/>
      <c r="C7" s="148"/>
      <c r="D7" s="148"/>
      <c r="E7" s="148"/>
      <c r="F7" s="148"/>
      <c r="G7" s="148"/>
      <c r="H7" s="243"/>
      <c r="I7" s="148"/>
      <c r="J7" s="243"/>
      <c r="K7" s="243"/>
      <c r="L7" s="244"/>
    </row>
    <row r="8" spans="1:12" ht="14.4">
      <c r="A8" s="185" t="s">
        <v>12</v>
      </c>
      <c r="B8" s="148"/>
      <c r="C8" s="148"/>
      <c r="D8" s="147" t="s">
        <v>84</v>
      </c>
      <c r="E8" s="148"/>
      <c r="F8" s="148" t="s">
        <v>85</v>
      </c>
      <c r="G8" s="148"/>
      <c r="H8" s="243"/>
      <c r="I8" s="147" t="s">
        <v>13</v>
      </c>
      <c r="J8" s="242"/>
      <c r="K8" s="243"/>
      <c r="L8" s="244"/>
    </row>
    <row r="9" spans="1:12" ht="14.4">
      <c r="A9" s="251"/>
      <c r="B9" s="249"/>
      <c r="C9" s="249"/>
      <c r="D9" s="249"/>
      <c r="E9" s="249"/>
      <c r="F9" s="249"/>
      <c r="G9" s="249"/>
      <c r="H9" s="245"/>
      <c r="I9" s="249"/>
      <c r="J9" s="245"/>
      <c r="K9" s="245"/>
      <c r="L9" s="246"/>
    </row>
    <row r="10" spans="1:75" ht="14.4">
      <c r="A10" s="28" t="s">
        <v>86</v>
      </c>
      <c r="B10" s="29" t="s">
        <v>87</v>
      </c>
      <c r="C10" s="29" t="s">
        <v>88</v>
      </c>
      <c r="D10" s="247" t="s">
        <v>89</v>
      </c>
      <c r="E10" s="248"/>
      <c r="F10" s="29" t="s">
        <v>90</v>
      </c>
      <c r="G10" s="30" t="s">
        <v>91</v>
      </c>
      <c r="H10" s="31" t="s">
        <v>92</v>
      </c>
      <c r="I10" s="32" t="s">
        <v>93</v>
      </c>
      <c r="J10" s="238" t="s">
        <v>94</v>
      </c>
      <c r="K10" s="239"/>
      <c r="L10" s="33" t="s">
        <v>95</v>
      </c>
      <c r="BK10" s="34" t="s">
        <v>96</v>
      </c>
      <c r="BL10" s="35" t="s">
        <v>97</v>
      </c>
      <c r="BW10" s="35" t="s">
        <v>98</v>
      </c>
    </row>
    <row r="11" spans="1:62" ht="14.4">
      <c r="A11" s="36" t="s">
        <v>79</v>
      </c>
      <c r="B11" s="37" t="s">
        <v>79</v>
      </c>
      <c r="C11" s="37" t="s">
        <v>79</v>
      </c>
      <c r="D11" s="236" t="s">
        <v>99</v>
      </c>
      <c r="E11" s="237"/>
      <c r="F11" s="37" t="s">
        <v>79</v>
      </c>
      <c r="G11" s="37" t="s">
        <v>79</v>
      </c>
      <c r="H11" s="38" t="s">
        <v>100</v>
      </c>
      <c r="I11" s="39" t="s">
        <v>101</v>
      </c>
      <c r="J11" s="40" t="s">
        <v>102</v>
      </c>
      <c r="K11" s="41" t="s">
        <v>101</v>
      </c>
      <c r="L11" s="42" t="s">
        <v>103</v>
      </c>
      <c r="Z11" s="34" t="s">
        <v>104</v>
      </c>
      <c r="AA11" s="34" t="s">
        <v>105</v>
      </c>
      <c r="AB11" s="34" t="s">
        <v>106</v>
      </c>
      <c r="AC11" s="34" t="s">
        <v>107</v>
      </c>
      <c r="AD11" s="34" t="s">
        <v>108</v>
      </c>
      <c r="AE11" s="34" t="s">
        <v>109</v>
      </c>
      <c r="AF11" s="34" t="s">
        <v>110</v>
      </c>
      <c r="AG11" s="34" t="s">
        <v>111</v>
      </c>
      <c r="AH11" s="34" t="s">
        <v>112</v>
      </c>
      <c r="BH11" s="34" t="s">
        <v>113</v>
      </c>
      <c r="BI11" s="34" t="s">
        <v>114</v>
      </c>
      <c r="BJ11" s="34" t="s">
        <v>115</v>
      </c>
    </row>
    <row r="12" spans="1:12" ht="14.4">
      <c r="A12" s="43" t="s">
        <v>4</v>
      </c>
      <c r="B12" s="44" t="s">
        <v>116</v>
      </c>
      <c r="C12" s="44" t="s">
        <v>4</v>
      </c>
      <c r="D12" s="240" t="s">
        <v>117</v>
      </c>
      <c r="E12" s="241"/>
      <c r="F12" s="45" t="s">
        <v>79</v>
      </c>
      <c r="G12" s="45" t="s">
        <v>79</v>
      </c>
      <c r="H12" s="46" t="s">
        <v>79</v>
      </c>
      <c r="I12" s="47">
        <f>I13+I153+I157+I179+I249+I289+I335+I356+I365+I369+I440+I450+I459+I481+I500+I521+I538+I671+I676+I692+I715+I717+I732+I746+I753+I757+I766+I776+I791+I802+I899+I927+I943+I1050+I1112+I1132+I1150+I1174+I1192+I1204+I1215+I1222+I1228+I1243+I1276+I1308+I1324+I1327+I1330+I1333+I1337+I1361</f>
        <v>0</v>
      </c>
      <c r="J12" s="48" t="s">
        <v>4</v>
      </c>
      <c r="K12" s="47">
        <f>K13+K153+K157+K179+K249+K289+K335+K356+K365+K369+K440+K450+K459+K481+K500+K521+K538+K671+K676+K692+K715+K717+K732+K746+K753+K757+K766+K776+K791+K802+K899+K927+K943+K1050+K1112+K1132+K1150+K1174+K1192+K1204+K1215+K1222+K1228+K1243+K1276+K1308+K1324+K1327+K1330+K1333+K1337+K1361</f>
        <v>236.82427750000002</v>
      </c>
      <c r="L12" s="49" t="s">
        <v>4</v>
      </c>
    </row>
    <row r="13" spans="1:47" ht="14.4">
      <c r="A13" s="50" t="s">
        <v>4</v>
      </c>
      <c r="B13" s="51" t="s">
        <v>116</v>
      </c>
      <c r="C13" s="51" t="s">
        <v>118</v>
      </c>
      <c r="D13" s="222" t="s">
        <v>119</v>
      </c>
      <c r="E13" s="223"/>
      <c r="F13" s="52" t="s">
        <v>79</v>
      </c>
      <c r="G13" s="52" t="s">
        <v>79</v>
      </c>
      <c r="H13" s="53" t="s">
        <v>79</v>
      </c>
      <c r="I13" s="27">
        <f>SUM(I14:I152)</f>
        <v>0</v>
      </c>
      <c r="J13" s="34" t="s">
        <v>4</v>
      </c>
      <c r="K13" s="27">
        <f>SUM(K14:K152)</f>
        <v>0</v>
      </c>
      <c r="L13" s="54" t="s">
        <v>4</v>
      </c>
      <c r="AI13" s="34" t="s">
        <v>116</v>
      </c>
      <c r="AS13" s="27">
        <f>SUM(AJ14:AJ152)</f>
        <v>0</v>
      </c>
      <c r="AT13" s="27">
        <f>SUM(AK14:AK152)</f>
        <v>0</v>
      </c>
      <c r="AU13" s="27">
        <f>SUM(AL14:AL152)</f>
        <v>0</v>
      </c>
    </row>
    <row r="14" spans="1:75" ht="13.5" customHeight="1">
      <c r="A14" s="1" t="s">
        <v>120</v>
      </c>
      <c r="B14" s="2" t="s">
        <v>116</v>
      </c>
      <c r="C14" s="2" t="s">
        <v>121</v>
      </c>
      <c r="D14" s="147" t="s">
        <v>122</v>
      </c>
      <c r="E14" s="148"/>
      <c r="F14" s="2" t="s">
        <v>123</v>
      </c>
      <c r="G14" s="55">
        <v>119</v>
      </c>
      <c r="H14" s="56">
        <v>0</v>
      </c>
      <c r="I14" s="55">
        <f>G14*H14</f>
        <v>0</v>
      </c>
      <c r="J14" s="55">
        <v>0</v>
      </c>
      <c r="K14" s="55">
        <f>G14*J14</f>
        <v>0</v>
      </c>
      <c r="L14" s="57" t="s">
        <v>124</v>
      </c>
      <c r="Z14" s="55">
        <f>IF(AQ14="5",BJ14,0)</f>
        <v>0</v>
      </c>
      <c r="AB14" s="55">
        <f>IF(AQ14="1",BH14,0)</f>
        <v>0</v>
      </c>
      <c r="AC14" s="55">
        <f>IF(AQ14="1",BI14,0)</f>
        <v>0</v>
      </c>
      <c r="AD14" s="55">
        <f>IF(AQ14="7",BH14,0)</f>
        <v>0</v>
      </c>
      <c r="AE14" s="55">
        <f>IF(AQ14="7",BI14,0)</f>
        <v>0</v>
      </c>
      <c r="AF14" s="55">
        <f>IF(AQ14="2",BH14,0)</f>
        <v>0</v>
      </c>
      <c r="AG14" s="55">
        <f>IF(AQ14="2",BI14,0)</f>
        <v>0</v>
      </c>
      <c r="AH14" s="55">
        <f>IF(AQ14="0",BJ14,0)</f>
        <v>0</v>
      </c>
      <c r="AI14" s="34" t="s">
        <v>116</v>
      </c>
      <c r="AJ14" s="55">
        <f>IF(AN14=0,I14,0)</f>
        <v>0</v>
      </c>
      <c r="AK14" s="55">
        <f>IF(AN14=12,I14,0)</f>
        <v>0</v>
      </c>
      <c r="AL14" s="55">
        <f>IF(AN14=21,I14,0)</f>
        <v>0</v>
      </c>
      <c r="AN14" s="55">
        <v>21</v>
      </c>
      <c r="AO14" s="55">
        <f>H14*0.71007371</f>
        <v>0</v>
      </c>
      <c r="AP14" s="55">
        <f>H14*(1-0.71007371)</f>
        <v>0</v>
      </c>
      <c r="AQ14" s="58" t="s">
        <v>125</v>
      </c>
      <c r="AV14" s="55">
        <f>AW14+AX14</f>
        <v>0</v>
      </c>
      <c r="AW14" s="55">
        <f>G14*AO14</f>
        <v>0</v>
      </c>
      <c r="AX14" s="55">
        <f>G14*AP14</f>
        <v>0</v>
      </c>
      <c r="AY14" s="58" t="s">
        <v>126</v>
      </c>
      <c r="AZ14" s="58" t="s">
        <v>127</v>
      </c>
      <c r="BA14" s="34" t="s">
        <v>128</v>
      </c>
      <c r="BC14" s="55">
        <f>AW14+AX14</f>
        <v>0</v>
      </c>
      <c r="BD14" s="55">
        <f>H14/(100-BE14)*100</f>
        <v>0</v>
      </c>
      <c r="BE14" s="55">
        <v>0</v>
      </c>
      <c r="BF14" s="55">
        <f>K14</f>
        <v>0</v>
      </c>
      <c r="BH14" s="55">
        <f>G14*AO14</f>
        <v>0</v>
      </c>
      <c r="BI14" s="55">
        <f>G14*AP14</f>
        <v>0</v>
      </c>
      <c r="BJ14" s="55">
        <f>G14*H14</f>
        <v>0</v>
      </c>
      <c r="BK14" s="55"/>
      <c r="BL14" s="55"/>
      <c r="BW14" s="55">
        <v>21</v>
      </c>
    </row>
    <row r="15" spans="1:12" ht="13.5" customHeight="1">
      <c r="A15" s="59"/>
      <c r="D15" s="218" t="s">
        <v>129</v>
      </c>
      <c r="E15" s="219"/>
      <c r="F15" s="219"/>
      <c r="G15" s="219"/>
      <c r="H15" s="220"/>
      <c r="I15" s="219"/>
      <c r="J15" s="219"/>
      <c r="K15" s="219"/>
      <c r="L15" s="221"/>
    </row>
    <row r="16" spans="1:75" ht="13.5" customHeight="1">
      <c r="A16" s="1" t="s">
        <v>130</v>
      </c>
      <c r="B16" s="2" t="s">
        <v>116</v>
      </c>
      <c r="C16" s="2" t="s">
        <v>131</v>
      </c>
      <c r="D16" s="147" t="s">
        <v>132</v>
      </c>
      <c r="E16" s="148"/>
      <c r="F16" s="2" t="s">
        <v>123</v>
      </c>
      <c r="G16" s="55">
        <v>17</v>
      </c>
      <c r="H16" s="56">
        <v>0</v>
      </c>
      <c r="I16" s="55">
        <f>G16*H16</f>
        <v>0</v>
      </c>
      <c r="J16" s="55">
        <v>0</v>
      </c>
      <c r="K16" s="55">
        <f>G16*J16</f>
        <v>0</v>
      </c>
      <c r="L16" s="57" t="s">
        <v>124</v>
      </c>
      <c r="Z16" s="55">
        <f>IF(AQ16="5",BJ16,0)</f>
        <v>0</v>
      </c>
      <c r="AB16" s="55">
        <f>IF(AQ16="1",BH16,0)</f>
        <v>0</v>
      </c>
      <c r="AC16" s="55">
        <f>IF(AQ16="1",BI16,0)</f>
        <v>0</v>
      </c>
      <c r="AD16" s="55">
        <f>IF(AQ16="7",BH16,0)</f>
        <v>0</v>
      </c>
      <c r="AE16" s="55">
        <f>IF(AQ16="7",BI16,0)</f>
        <v>0</v>
      </c>
      <c r="AF16" s="55">
        <f>IF(AQ16="2",BH16,0)</f>
        <v>0</v>
      </c>
      <c r="AG16" s="55">
        <f>IF(AQ16="2",BI16,0)</f>
        <v>0</v>
      </c>
      <c r="AH16" s="55">
        <f>IF(AQ16="0",BJ16,0)</f>
        <v>0</v>
      </c>
      <c r="AI16" s="34" t="s">
        <v>116</v>
      </c>
      <c r="AJ16" s="55">
        <f>IF(AN16=0,I16,0)</f>
        <v>0</v>
      </c>
      <c r="AK16" s="55">
        <f>IF(AN16=12,I16,0)</f>
        <v>0</v>
      </c>
      <c r="AL16" s="55">
        <f>IF(AN16=21,I16,0)</f>
        <v>0</v>
      </c>
      <c r="AN16" s="55">
        <v>21</v>
      </c>
      <c r="AO16" s="55">
        <f>H16*0.909785933</f>
        <v>0</v>
      </c>
      <c r="AP16" s="55">
        <f>H16*(1-0.909785933)</f>
        <v>0</v>
      </c>
      <c r="AQ16" s="58" t="s">
        <v>125</v>
      </c>
      <c r="AV16" s="55">
        <f>AW16+AX16</f>
        <v>0</v>
      </c>
      <c r="AW16" s="55">
        <f>G16*AO16</f>
        <v>0</v>
      </c>
      <c r="AX16" s="55">
        <f>G16*AP16</f>
        <v>0</v>
      </c>
      <c r="AY16" s="58" t="s">
        <v>126</v>
      </c>
      <c r="AZ16" s="58" t="s">
        <v>127</v>
      </c>
      <c r="BA16" s="34" t="s">
        <v>128</v>
      </c>
      <c r="BC16" s="55">
        <f>AW16+AX16</f>
        <v>0</v>
      </c>
      <c r="BD16" s="55">
        <f>H16/(100-BE16)*100</f>
        <v>0</v>
      </c>
      <c r="BE16" s="55">
        <v>0</v>
      </c>
      <c r="BF16" s="55">
        <f>K16</f>
        <v>0</v>
      </c>
      <c r="BH16" s="55">
        <f>G16*AO16</f>
        <v>0</v>
      </c>
      <c r="BI16" s="55">
        <f>G16*AP16</f>
        <v>0</v>
      </c>
      <c r="BJ16" s="55">
        <f>G16*H16</f>
        <v>0</v>
      </c>
      <c r="BK16" s="55"/>
      <c r="BL16" s="55"/>
      <c r="BW16" s="55">
        <v>21</v>
      </c>
    </row>
    <row r="17" spans="1:12" ht="13.5" customHeight="1">
      <c r="A17" s="59"/>
      <c r="D17" s="218" t="s">
        <v>129</v>
      </c>
      <c r="E17" s="219"/>
      <c r="F17" s="219"/>
      <c r="G17" s="219"/>
      <c r="H17" s="220"/>
      <c r="I17" s="219"/>
      <c r="J17" s="219"/>
      <c r="K17" s="219"/>
      <c r="L17" s="221"/>
    </row>
    <row r="18" spans="1:75" ht="13.5" customHeight="1">
      <c r="A18" s="1" t="s">
        <v>133</v>
      </c>
      <c r="B18" s="2" t="s">
        <v>116</v>
      </c>
      <c r="C18" s="2" t="s">
        <v>134</v>
      </c>
      <c r="D18" s="147" t="s">
        <v>135</v>
      </c>
      <c r="E18" s="148"/>
      <c r="F18" s="2" t="s">
        <v>123</v>
      </c>
      <c r="G18" s="55">
        <v>9</v>
      </c>
      <c r="H18" s="56">
        <v>0</v>
      </c>
      <c r="I18" s="55">
        <f>G18*H18</f>
        <v>0</v>
      </c>
      <c r="J18" s="55">
        <v>0</v>
      </c>
      <c r="K18" s="55">
        <f>G18*J18</f>
        <v>0</v>
      </c>
      <c r="L18" s="57" t="s">
        <v>124</v>
      </c>
      <c r="Z18" s="55">
        <f>IF(AQ18="5",BJ18,0)</f>
        <v>0</v>
      </c>
      <c r="AB18" s="55">
        <f>IF(AQ18="1",BH18,0)</f>
        <v>0</v>
      </c>
      <c r="AC18" s="55">
        <f>IF(AQ18="1",BI18,0)</f>
        <v>0</v>
      </c>
      <c r="AD18" s="55">
        <f>IF(AQ18="7",BH18,0)</f>
        <v>0</v>
      </c>
      <c r="AE18" s="55">
        <f>IF(AQ18="7",BI18,0)</f>
        <v>0</v>
      </c>
      <c r="AF18" s="55">
        <f>IF(AQ18="2",BH18,0)</f>
        <v>0</v>
      </c>
      <c r="AG18" s="55">
        <f>IF(AQ18="2",BI18,0)</f>
        <v>0</v>
      </c>
      <c r="AH18" s="55">
        <f>IF(AQ18="0",BJ18,0)</f>
        <v>0</v>
      </c>
      <c r="AI18" s="34" t="s">
        <v>116</v>
      </c>
      <c r="AJ18" s="55">
        <f>IF(AN18=0,I18,0)</f>
        <v>0</v>
      </c>
      <c r="AK18" s="55">
        <f>IF(AN18=12,I18,0)</f>
        <v>0</v>
      </c>
      <c r="AL18" s="55">
        <f>IF(AN18=21,I18,0)</f>
        <v>0</v>
      </c>
      <c r="AN18" s="55">
        <v>21</v>
      </c>
      <c r="AO18" s="55">
        <f>H18*0.66572238</f>
        <v>0</v>
      </c>
      <c r="AP18" s="55">
        <f>H18*(1-0.66572238)</f>
        <v>0</v>
      </c>
      <c r="AQ18" s="58" t="s">
        <v>125</v>
      </c>
      <c r="AV18" s="55">
        <f>AW18+AX18</f>
        <v>0</v>
      </c>
      <c r="AW18" s="55">
        <f>G18*AO18</f>
        <v>0</v>
      </c>
      <c r="AX18" s="55">
        <f>G18*AP18</f>
        <v>0</v>
      </c>
      <c r="AY18" s="58" t="s">
        <v>126</v>
      </c>
      <c r="AZ18" s="58" t="s">
        <v>127</v>
      </c>
      <c r="BA18" s="34" t="s">
        <v>128</v>
      </c>
      <c r="BC18" s="55">
        <f>AW18+AX18</f>
        <v>0</v>
      </c>
      <c r="BD18" s="55">
        <f>H18/(100-BE18)*100</f>
        <v>0</v>
      </c>
      <c r="BE18" s="55">
        <v>0</v>
      </c>
      <c r="BF18" s="55">
        <f>K18</f>
        <v>0</v>
      </c>
      <c r="BH18" s="55">
        <f>G18*AO18</f>
        <v>0</v>
      </c>
      <c r="BI18" s="55">
        <f>G18*AP18</f>
        <v>0</v>
      </c>
      <c r="BJ18" s="55">
        <f>G18*H18</f>
        <v>0</v>
      </c>
      <c r="BK18" s="55"/>
      <c r="BL18" s="55"/>
      <c r="BW18" s="55">
        <v>21</v>
      </c>
    </row>
    <row r="19" spans="1:12" ht="13.5" customHeight="1">
      <c r="A19" s="59"/>
      <c r="D19" s="218" t="s">
        <v>129</v>
      </c>
      <c r="E19" s="219"/>
      <c r="F19" s="219"/>
      <c r="G19" s="219"/>
      <c r="H19" s="220"/>
      <c r="I19" s="219"/>
      <c r="J19" s="219"/>
      <c r="K19" s="219"/>
      <c r="L19" s="221"/>
    </row>
    <row r="20" spans="1:75" ht="13.5" customHeight="1">
      <c r="A20" s="1" t="s">
        <v>136</v>
      </c>
      <c r="B20" s="2" t="s">
        <v>116</v>
      </c>
      <c r="C20" s="2" t="s">
        <v>137</v>
      </c>
      <c r="D20" s="147" t="s">
        <v>138</v>
      </c>
      <c r="E20" s="148"/>
      <c r="F20" s="2" t="s">
        <v>123</v>
      </c>
      <c r="G20" s="55">
        <v>5</v>
      </c>
      <c r="H20" s="56">
        <v>0</v>
      </c>
      <c r="I20" s="55">
        <f>G20*H20</f>
        <v>0</v>
      </c>
      <c r="J20" s="55">
        <v>0</v>
      </c>
      <c r="K20" s="55">
        <f>G20*J20</f>
        <v>0</v>
      </c>
      <c r="L20" s="57" t="s">
        <v>124</v>
      </c>
      <c r="Z20" s="55">
        <f>IF(AQ20="5",BJ20,0)</f>
        <v>0</v>
      </c>
      <c r="AB20" s="55">
        <f>IF(AQ20="1",BH20,0)</f>
        <v>0</v>
      </c>
      <c r="AC20" s="55">
        <f>IF(AQ20="1",BI20,0)</f>
        <v>0</v>
      </c>
      <c r="AD20" s="55">
        <f>IF(AQ20="7",BH20,0)</f>
        <v>0</v>
      </c>
      <c r="AE20" s="55">
        <f>IF(AQ20="7",BI20,0)</f>
        <v>0</v>
      </c>
      <c r="AF20" s="55">
        <f>IF(AQ20="2",BH20,0)</f>
        <v>0</v>
      </c>
      <c r="AG20" s="55">
        <f>IF(AQ20="2",BI20,0)</f>
        <v>0</v>
      </c>
      <c r="AH20" s="55">
        <f>IF(AQ20="0",BJ20,0)</f>
        <v>0</v>
      </c>
      <c r="AI20" s="34" t="s">
        <v>116</v>
      </c>
      <c r="AJ20" s="55">
        <f>IF(AN20=0,I20,0)</f>
        <v>0</v>
      </c>
      <c r="AK20" s="55">
        <f>IF(AN20=12,I20,0)</f>
        <v>0</v>
      </c>
      <c r="AL20" s="55">
        <f>IF(AN20=21,I20,0)</f>
        <v>0</v>
      </c>
      <c r="AN20" s="55">
        <v>21</v>
      </c>
      <c r="AO20" s="55">
        <f>H20*0.738396624</f>
        <v>0</v>
      </c>
      <c r="AP20" s="55">
        <f>H20*(1-0.738396624)</f>
        <v>0</v>
      </c>
      <c r="AQ20" s="58" t="s">
        <v>125</v>
      </c>
      <c r="AV20" s="55">
        <f>AW20+AX20</f>
        <v>0</v>
      </c>
      <c r="AW20" s="55">
        <f>G20*AO20</f>
        <v>0</v>
      </c>
      <c r="AX20" s="55">
        <f>G20*AP20</f>
        <v>0</v>
      </c>
      <c r="AY20" s="58" t="s">
        <v>126</v>
      </c>
      <c r="AZ20" s="58" t="s">
        <v>127</v>
      </c>
      <c r="BA20" s="34" t="s">
        <v>128</v>
      </c>
      <c r="BC20" s="55">
        <f>AW20+AX20</f>
        <v>0</v>
      </c>
      <c r="BD20" s="55">
        <f>H20/(100-BE20)*100</f>
        <v>0</v>
      </c>
      <c r="BE20" s="55">
        <v>0</v>
      </c>
      <c r="BF20" s="55">
        <f>K20</f>
        <v>0</v>
      </c>
      <c r="BH20" s="55">
        <f>G20*AO20</f>
        <v>0</v>
      </c>
      <c r="BI20" s="55">
        <f>G20*AP20</f>
        <v>0</v>
      </c>
      <c r="BJ20" s="55">
        <f>G20*H20</f>
        <v>0</v>
      </c>
      <c r="BK20" s="55"/>
      <c r="BL20" s="55"/>
      <c r="BW20" s="55">
        <v>21</v>
      </c>
    </row>
    <row r="21" spans="1:12" ht="13.5" customHeight="1">
      <c r="A21" s="59"/>
      <c r="D21" s="218" t="s">
        <v>129</v>
      </c>
      <c r="E21" s="219"/>
      <c r="F21" s="219"/>
      <c r="G21" s="219"/>
      <c r="H21" s="220"/>
      <c r="I21" s="219"/>
      <c r="J21" s="219"/>
      <c r="K21" s="219"/>
      <c r="L21" s="221"/>
    </row>
    <row r="22" spans="1:75" ht="13.5" customHeight="1">
      <c r="A22" s="1" t="s">
        <v>139</v>
      </c>
      <c r="B22" s="2" t="s">
        <v>116</v>
      </c>
      <c r="C22" s="2" t="s">
        <v>140</v>
      </c>
      <c r="D22" s="147" t="s">
        <v>141</v>
      </c>
      <c r="E22" s="148"/>
      <c r="F22" s="2" t="s">
        <v>123</v>
      </c>
      <c r="G22" s="55">
        <v>5</v>
      </c>
      <c r="H22" s="56">
        <v>0</v>
      </c>
      <c r="I22" s="55">
        <f>G22*H22</f>
        <v>0</v>
      </c>
      <c r="J22" s="55">
        <v>0</v>
      </c>
      <c r="K22" s="55">
        <f>G22*J22</f>
        <v>0</v>
      </c>
      <c r="L22" s="57" t="s">
        <v>124</v>
      </c>
      <c r="Z22" s="55">
        <f>IF(AQ22="5",BJ22,0)</f>
        <v>0</v>
      </c>
      <c r="AB22" s="55">
        <f>IF(AQ22="1",BH22,0)</f>
        <v>0</v>
      </c>
      <c r="AC22" s="55">
        <f>IF(AQ22="1",BI22,0)</f>
        <v>0</v>
      </c>
      <c r="AD22" s="55">
        <f>IF(AQ22="7",BH22,0)</f>
        <v>0</v>
      </c>
      <c r="AE22" s="55">
        <f>IF(AQ22="7",BI22,0)</f>
        <v>0</v>
      </c>
      <c r="AF22" s="55">
        <f>IF(AQ22="2",BH22,0)</f>
        <v>0</v>
      </c>
      <c r="AG22" s="55">
        <f>IF(AQ22="2",BI22,0)</f>
        <v>0</v>
      </c>
      <c r="AH22" s="55">
        <f>IF(AQ22="0",BJ22,0)</f>
        <v>0</v>
      </c>
      <c r="AI22" s="34" t="s">
        <v>116</v>
      </c>
      <c r="AJ22" s="55">
        <f>IF(AN22=0,I22,0)</f>
        <v>0</v>
      </c>
      <c r="AK22" s="55">
        <f>IF(AN22=12,I22,0)</f>
        <v>0</v>
      </c>
      <c r="AL22" s="55">
        <f>IF(AN22=21,I22,0)</f>
        <v>0</v>
      </c>
      <c r="AN22" s="55">
        <v>21</v>
      </c>
      <c r="AO22" s="55">
        <f>H22*0.94021215</f>
        <v>0</v>
      </c>
      <c r="AP22" s="55">
        <f>H22*(1-0.94021215)</f>
        <v>0</v>
      </c>
      <c r="AQ22" s="58" t="s">
        <v>125</v>
      </c>
      <c r="AV22" s="55">
        <f>AW22+AX22</f>
        <v>0</v>
      </c>
      <c r="AW22" s="55">
        <f>G22*AO22</f>
        <v>0</v>
      </c>
      <c r="AX22" s="55">
        <f>G22*AP22</f>
        <v>0</v>
      </c>
      <c r="AY22" s="58" t="s">
        <v>126</v>
      </c>
      <c r="AZ22" s="58" t="s">
        <v>127</v>
      </c>
      <c r="BA22" s="34" t="s">
        <v>128</v>
      </c>
      <c r="BC22" s="55">
        <f>AW22+AX22</f>
        <v>0</v>
      </c>
      <c r="BD22" s="55">
        <f>H22/(100-BE22)*100</f>
        <v>0</v>
      </c>
      <c r="BE22" s="55">
        <v>0</v>
      </c>
      <c r="BF22" s="55">
        <f>K22</f>
        <v>0</v>
      </c>
      <c r="BH22" s="55">
        <f>G22*AO22</f>
        <v>0</v>
      </c>
      <c r="BI22" s="55">
        <f>G22*AP22</f>
        <v>0</v>
      </c>
      <c r="BJ22" s="55">
        <f>G22*H22</f>
        <v>0</v>
      </c>
      <c r="BK22" s="55"/>
      <c r="BL22" s="55"/>
      <c r="BW22" s="55">
        <v>21</v>
      </c>
    </row>
    <row r="23" spans="1:12" ht="13.5" customHeight="1">
      <c r="A23" s="59"/>
      <c r="D23" s="218" t="s">
        <v>129</v>
      </c>
      <c r="E23" s="219"/>
      <c r="F23" s="219"/>
      <c r="G23" s="219"/>
      <c r="H23" s="220"/>
      <c r="I23" s="219"/>
      <c r="J23" s="219"/>
      <c r="K23" s="219"/>
      <c r="L23" s="221"/>
    </row>
    <row r="24" spans="1:75" ht="13.5" customHeight="1">
      <c r="A24" s="1" t="s">
        <v>142</v>
      </c>
      <c r="B24" s="2" t="s">
        <v>116</v>
      </c>
      <c r="C24" s="2" t="s">
        <v>143</v>
      </c>
      <c r="D24" s="147" t="s">
        <v>144</v>
      </c>
      <c r="E24" s="148"/>
      <c r="F24" s="2" t="s">
        <v>123</v>
      </c>
      <c r="G24" s="55">
        <v>3</v>
      </c>
      <c r="H24" s="56">
        <v>0</v>
      </c>
      <c r="I24" s="55">
        <f>G24*H24</f>
        <v>0</v>
      </c>
      <c r="J24" s="55">
        <v>0</v>
      </c>
      <c r="K24" s="55">
        <f>G24*J24</f>
        <v>0</v>
      </c>
      <c r="L24" s="57" t="s">
        <v>124</v>
      </c>
      <c r="Z24" s="55">
        <f>IF(AQ24="5",BJ24,0)</f>
        <v>0</v>
      </c>
      <c r="AB24" s="55">
        <f>IF(AQ24="1",BH24,0)</f>
        <v>0</v>
      </c>
      <c r="AC24" s="55">
        <f>IF(AQ24="1",BI24,0)</f>
        <v>0</v>
      </c>
      <c r="AD24" s="55">
        <f>IF(AQ24="7",BH24,0)</f>
        <v>0</v>
      </c>
      <c r="AE24" s="55">
        <f>IF(AQ24="7",BI24,0)</f>
        <v>0</v>
      </c>
      <c r="AF24" s="55">
        <f>IF(AQ24="2",BH24,0)</f>
        <v>0</v>
      </c>
      <c r="AG24" s="55">
        <f>IF(AQ24="2",BI24,0)</f>
        <v>0</v>
      </c>
      <c r="AH24" s="55">
        <f>IF(AQ24="0",BJ24,0)</f>
        <v>0</v>
      </c>
      <c r="AI24" s="34" t="s">
        <v>116</v>
      </c>
      <c r="AJ24" s="55">
        <f>IF(AN24=0,I24,0)</f>
        <v>0</v>
      </c>
      <c r="AK24" s="55">
        <f>IF(AN24=12,I24,0)</f>
        <v>0</v>
      </c>
      <c r="AL24" s="55">
        <f>IF(AN24=21,I24,0)</f>
        <v>0</v>
      </c>
      <c r="AN24" s="55">
        <v>21</v>
      </c>
      <c r="AO24" s="55">
        <f>H24*0.939177102</f>
        <v>0</v>
      </c>
      <c r="AP24" s="55">
        <f>H24*(1-0.939177102)</f>
        <v>0</v>
      </c>
      <c r="AQ24" s="58" t="s">
        <v>125</v>
      </c>
      <c r="AV24" s="55">
        <f>AW24+AX24</f>
        <v>0</v>
      </c>
      <c r="AW24" s="55">
        <f>G24*AO24</f>
        <v>0</v>
      </c>
      <c r="AX24" s="55">
        <f>G24*AP24</f>
        <v>0</v>
      </c>
      <c r="AY24" s="58" t="s">
        <v>126</v>
      </c>
      <c r="AZ24" s="58" t="s">
        <v>127</v>
      </c>
      <c r="BA24" s="34" t="s">
        <v>128</v>
      </c>
      <c r="BC24" s="55">
        <f>AW24+AX24</f>
        <v>0</v>
      </c>
      <c r="BD24" s="55">
        <f>H24/(100-BE24)*100</f>
        <v>0</v>
      </c>
      <c r="BE24" s="55">
        <v>0</v>
      </c>
      <c r="BF24" s="55">
        <f>K24</f>
        <v>0</v>
      </c>
      <c r="BH24" s="55">
        <f>G24*AO24</f>
        <v>0</v>
      </c>
      <c r="BI24" s="55">
        <f>G24*AP24</f>
        <v>0</v>
      </c>
      <c r="BJ24" s="55">
        <f>G24*H24</f>
        <v>0</v>
      </c>
      <c r="BK24" s="55"/>
      <c r="BL24" s="55"/>
      <c r="BW24" s="55">
        <v>21</v>
      </c>
    </row>
    <row r="25" spans="1:12" ht="13.5" customHeight="1">
      <c r="A25" s="59"/>
      <c r="D25" s="218" t="s">
        <v>129</v>
      </c>
      <c r="E25" s="219"/>
      <c r="F25" s="219"/>
      <c r="G25" s="219"/>
      <c r="H25" s="220"/>
      <c r="I25" s="219"/>
      <c r="J25" s="219"/>
      <c r="K25" s="219"/>
      <c r="L25" s="221"/>
    </row>
    <row r="26" spans="1:75" ht="13.5" customHeight="1">
      <c r="A26" s="1" t="s">
        <v>125</v>
      </c>
      <c r="B26" s="2" t="s">
        <v>116</v>
      </c>
      <c r="C26" s="2" t="s">
        <v>145</v>
      </c>
      <c r="D26" s="147" t="s">
        <v>146</v>
      </c>
      <c r="E26" s="148"/>
      <c r="F26" s="2" t="s">
        <v>123</v>
      </c>
      <c r="G26" s="55">
        <v>10</v>
      </c>
      <c r="H26" s="56">
        <v>0</v>
      </c>
      <c r="I26" s="55">
        <f>G26*H26</f>
        <v>0</v>
      </c>
      <c r="J26" s="55">
        <v>0</v>
      </c>
      <c r="K26" s="55">
        <f>G26*J26</f>
        <v>0</v>
      </c>
      <c r="L26" s="57" t="s">
        <v>124</v>
      </c>
      <c r="Z26" s="55">
        <f>IF(AQ26="5",BJ26,0)</f>
        <v>0</v>
      </c>
      <c r="AB26" s="55">
        <f>IF(AQ26="1",BH26,0)</f>
        <v>0</v>
      </c>
      <c r="AC26" s="55">
        <f>IF(AQ26="1",BI26,0)</f>
        <v>0</v>
      </c>
      <c r="AD26" s="55">
        <f>IF(AQ26="7",BH26,0)</f>
        <v>0</v>
      </c>
      <c r="AE26" s="55">
        <f>IF(AQ26="7",BI26,0)</f>
        <v>0</v>
      </c>
      <c r="AF26" s="55">
        <f>IF(AQ26="2",BH26,0)</f>
        <v>0</v>
      </c>
      <c r="AG26" s="55">
        <f>IF(AQ26="2",BI26,0)</f>
        <v>0</v>
      </c>
      <c r="AH26" s="55">
        <f>IF(AQ26="0",BJ26,0)</f>
        <v>0</v>
      </c>
      <c r="AI26" s="34" t="s">
        <v>116</v>
      </c>
      <c r="AJ26" s="55">
        <f>IF(AN26=0,I26,0)</f>
        <v>0</v>
      </c>
      <c r="AK26" s="55">
        <f>IF(AN26=12,I26,0)</f>
        <v>0</v>
      </c>
      <c r="AL26" s="55">
        <f>IF(AN26=21,I26,0)</f>
        <v>0</v>
      </c>
      <c r="AN26" s="55">
        <v>21</v>
      </c>
      <c r="AO26" s="55">
        <f>H26*0.740072202</f>
        <v>0</v>
      </c>
      <c r="AP26" s="55">
        <f>H26*(1-0.740072202)</f>
        <v>0</v>
      </c>
      <c r="AQ26" s="58" t="s">
        <v>125</v>
      </c>
      <c r="AV26" s="55">
        <f>AW26+AX26</f>
        <v>0</v>
      </c>
      <c r="AW26" s="55">
        <f>G26*AO26</f>
        <v>0</v>
      </c>
      <c r="AX26" s="55">
        <f>G26*AP26</f>
        <v>0</v>
      </c>
      <c r="AY26" s="58" t="s">
        <v>126</v>
      </c>
      <c r="AZ26" s="58" t="s">
        <v>127</v>
      </c>
      <c r="BA26" s="34" t="s">
        <v>128</v>
      </c>
      <c r="BC26" s="55">
        <f>AW26+AX26</f>
        <v>0</v>
      </c>
      <c r="BD26" s="55">
        <f>H26/(100-BE26)*100</f>
        <v>0</v>
      </c>
      <c r="BE26" s="55">
        <v>0</v>
      </c>
      <c r="BF26" s="55">
        <f>K26</f>
        <v>0</v>
      </c>
      <c r="BH26" s="55">
        <f>G26*AO26</f>
        <v>0</v>
      </c>
      <c r="BI26" s="55">
        <f>G26*AP26</f>
        <v>0</v>
      </c>
      <c r="BJ26" s="55">
        <f>G26*H26</f>
        <v>0</v>
      </c>
      <c r="BK26" s="55"/>
      <c r="BL26" s="55"/>
      <c r="BW26" s="55">
        <v>21</v>
      </c>
    </row>
    <row r="27" spans="1:12" ht="13.5" customHeight="1">
      <c r="A27" s="59"/>
      <c r="D27" s="218" t="s">
        <v>129</v>
      </c>
      <c r="E27" s="219"/>
      <c r="F27" s="219"/>
      <c r="G27" s="219"/>
      <c r="H27" s="220"/>
      <c r="I27" s="219"/>
      <c r="J27" s="219"/>
      <c r="K27" s="219"/>
      <c r="L27" s="221"/>
    </row>
    <row r="28" spans="1:75" ht="13.5" customHeight="1">
      <c r="A28" s="1" t="s">
        <v>147</v>
      </c>
      <c r="B28" s="2" t="s">
        <v>116</v>
      </c>
      <c r="C28" s="2" t="s">
        <v>148</v>
      </c>
      <c r="D28" s="147" t="s">
        <v>149</v>
      </c>
      <c r="E28" s="148"/>
      <c r="F28" s="2" t="s">
        <v>123</v>
      </c>
      <c r="G28" s="55">
        <v>2</v>
      </c>
      <c r="H28" s="56">
        <v>0</v>
      </c>
      <c r="I28" s="55">
        <f>G28*H28</f>
        <v>0</v>
      </c>
      <c r="J28" s="55">
        <v>0</v>
      </c>
      <c r="K28" s="55">
        <f>G28*J28</f>
        <v>0</v>
      </c>
      <c r="L28" s="57" t="s">
        <v>124</v>
      </c>
      <c r="Z28" s="55">
        <f>IF(AQ28="5",BJ28,0)</f>
        <v>0</v>
      </c>
      <c r="AB28" s="55">
        <f>IF(AQ28="1",BH28,0)</f>
        <v>0</v>
      </c>
      <c r="AC28" s="55">
        <f>IF(AQ28="1",BI28,0)</f>
        <v>0</v>
      </c>
      <c r="AD28" s="55">
        <f>IF(AQ28="7",BH28,0)</f>
        <v>0</v>
      </c>
      <c r="AE28" s="55">
        <f>IF(AQ28="7",BI28,0)</f>
        <v>0</v>
      </c>
      <c r="AF28" s="55">
        <f>IF(AQ28="2",BH28,0)</f>
        <v>0</v>
      </c>
      <c r="AG28" s="55">
        <f>IF(AQ28="2",BI28,0)</f>
        <v>0</v>
      </c>
      <c r="AH28" s="55">
        <f>IF(AQ28="0",BJ28,0)</f>
        <v>0</v>
      </c>
      <c r="AI28" s="34" t="s">
        <v>116</v>
      </c>
      <c r="AJ28" s="55">
        <f>IF(AN28=0,I28,0)</f>
        <v>0</v>
      </c>
      <c r="AK28" s="55">
        <f>IF(AN28=12,I28,0)</f>
        <v>0</v>
      </c>
      <c r="AL28" s="55">
        <f>IF(AN28=21,I28,0)</f>
        <v>0</v>
      </c>
      <c r="AN28" s="55">
        <v>21</v>
      </c>
      <c r="AO28" s="55">
        <f>H28*0.743944637</f>
        <v>0</v>
      </c>
      <c r="AP28" s="55">
        <f>H28*(1-0.743944637)</f>
        <v>0</v>
      </c>
      <c r="AQ28" s="58" t="s">
        <v>125</v>
      </c>
      <c r="AV28" s="55">
        <f>AW28+AX28</f>
        <v>0</v>
      </c>
      <c r="AW28" s="55">
        <f>G28*AO28</f>
        <v>0</v>
      </c>
      <c r="AX28" s="55">
        <f>G28*AP28</f>
        <v>0</v>
      </c>
      <c r="AY28" s="58" t="s">
        <v>126</v>
      </c>
      <c r="AZ28" s="58" t="s">
        <v>127</v>
      </c>
      <c r="BA28" s="34" t="s">
        <v>128</v>
      </c>
      <c r="BC28" s="55">
        <f>AW28+AX28</f>
        <v>0</v>
      </c>
      <c r="BD28" s="55">
        <f>H28/(100-BE28)*100</f>
        <v>0</v>
      </c>
      <c r="BE28" s="55">
        <v>0</v>
      </c>
      <c r="BF28" s="55">
        <f>K28</f>
        <v>0</v>
      </c>
      <c r="BH28" s="55">
        <f>G28*AO28</f>
        <v>0</v>
      </c>
      <c r="BI28" s="55">
        <f>G28*AP28</f>
        <v>0</v>
      </c>
      <c r="BJ28" s="55">
        <f>G28*H28</f>
        <v>0</v>
      </c>
      <c r="BK28" s="55"/>
      <c r="BL28" s="55"/>
      <c r="BW28" s="55">
        <v>21</v>
      </c>
    </row>
    <row r="29" spans="1:12" ht="13.5" customHeight="1">
      <c r="A29" s="59"/>
      <c r="D29" s="218" t="s">
        <v>129</v>
      </c>
      <c r="E29" s="219"/>
      <c r="F29" s="219"/>
      <c r="G29" s="219"/>
      <c r="H29" s="220"/>
      <c r="I29" s="219"/>
      <c r="J29" s="219"/>
      <c r="K29" s="219"/>
      <c r="L29" s="221"/>
    </row>
    <row r="30" spans="1:75" ht="13.5" customHeight="1">
      <c r="A30" s="1" t="s">
        <v>150</v>
      </c>
      <c r="B30" s="2" t="s">
        <v>116</v>
      </c>
      <c r="C30" s="2" t="s">
        <v>151</v>
      </c>
      <c r="D30" s="147" t="s">
        <v>152</v>
      </c>
      <c r="E30" s="148"/>
      <c r="F30" s="2" t="s">
        <v>123</v>
      </c>
      <c r="G30" s="55">
        <v>2</v>
      </c>
      <c r="H30" s="56">
        <v>0</v>
      </c>
      <c r="I30" s="55">
        <f>G30*H30</f>
        <v>0</v>
      </c>
      <c r="J30" s="55">
        <v>0</v>
      </c>
      <c r="K30" s="55">
        <f>G30*J30</f>
        <v>0</v>
      </c>
      <c r="L30" s="57" t="s">
        <v>124</v>
      </c>
      <c r="Z30" s="55">
        <f>IF(AQ30="5",BJ30,0)</f>
        <v>0</v>
      </c>
      <c r="AB30" s="55">
        <f>IF(AQ30="1",BH30,0)</f>
        <v>0</v>
      </c>
      <c r="AC30" s="55">
        <f>IF(AQ30="1",BI30,0)</f>
        <v>0</v>
      </c>
      <c r="AD30" s="55">
        <f>IF(AQ30="7",BH30,0)</f>
        <v>0</v>
      </c>
      <c r="AE30" s="55">
        <f>IF(AQ30="7",BI30,0)</f>
        <v>0</v>
      </c>
      <c r="AF30" s="55">
        <f>IF(AQ30="2",BH30,0)</f>
        <v>0</v>
      </c>
      <c r="AG30" s="55">
        <f>IF(AQ30="2",BI30,0)</f>
        <v>0</v>
      </c>
      <c r="AH30" s="55">
        <f>IF(AQ30="0",BJ30,0)</f>
        <v>0</v>
      </c>
      <c r="AI30" s="34" t="s">
        <v>116</v>
      </c>
      <c r="AJ30" s="55">
        <f>IF(AN30=0,I30,0)</f>
        <v>0</v>
      </c>
      <c r="AK30" s="55">
        <f>IF(AN30=12,I30,0)</f>
        <v>0</v>
      </c>
      <c r="AL30" s="55">
        <f>IF(AN30=21,I30,0)</f>
        <v>0</v>
      </c>
      <c r="AN30" s="55">
        <v>21</v>
      </c>
      <c r="AO30" s="55">
        <f>H30*0.747572816</f>
        <v>0</v>
      </c>
      <c r="AP30" s="55">
        <f>H30*(1-0.747572816)</f>
        <v>0</v>
      </c>
      <c r="AQ30" s="58" t="s">
        <v>125</v>
      </c>
      <c r="AV30" s="55">
        <f>AW30+AX30</f>
        <v>0</v>
      </c>
      <c r="AW30" s="55">
        <f>G30*AO30</f>
        <v>0</v>
      </c>
      <c r="AX30" s="55">
        <f>G30*AP30</f>
        <v>0</v>
      </c>
      <c r="AY30" s="58" t="s">
        <v>126</v>
      </c>
      <c r="AZ30" s="58" t="s">
        <v>127</v>
      </c>
      <c r="BA30" s="34" t="s">
        <v>128</v>
      </c>
      <c r="BC30" s="55">
        <f>AW30+AX30</f>
        <v>0</v>
      </c>
      <c r="BD30" s="55">
        <f>H30/(100-BE30)*100</f>
        <v>0</v>
      </c>
      <c r="BE30" s="55">
        <v>0</v>
      </c>
      <c r="BF30" s="55">
        <f>K30</f>
        <v>0</v>
      </c>
      <c r="BH30" s="55">
        <f>G30*AO30</f>
        <v>0</v>
      </c>
      <c r="BI30" s="55">
        <f>G30*AP30</f>
        <v>0</v>
      </c>
      <c r="BJ30" s="55">
        <f>G30*H30</f>
        <v>0</v>
      </c>
      <c r="BK30" s="55"/>
      <c r="BL30" s="55"/>
      <c r="BW30" s="55">
        <v>21</v>
      </c>
    </row>
    <row r="31" spans="1:12" ht="13.5" customHeight="1">
      <c r="A31" s="59"/>
      <c r="D31" s="218" t="s">
        <v>129</v>
      </c>
      <c r="E31" s="219"/>
      <c r="F31" s="219"/>
      <c r="G31" s="219"/>
      <c r="H31" s="220"/>
      <c r="I31" s="219"/>
      <c r="J31" s="219"/>
      <c r="K31" s="219"/>
      <c r="L31" s="221"/>
    </row>
    <row r="32" spans="1:75" ht="13.5" customHeight="1">
      <c r="A32" s="1" t="s">
        <v>153</v>
      </c>
      <c r="B32" s="2" t="s">
        <v>116</v>
      </c>
      <c r="C32" s="2" t="s">
        <v>154</v>
      </c>
      <c r="D32" s="147" t="s">
        <v>155</v>
      </c>
      <c r="E32" s="148"/>
      <c r="F32" s="2" t="s">
        <v>123</v>
      </c>
      <c r="G32" s="55">
        <v>1</v>
      </c>
      <c r="H32" s="56">
        <v>0</v>
      </c>
      <c r="I32" s="55">
        <f>G32*H32</f>
        <v>0</v>
      </c>
      <c r="J32" s="55">
        <v>0</v>
      </c>
      <c r="K32" s="55">
        <f>G32*J32</f>
        <v>0</v>
      </c>
      <c r="L32" s="57" t="s">
        <v>124</v>
      </c>
      <c r="Z32" s="55">
        <f>IF(AQ32="5",BJ32,0)</f>
        <v>0</v>
      </c>
      <c r="AB32" s="55">
        <f>IF(AQ32="1",BH32,0)</f>
        <v>0</v>
      </c>
      <c r="AC32" s="55">
        <f>IF(AQ32="1",BI32,0)</f>
        <v>0</v>
      </c>
      <c r="AD32" s="55">
        <f>IF(AQ32="7",BH32,0)</f>
        <v>0</v>
      </c>
      <c r="AE32" s="55">
        <f>IF(AQ32="7",BI32,0)</f>
        <v>0</v>
      </c>
      <c r="AF32" s="55">
        <f>IF(AQ32="2",BH32,0)</f>
        <v>0</v>
      </c>
      <c r="AG32" s="55">
        <f>IF(AQ32="2",BI32,0)</f>
        <v>0</v>
      </c>
      <c r="AH32" s="55">
        <f>IF(AQ32="0",BJ32,0)</f>
        <v>0</v>
      </c>
      <c r="AI32" s="34" t="s">
        <v>116</v>
      </c>
      <c r="AJ32" s="55">
        <f>IF(AN32=0,I32,0)</f>
        <v>0</v>
      </c>
      <c r="AK32" s="55">
        <f>IF(AN32=12,I32,0)</f>
        <v>0</v>
      </c>
      <c r="AL32" s="55">
        <f>IF(AN32=21,I32,0)</f>
        <v>0</v>
      </c>
      <c r="AN32" s="55">
        <v>21</v>
      </c>
      <c r="AO32" s="55">
        <f>H32*0.864150943</f>
        <v>0</v>
      </c>
      <c r="AP32" s="55">
        <f>H32*(1-0.864150943)</f>
        <v>0</v>
      </c>
      <c r="AQ32" s="58" t="s">
        <v>125</v>
      </c>
      <c r="AV32" s="55">
        <f>AW32+AX32</f>
        <v>0</v>
      </c>
      <c r="AW32" s="55">
        <f>G32*AO32</f>
        <v>0</v>
      </c>
      <c r="AX32" s="55">
        <f>G32*AP32</f>
        <v>0</v>
      </c>
      <c r="AY32" s="58" t="s">
        <v>126</v>
      </c>
      <c r="AZ32" s="58" t="s">
        <v>127</v>
      </c>
      <c r="BA32" s="34" t="s">
        <v>128</v>
      </c>
      <c r="BC32" s="55">
        <f>AW32+AX32</f>
        <v>0</v>
      </c>
      <c r="BD32" s="55">
        <f>H32/(100-BE32)*100</f>
        <v>0</v>
      </c>
      <c r="BE32" s="55">
        <v>0</v>
      </c>
      <c r="BF32" s="55">
        <f>K32</f>
        <v>0</v>
      </c>
      <c r="BH32" s="55">
        <f>G32*AO32</f>
        <v>0</v>
      </c>
      <c r="BI32" s="55">
        <f>G32*AP32</f>
        <v>0</v>
      </c>
      <c r="BJ32" s="55">
        <f>G32*H32</f>
        <v>0</v>
      </c>
      <c r="BK32" s="55"/>
      <c r="BL32" s="55"/>
      <c r="BW32" s="55">
        <v>21</v>
      </c>
    </row>
    <row r="33" spans="1:12" ht="13.5" customHeight="1">
      <c r="A33" s="59"/>
      <c r="D33" s="218" t="s">
        <v>129</v>
      </c>
      <c r="E33" s="219"/>
      <c r="F33" s="219"/>
      <c r="G33" s="219"/>
      <c r="H33" s="220"/>
      <c r="I33" s="219"/>
      <c r="J33" s="219"/>
      <c r="K33" s="219"/>
      <c r="L33" s="221"/>
    </row>
    <row r="34" spans="1:75" ht="13.5" customHeight="1">
      <c r="A34" s="1" t="s">
        <v>156</v>
      </c>
      <c r="B34" s="2" t="s">
        <v>116</v>
      </c>
      <c r="C34" s="2" t="s">
        <v>157</v>
      </c>
      <c r="D34" s="147" t="s">
        <v>158</v>
      </c>
      <c r="E34" s="148"/>
      <c r="F34" s="2" t="s">
        <v>123</v>
      </c>
      <c r="G34" s="55">
        <v>2</v>
      </c>
      <c r="H34" s="56">
        <v>0</v>
      </c>
      <c r="I34" s="55">
        <f>G34*H34</f>
        <v>0</v>
      </c>
      <c r="J34" s="55">
        <v>0</v>
      </c>
      <c r="K34" s="55">
        <f>G34*J34</f>
        <v>0</v>
      </c>
      <c r="L34" s="57" t="s">
        <v>124</v>
      </c>
      <c r="Z34" s="55">
        <f>IF(AQ34="5",BJ34,0)</f>
        <v>0</v>
      </c>
      <c r="AB34" s="55">
        <f>IF(AQ34="1",BH34,0)</f>
        <v>0</v>
      </c>
      <c r="AC34" s="55">
        <f>IF(AQ34="1",BI34,0)</f>
        <v>0</v>
      </c>
      <c r="AD34" s="55">
        <f>IF(AQ34="7",BH34,0)</f>
        <v>0</v>
      </c>
      <c r="AE34" s="55">
        <f>IF(AQ34="7",BI34,0)</f>
        <v>0</v>
      </c>
      <c r="AF34" s="55">
        <f>IF(AQ34="2",BH34,0)</f>
        <v>0</v>
      </c>
      <c r="AG34" s="55">
        <f>IF(AQ34="2",BI34,0)</f>
        <v>0</v>
      </c>
      <c r="AH34" s="55">
        <f>IF(AQ34="0",BJ34,0)</f>
        <v>0</v>
      </c>
      <c r="AI34" s="34" t="s">
        <v>116</v>
      </c>
      <c r="AJ34" s="55">
        <f>IF(AN34=0,I34,0)</f>
        <v>0</v>
      </c>
      <c r="AK34" s="55">
        <f>IF(AN34=12,I34,0)</f>
        <v>0</v>
      </c>
      <c r="AL34" s="55">
        <f>IF(AN34=21,I34,0)</f>
        <v>0</v>
      </c>
      <c r="AN34" s="55">
        <v>21</v>
      </c>
      <c r="AO34" s="55">
        <f>H34*0.751004016</f>
        <v>0</v>
      </c>
      <c r="AP34" s="55">
        <f>H34*(1-0.751004016)</f>
        <v>0</v>
      </c>
      <c r="AQ34" s="58" t="s">
        <v>125</v>
      </c>
      <c r="AV34" s="55">
        <f>AW34+AX34</f>
        <v>0</v>
      </c>
      <c r="AW34" s="55">
        <f>G34*AO34</f>
        <v>0</v>
      </c>
      <c r="AX34" s="55">
        <f>G34*AP34</f>
        <v>0</v>
      </c>
      <c r="AY34" s="58" t="s">
        <v>126</v>
      </c>
      <c r="AZ34" s="58" t="s">
        <v>127</v>
      </c>
      <c r="BA34" s="34" t="s">
        <v>128</v>
      </c>
      <c r="BC34" s="55">
        <f>AW34+AX34</f>
        <v>0</v>
      </c>
      <c r="BD34" s="55">
        <f>H34/(100-BE34)*100</f>
        <v>0</v>
      </c>
      <c r="BE34" s="55">
        <v>0</v>
      </c>
      <c r="BF34" s="55">
        <f>K34</f>
        <v>0</v>
      </c>
      <c r="BH34" s="55">
        <f>G34*AO34</f>
        <v>0</v>
      </c>
      <c r="BI34" s="55">
        <f>G34*AP34</f>
        <v>0</v>
      </c>
      <c r="BJ34" s="55">
        <f>G34*H34</f>
        <v>0</v>
      </c>
      <c r="BK34" s="55"/>
      <c r="BL34" s="55"/>
      <c r="BW34" s="55">
        <v>21</v>
      </c>
    </row>
    <row r="35" spans="1:12" ht="13.5" customHeight="1">
      <c r="A35" s="59"/>
      <c r="D35" s="218" t="s">
        <v>129</v>
      </c>
      <c r="E35" s="219"/>
      <c r="F35" s="219"/>
      <c r="G35" s="219"/>
      <c r="H35" s="220"/>
      <c r="I35" s="219"/>
      <c r="J35" s="219"/>
      <c r="K35" s="219"/>
      <c r="L35" s="221"/>
    </row>
    <row r="36" spans="1:75" ht="13.5" customHeight="1">
      <c r="A36" s="1" t="s">
        <v>159</v>
      </c>
      <c r="B36" s="2" t="s">
        <v>116</v>
      </c>
      <c r="C36" s="2" t="s">
        <v>160</v>
      </c>
      <c r="D36" s="147" t="s">
        <v>161</v>
      </c>
      <c r="E36" s="148"/>
      <c r="F36" s="2" t="s">
        <v>123</v>
      </c>
      <c r="G36" s="55">
        <v>2</v>
      </c>
      <c r="H36" s="56">
        <v>0</v>
      </c>
      <c r="I36" s="55">
        <f>G36*H36</f>
        <v>0</v>
      </c>
      <c r="J36" s="55">
        <v>0</v>
      </c>
      <c r="K36" s="55">
        <f>G36*J36</f>
        <v>0</v>
      </c>
      <c r="L36" s="57" t="s">
        <v>124</v>
      </c>
      <c r="Z36" s="55">
        <f>IF(AQ36="5",BJ36,0)</f>
        <v>0</v>
      </c>
      <c r="AB36" s="55">
        <f>IF(AQ36="1",BH36,0)</f>
        <v>0</v>
      </c>
      <c r="AC36" s="55">
        <f>IF(AQ36="1",BI36,0)</f>
        <v>0</v>
      </c>
      <c r="AD36" s="55">
        <f>IF(AQ36="7",BH36,0)</f>
        <v>0</v>
      </c>
      <c r="AE36" s="55">
        <f>IF(AQ36="7",BI36,0)</f>
        <v>0</v>
      </c>
      <c r="AF36" s="55">
        <f>IF(AQ36="2",BH36,0)</f>
        <v>0</v>
      </c>
      <c r="AG36" s="55">
        <f>IF(AQ36="2",BI36,0)</f>
        <v>0</v>
      </c>
      <c r="AH36" s="55">
        <f>IF(AQ36="0",BJ36,0)</f>
        <v>0</v>
      </c>
      <c r="AI36" s="34" t="s">
        <v>116</v>
      </c>
      <c r="AJ36" s="55">
        <f>IF(AN36=0,I36,0)</f>
        <v>0</v>
      </c>
      <c r="AK36" s="55">
        <f>IF(AN36=12,I36,0)</f>
        <v>0</v>
      </c>
      <c r="AL36" s="55">
        <f>IF(AN36=21,I36,0)</f>
        <v>0</v>
      </c>
      <c r="AN36" s="55">
        <v>21</v>
      </c>
      <c r="AO36" s="55">
        <f>H36*0.724907063</f>
        <v>0</v>
      </c>
      <c r="AP36" s="55">
        <f>H36*(1-0.724907063)</f>
        <v>0</v>
      </c>
      <c r="AQ36" s="58" t="s">
        <v>125</v>
      </c>
      <c r="AV36" s="55">
        <f>AW36+AX36</f>
        <v>0</v>
      </c>
      <c r="AW36" s="55">
        <f>G36*AO36</f>
        <v>0</v>
      </c>
      <c r="AX36" s="55">
        <f>G36*AP36</f>
        <v>0</v>
      </c>
      <c r="AY36" s="58" t="s">
        <v>126</v>
      </c>
      <c r="AZ36" s="58" t="s">
        <v>127</v>
      </c>
      <c r="BA36" s="34" t="s">
        <v>128</v>
      </c>
      <c r="BC36" s="55">
        <f>AW36+AX36</f>
        <v>0</v>
      </c>
      <c r="BD36" s="55">
        <f>H36/(100-BE36)*100</f>
        <v>0</v>
      </c>
      <c r="BE36" s="55">
        <v>0</v>
      </c>
      <c r="BF36" s="55">
        <f>K36</f>
        <v>0</v>
      </c>
      <c r="BH36" s="55">
        <f>G36*AO36</f>
        <v>0</v>
      </c>
      <c r="BI36" s="55">
        <f>G36*AP36</f>
        <v>0</v>
      </c>
      <c r="BJ36" s="55">
        <f>G36*H36</f>
        <v>0</v>
      </c>
      <c r="BK36" s="55"/>
      <c r="BL36" s="55"/>
      <c r="BW36" s="55">
        <v>21</v>
      </c>
    </row>
    <row r="37" spans="1:12" ht="13.5" customHeight="1">
      <c r="A37" s="59"/>
      <c r="D37" s="218" t="s">
        <v>129</v>
      </c>
      <c r="E37" s="219"/>
      <c r="F37" s="219"/>
      <c r="G37" s="219"/>
      <c r="H37" s="220"/>
      <c r="I37" s="219"/>
      <c r="J37" s="219"/>
      <c r="K37" s="219"/>
      <c r="L37" s="221"/>
    </row>
    <row r="38" spans="1:75" ht="13.5" customHeight="1">
      <c r="A38" s="1" t="s">
        <v>162</v>
      </c>
      <c r="B38" s="2" t="s">
        <v>116</v>
      </c>
      <c r="C38" s="2" t="s">
        <v>163</v>
      </c>
      <c r="D38" s="147" t="s">
        <v>164</v>
      </c>
      <c r="E38" s="148"/>
      <c r="F38" s="2" t="s">
        <v>123</v>
      </c>
      <c r="G38" s="55">
        <v>2</v>
      </c>
      <c r="H38" s="56">
        <v>0</v>
      </c>
      <c r="I38" s="55">
        <f>G38*H38</f>
        <v>0</v>
      </c>
      <c r="J38" s="55">
        <v>0</v>
      </c>
      <c r="K38" s="55">
        <f>G38*J38</f>
        <v>0</v>
      </c>
      <c r="L38" s="57" t="s">
        <v>124</v>
      </c>
      <c r="Z38" s="55">
        <f>IF(AQ38="5",BJ38,0)</f>
        <v>0</v>
      </c>
      <c r="AB38" s="55">
        <f>IF(AQ38="1",BH38,0)</f>
        <v>0</v>
      </c>
      <c r="AC38" s="55">
        <f>IF(AQ38="1",BI38,0)</f>
        <v>0</v>
      </c>
      <c r="AD38" s="55">
        <f>IF(AQ38="7",BH38,0)</f>
        <v>0</v>
      </c>
      <c r="AE38" s="55">
        <f>IF(AQ38="7",BI38,0)</f>
        <v>0</v>
      </c>
      <c r="AF38" s="55">
        <f>IF(AQ38="2",BH38,0)</f>
        <v>0</v>
      </c>
      <c r="AG38" s="55">
        <f>IF(AQ38="2",BI38,0)</f>
        <v>0</v>
      </c>
      <c r="AH38" s="55">
        <f>IF(AQ38="0",BJ38,0)</f>
        <v>0</v>
      </c>
      <c r="AI38" s="34" t="s">
        <v>116</v>
      </c>
      <c r="AJ38" s="55">
        <f>IF(AN38=0,I38,0)</f>
        <v>0</v>
      </c>
      <c r="AK38" s="55">
        <f>IF(AN38=12,I38,0)</f>
        <v>0</v>
      </c>
      <c r="AL38" s="55">
        <f>IF(AN38=21,I38,0)</f>
        <v>0</v>
      </c>
      <c r="AN38" s="55">
        <v>21</v>
      </c>
      <c r="AO38" s="55">
        <f>H38*0.894021739</f>
        <v>0</v>
      </c>
      <c r="AP38" s="55">
        <f>H38*(1-0.894021739)</f>
        <v>0</v>
      </c>
      <c r="AQ38" s="58" t="s">
        <v>125</v>
      </c>
      <c r="AV38" s="55">
        <f>AW38+AX38</f>
        <v>0</v>
      </c>
      <c r="AW38" s="55">
        <f>G38*AO38</f>
        <v>0</v>
      </c>
      <c r="AX38" s="55">
        <f>G38*AP38</f>
        <v>0</v>
      </c>
      <c r="AY38" s="58" t="s">
        <v>126</v>
      </c>
      <c r="AZ38" s="58" t="s">
        <v>127</v>
      </c>
      <c r="BA38" s="34" t="s">
        <v>128</v>
      </c>
      <c r="BC38" s="55">
        <f>AW38+AX38</f>
        <v>0</v>
      </c>
      <c r="BD38" s="55">
        <f>H38/(100-BE38)*100</f>
        <v>0</v>
      </c>
      <c r="BE38" s="55">
        <v>0</v>
      </c>
      <c r="BF38" s="55">
        <f>K38</f>
        <v>0</v>
      </c>
      <c r="BH38" s="55">
        <f>G38*AO38</f>
        <v>0</v>
      </c>
      <c r="BI38" s="55">
        <f>G38*AP38</f>
        <v>0</v>
      </c>
      <c r="BJ38" s="55">
        <f>G38*H38</f>
        <v>0</v>
      </c>
      <c r="BK38" s="55"/>
      <c r="BL38" s="55"/>
      <c r="BW38" s="55">
        <v>21</v>
      </c>
    </row>
    <row r="39" spans="1:12" ht="13.5" customHeight="1">
      <c r="A39" s="59"/>
      <c r="D39" s="218" t="s">
        <v>129</v>
      </c>
      <c r="E39" s="219"/>
      <c r="F39" s="219"/>
      <c r="G39" s="219"/>
      <c r="H39" s="220"/>
      <c r="I39" s="219"/>
      <c r="J39" s="219"/>
      <c r="K39" s="219"/>
      <c r="L39" s="221"/>
    </row>
    <row r="40" spans="1:75" ht="13.5" customHeight="1">
      <c r="A40" s="1" t="s">
        <v>165</v>
      </c>
      <c r="B40" s="2" t="s">
        <v>116</v>
      </c>
      <c r="C40" s="2" t="s">
        <v>166</v>
      </c>
      <c r="D40" s="147" t="s">
        <v>167</v>
      </c>
      <c r="E40" s="148"/>
      <c r="F40" s="2" t="s">
        <v>123</v>
      </c>
      <c r="G40" s="55">
        <v>179</v>
      </c>
      <c r="H40" s="56">
        <v>0</v>
      </c>
      <c r="I40" s="55">
        <f>G40*H40</f>
        <v>0</v>
      </c>
      <c r="J40" s="55">
        <v>0</v>
      </c>
      <c r="K40" s="55">
        <f>G40*J40</f>
        <v>0</v>
      </c>
      <c r="L40" s="57" t="s">
        <v>124</v>
      </c>
      <c r="Z40" s="55">
        <f>IF(AQ40="5",BJ40,0)</f>
        <v>0</v>
      </c>
      <c r="AB40" s="55">
        <f>IF(AQ40="1",BH40,0)</f>
        <v>0</v>
      </c>
      <c r="AC40" s="55">
        <f>IF(AQ40="1",BI40,0)</f>
        <v>0</v>
      </c>
      <c r="AD40" s="55">
        <f>IF(AQ40="7",BH40,0)</f>
        <v>0</v>
      </c>
      <c r="AE40" s="55">
        <f>IF(AQ40="7",BI40,0)</f>
        <v>0</v>
      </c>
      <c r="AF40" s="55">
        <f>IF(AQ40="2",BH40,0)</f>
        <v>0</v>
      </c>
      <c r="AG40" s="55">
        <f>IF(AQ40="2",BI40,0)</f>
        <v>0</v>
      </c>
      <c r="AH40" s="55">
        <f>IF(AQ40="0",BJ40,0)</f>
        <v>0</v>
      </c>
      <c r="AI40" s="34" t="s">
        <v>116</v>
      </c>
      <c r="AJ40" s="55">
        <f>IF(AN40=0,I40,0)</f>
        <v>0</v>
      </c>
      <c r="AK40" s="55">
        <f>IF(AN40=12,I40,0)</f>
        <v>0</v>
      </c>
      <c r="AL40" s="55">
        <f>IF(AN40=21,I40,0)</f>
        <v>0</v>
      </c>
      <c r="AN40" s="55">
        <v>21</v>
      </c>
      <c r="AO40" s="55">
        <f>H40*0.424242424</f>
        <v>0</v>
      </c>
      <c r="AP40" s="55">
        <f>H40*(1-0.424242424)</f>
        <v>0</v>
      </c>
      <c r="AQ40" s="58" t="s">
        <v>125</v>
      </c>
      <c r="AV40" s="55">
        <f>AW40+AX40</f>
        <v>0</v>
      </c>
      <c r="AW40" s="55">
        <f>G40*AO40</f>
        <v>0</v>
      </c>
      <c r="AX40" s="55">
        <f>G40*AP40</f>
        <v>0</v>
      </c>
      <c r="AY40" s="58" t="s">
        <v>126</v>
      </c>
      <c r="AZ40" s="58" t="s">
        <v>127</v>
      </c>
      <c r="BA40" s="34" t="s">
        <v>128</v>
      </c>
      <c r="BC40" s="55">
        <f>AW40+AX40</f>
        <v>0</v>
      </c>
      <c r="BD40" s="55">
        <f>H40/(100-BE40)*100</f>
        <v>0</v>
      </c>
      <c r="BE40" s="55">
        <v>0</v>
      </c>
      <c r="BF40" s="55">
        <f>K40</f>
        <v>0</v>
      </c>
      <c r="BH40" s="55">
        <f>G40*AO40</f>
        <v>0</v>
      </c>
      <c r="BI40" s="55">
        <f>G40*AP40</f>
        <v>0</v>
      </c>
      <c r="BJ40" s="55">
        <f>G40*H40</f>
        <v>0</v>
      </c>
      <c r="BK40" s="55"/>
      <c r="BL40" s="55"/>
      <c r="BW40" s="55">
        <v>21</v>
      </c>
    </row>
    <row r="41" spans="1:12" ht="13.5" customHeight="1">
      <c r="A41" s="59"/>
      <c r="D41" s="218" t="s">
        <v>129</v>
      </c>
      <c r="E41" s="219"/>
      <c r="F41" s="219"/>
      <c r="G41" s="219"/>
      <c r="H41" s="220"/>
      <c r="I41" s="219"/>
      <c r="J41" s="219"/>
      <c r="K41" s="219"/>
      <c r="L41" s="221"/>
    </row>
    <row r="42" spans="1:75" ht="13.5" customHeight="1">
      <c r="A42" s="1" t="s">
        <v>168</v>
      </c>
      <c r="B42" s="2" t="s">
        <v>116</v>
      </c>
      <c r="C42" s="2" t="s">
        <v>169</v>
      </c>
      <c r="D42" s="147" t="s">
        <v>170</v>
      </c>
      <c r="E42" s="148"/>
      <c r="F42" s="2" t="s">
        <v>123</v>
      </c>
      <c r="G42" s="55">
        <v>215</v>
      </c>
      <c r="H42" s="56">
        <v>0</v>
      </c>
      <c r="I42" s="55">
        <f>G42*H42</f>
        <v>0</v>
      </c>
      <c r="J42" s="55">
        <v>0</v>
      </c>
      <c r="K42" s="55">
        <f>G42*J42</f>
        <v>0</v>
      </c>
      <c r="L42" s="57" t="s">
        <v>124</v>
      </c>
      <c r="Z42" s="55">
        <f>IF(AQ42="5",BJ42,0)</f>
        <v>0</v>
      </c>
      <c r="AB42" s="55">
        <f>IF(AQ42="1",BH42,0)</f>
        <v>0</v>
      </c>
      <c r="AC42" s="55">
        <f>IF(AQ42="1",BI42,0)</f>
        <v>0</v>
      </c>
      <c r="AD42" s="55">
        <f>IF(AQ42="7",BH42,0)</f>
        <v>0</v>
      </c>
      <c r="AE42" s="55">
        <f>IF(AQ42="7",BI42,0)</f>
        <v>0</v>
      </c>
      <c r="AF42" s="55">
        <f>IF(AQ42="2",BH42,0)</f>
        <v>0</v>
      </c>
      <c r="AG42" s="55">
        <f>IF(AQ42="2",BI42,0)</f>
        <v>0</v>
      </c>
      <c r="AH42" s="55">
        <f>IF(AQ42="0",BJ42,0)</f>
        <v>0</v>
      </c>
      <c r="AI42" s="34" t="s">
        <v>116</v>
      </c>
      <c r="AJ42" s="55">
        <f>IF(AN42=0,I42,0)</f>
        <v>0</v>
      </c>
      <c r="AK42" s="55">
        <f>IF(AN42=12,I42,0)</f>
        <v>0</v>
      </c>
      <c r="AL42" s="55">
        <f>IF(AN42=21,I42,0)</f>
        <v>0</v>
      </c>
      <c r="AN42" s="55">
        <v>21</v>
      </c>
      <c r="AO42" s="55">
        <f>H42*0.766129032</f>
        <v>0</v>
      </c>
      <c r="AP42" s="55">
        <f>H42*(1-0.766129032)</f>
        <v>0</v>
      </c>
      <c r="AQ42" s="58" t="s">
        <v>125</v>
      </c>
      <c r="AV42" s="55">
        <f>AW42+AX42</f>
        <v>0</v>
      </c>
      <c r="AW42" s="55">
        <f>G42*AO42</f>
        <v>0</v>
      </c>
      <c r="AX42" s="55">
        <f>G42*AP42</f>
        <v>0</v>
      </c>
      <c r="AY42" s="58" t="s">
        <v>126</v>
      </c>
      <c r="AZ42" s="58" t="s">
        <v>127</v>
      </c>
      <c r="BA42" s="34" t="s">
        <v>128</v>
      </c>
      <c r="BC42" s="55">
        <f>AW42+AX42</f>
        <v>0</v>
      </c>
      <c r="BD42" s="55">
        <f>H42/(100-BE42)*100</f>
        <v>0</v>
      </c>
      <c r="BE42" s="55">
        <v>0</v>
      </c>
      <c r="BF42" s="55">
        <f>K42</f>
        <v>0</v>
      </c>
      <c r="BH42" s="55">
        <f>G42*AO42</f>
        <v>0</v>
      </c>
      <c r="BI42" s="55">
        <f>G42*AP42</f>
        <v>0</v>
      </c>
      <c r="BJ42" s="55">
        <f>G42*H42</f>
        <v>0</v>
      </c>
      <c r="BK42" s="55"/>
      <c r="BL42" s="55"/>
      <c r="BW42" s="55">
        <v>21</v>
      </c>
    </row>
    <row r="43" spans="1:12" ht="13.5" customHeight="1">
      <c r="A43" s="59"/>
      <c r="D43" s="218" t="s">
        <v>129</v>
      </c>
      <c r="E43" s="219"/>
      <c r="F43" s="219"/>
      <c r="G43" s="219"/>
      <c r="H43" s="220"/>
      <c r="I43" s="219"/>
      <c r="J43" s="219"/>
      <c r="K43" s="219"/>
      <c r="L43" s="221"/>
    </row>
    <row r="44" spans="1:75" ht="13.5" customHeight="1">
      <c r="A44" s="1" t="s">
        <v>171</v>
      </c>
      <c r="B44" s="2" t="s">
        <v>116</v>
      </c>
      <c r="C44" s="2" t="s">
        <v>172</v>
      </c>
      <c r="D44" s="147" t="s">
        <v>173</v>
      </c>
      <c r="E44" s="148"/>
      <c r="F44" s="2" t="s">
        <v>174</v>
      </c>
      <c r="G44" s="55">
        <v>2</v>
      </c>
      <c r="H44" s="56">
        <v>0</v>
      </c>
      <c r="I44" s="55">
        <f>G44*H44</f>
        <v>0</v>
      </c>
      <c r="J44" s="55">
        <v>0</v>
      </c>
      <c r="K44" s="55">
        <f>G44*J44</f>
        <v>0</v>
      </c>
      <c r="L44" s="57" t="s">
        <v>124</v>
      </c>
      <c r="Z44" s="55">
        <f>IF(AQ44="5",BJ44,0)</f>
        <v>0</v>
      </c>
      <c r="AB44" s="55">
        <f>IF(AQ44="1",BH44,0)</f>
        <v>0</v>
      </c>
      <c r="AC44" s="55">
        <f>IF(AQ44="1",BI44,0)</f>
        <v>0</v>
      </c>
      <c r="AD44" s="55">
        <f>IF(AQ44="7",BH44,0)</f>
        <v>0</v>
      </c>
      <c r="AE44" s="55">
        <f>IF(AQ44="7",BI44,0)</f>
        <v>0</v>
      </c>
      <c r="AF44" s="55">
        <f>IF(AQ44="2",BH44,0)</f>
        <v>0</v>
      </c>
      <c r="AG44" s="55">
        <f>IF(AQ44="2",BI44,0)</f>
        <v>0</v>
      </c>
      <c r="AH44" s="55">
        <f>IF(AQ44="0",BJ44,0)</f>
        <v>0</v>
      </c>
      <c r="AI44" s="34" t="s">
        <v>116</v>
      </c>
      <c r="AJ44" s="55">
        <f>IF(AN44=0,I44,0)</f>
        <v>0</v>
      </c>
      <c r="AK44" s="55">
        <f>IF(AN44=12,I44,0)</f>
        <v>0</v>
      </c>
      <c r="AL44" s="55">
        <f>IF(AN44=21,I44,0)</f>
        <v>0</v>
      </c>
      <c r="AN44" s="55">
        <v>21</v>
      </c>
      <c r="AO44" s="55">
        <f>H44*0.764024933</f>
        <v>0</v>
      </c>
      <c r="AP44" s="55">
        <f>H44*(1-0.764024933)</f>
        <v>0</v>
      </c>
      <c r="AQ44" s="58" t="s">
        <v>125</v>
      </c>
      <c r="AV44" s="55">
        <f>AW44+AX44</f>
        <v>0</v>
      </c>
      <c r="AW44" s="55">
        <f>G44*AO44</f>
        <v>0</v>
      </c>
      <c r="AX44" s="55">
        <f>G44*AP44</f>
        <v>0</v>
      </c>
      <c r="AY44" s="58" t="s">
        <v>126</v>
      </c>
      <c r="AZ44" s="58" t="s">
        <v>127</v>
      </c>
      <c r="BA44" s="34" t="s">
        <v>128</v>
      </c>
      <c r="BC44" s="55">
        <f>AW44+AX44</f>
        <v>0</v>
      </c>
      <c r="BD44" s="55">
        <f>H44/(100-BE44)*100</f>
        <v>0</v>
      </c>
      <c r="BE44" s="55">
        <v>0</v>
      </c>
      <c r="BF44" s="55">
        <f>K44</f>
        <v>0</v>
      </c>
      <c r="BH44" s="55">
        <f>G44*AO44</f>
        <v>0</v>
      </c>
      <c r="BI44" s="55">
        <f>G44*AP44</f>
        <v>0</v>
      </c>
      <c r="BJ44" s="55">
        <f>G44*H44</f>
        <v>0</v>
      </c>
      <c r="BK44" s="55"/>
      <c r="BL44" s="55"/>
      <c r="BW44" s="55">
        <v>21</v>
      </c>
    </row>
    <row r="45" spans="1:12" ht="13.5" customHeight="1">
      <c r="A45" s="59"/>
      <c r="D45" s="218" t="s">
        <v>129</v>
      </c>
      <c r="E45" s="219"/>
      <c r="F45" s="219"/>
      <c r="G45" s="219"/>
      <c r="H45" s="220"/>
      <c r="I45" s="219"/>
      <c r="J45" s="219"/>
      <c r="K45" s="219"/>
      <c r="L45" s="221"/>
    </row>
    <row r="46" spans="1:75" ht="13.5" customHeight="1">
      <c r="A46" s="1" t="s">
        <v>175</v>
      </c>
      <c r="B46" s="2" t="s">
        <v>116</v>
      </c>
      <c r="C46" s="2" t="s">
        <v>176</v>
      </c>
      <c r="D46" s="147" t="s">
        <v>177</v>
      </c>
      <c r="E46" s="148"/>
      <c r="F46" s="2" t="s">
        <v>123</v>
      </c>
      <c r="G46" s="55">
        <v>8</v>
      </c>
      <c r="H46" s="56">
        <v>0</v>
      </c>
      <c r="I46" s="55">
        <f>G46*H46</f>
        <v>0</v>
      </c>
      <c r="J46" s="55">
        <v>0</v>
      </c>
      <c r="K46" s="55">
        <f>G46*J46</f>
        <v>0</v>
      </c>
      <c r="L46" s="57" t="s">
        <v>124</v>
      </c>
      <c r="Z46" s="55">
        <f>IF(AQ46="5",BJ46,0)</f>
        <v>0</v>
      </c>
      <c r="AB46" s="55">
        <f>IF(AQ46="1",BH46,0)</f>
        <v>0</v>
      </c>
      <c r="AC46" s="55">
        <f>IF(AQ46="1",BI46,0)</f>
        <v>0</v>
      </c>
      <c r="AD46" s="55">
        <f>IF(AQ46="7",BH46,0)</f>
        <v>0</v>
      </c>
      <c r="AE46" s="55">
        <f>IF(AQ46="7",BI46,0)</f>
        <v>0</v>
      </c>
      <c r="AF46" s="55">
        <f>IF(AQ46="2",BH46,0)</f>
        <v>0</v>
      </c>
      <c r="AG46" s="55">
        <f>IF(AQ46="2",BI46,0)</f>
        <v>0</v>
      </c>
      <c r="AH46" s="55">
        <f>IF(AQ46="0",BJ46,0)</f>
        <v>0</v>
      </c>
      <c r="AI46" s="34" t="s">
        <v>116</v>
      </c>
      <c r="AJ46" s="55">
        <f>IF(AN46=0,I46,0)</f>
        <v>0</v>
      </c>
      <c r="AK46" s="55">
        <f>IF(AN46=12,I46,0)</f>
        <v>0</v>
      </c>
      <c r="AL46" s="55">
        <f>IF(AN46=21,I46,0)</f>
        <v>0</v>
      </c>
      <c r="AN46" s="55">
        <v>21</v>
      </c>
      <c r="AO46" s="55">
        <f>H46*0.701799486</f>
        <v>0</v>
      </c>
      <c r="AP46" s="55">
        <f>H46*(1-0.701799486)</f>
        <v>0</v>
      </c>
      <c r="AQ46" s="58" t="s">
        <v>125</v>
      </c>
      <c r="AV46" s="55">
        <f>AW46+AX46</f>
        <v>0</v>
      </c>
      <c r="AW46" s="55">
        <f>G46*AO46</f>
        <v>0</v>
      </c>
      <c r="AX46" s="55">
        <f>G46*AP46</f>
        <v>0</v>
      </c>
      <c r="AY46" s="58" t="s">
        <v>126</v>
      </c>
      <c r="AZ46" s="58" t="s">
        <v>127</v>
      </c>
      <c r="BA46" s="34" t="s">
        <v>128</v>
      </c>
      <c r="BC46" s="55">
        <f>AW46+AX46</f>
        <v>0</v>
      </c>
      <c r="BD46" s="55">
        <f>H46/(100-BE46)*100</f>
        <v>0</v>
      </c>
      <c r="BE46" s="55">
        <v>0</v>
      </c>
      <c r="BF46" s="55">
        <f>K46</f>
        <v>0</v>
      </c>
      <c r="BH46" s="55">
        <f>G46*AO46</f>
        <v>0</v>
      </c>
      <c r="BI46" s="55">
        <f>G46*AP46</f>
        <v>0</v>
      </c>
      <c r="BJ46" s="55">
        <f>G46*H46</f>
        <v>0</v>
      </c>
      <c r="BK46" s="55"/>
      <c r="BL46" s="55"/>
      <c r="BW46" s="55">
        <v>21</v>
      </c>
    </row>
    <row r="47" spans="1:12" ht="13.5" customHeight="1">
      <c r="A47" s="59"/>
      <c r="D47" s="218" t="s">
        <v>129</v>
      </c>
      <c r="E47" s="219"/>
      <c r="F47" s="219"/>
      <c r="G47" s="219"/>
      <c r="H47" s="220"/>
      <c r="I47" s="219"/>
      <c r="J47" s="219"/>
      <c r="K47" s="219"/>
      <c r="L47" s="221"/>
    </row>
    <row r="48" spans="1:75" ht="13.5" customHeight="1">
      <c r="A48" s="1" t="s">
        <v>178</v>
      </c>
      <c r="B48" s="2" t="s">
        <v>116</v>
      </c>
      <c r="C48" s="2" t="s">
        <v>179</v>
      </c>
      <c r="D48" s="147" t="s">
        <v>180</v>
      </c>
      <c r="E48" s="148"/>
      <c r="F48" s="2" t="s">
        <v>123</v>
      </c>
      <c r="G48" s="55">
        <v>2</v>
      </c>
      <c r="H48" s="56">
        <v>0</v>
      </c>
      <c r="I48" s="55">
        <f>G48*H48</f>
        <v>0</v>
      </c>
      <c r="J48" s="55">
        <v>0</v>
      </c>
      <c r="K48" s="55">
        <f>G48*J48</f>
        <v>0</v>
      </c>
      <c r="L48" s="57" t="s">
        <v>124</v>
      </c>
      <c r="Z48" s="55">
        <f>IF(AQ48="5",BJ48,0)</f>
        <v>0</v>
      </c>
      <c r="AB48" s="55">
        <f>IF(AQ48="1",BH48,0)</f>
        <v>0</v>
      </c>
      <c r="AC48" s="55">
        <f>IF(AQ48="1",BI48,0)</f>
        <v>0</v>
      </c>
      <c r="AD48" s="55">
        <f>IF(AQ48="7",BH48,0)</f>
        <v>0</v>
      </c>
      <c r="AE48" s="55">
        <f>IF(AQ48="7",BI48,0)</f>
        <v>0</v>
      </c>
      <c r="AF48" s="55">
        <f>IF(AQ48="2",BH48,0)</f>
        <v>0</v>
      </c>
      <c r="AG48" s="55">
        <f>IF(AQ48="2",BI48,0)</f>
        <v>0</v>
      </c>
      <c r="AH48" s="55">
        <f>IF(AQ48="0",BJ48,0)</f>
        <v>0</v>
      </c>
      <c r="AI48" s="34" t="s">
        <v>116</v>
      </c>
      <c r="AJ48" s="55">
        <f>IF(AN48=0,I48,0)</f>
        <v>0</v>
      </c>
      <c r="AK48" s="55">
        <f>IF(AN48=12,I48,0)</f>
        <v>0</v>
      </c>
      <c r="AL48" s="55">
        <f>IF(AN48=21,I48,0)</f>
        <v>0</v>
      </c>
      <c r="AN48" s="55">
        <v>21</v>
      </c>
      <c r="AO48" s="55">
        <f>H48*0.952203137</f>
        <v>0</v>
      </c>
      <c r="AP48" s="55">
        <f>H48*(1-0.952203137)</f>
        <v>0</v>
      </c>
      <c r="AQ48" s="58" t="s">
        <v>125</v>
      </c>
      <c r="AV48" s="55">
        <f>AW48+AX48</f>
        <v>0</v>
      </c>
      <c r="AW48" s="55">
        <f>G48*AO48</f>
        <v>0</v>
      </c>
      <c r="AX48" s="55">
        <f>G48*AP48</f>
        <v>0</v>
      </c>
      <c r="AY48" s="58" t="s">
        <v>126</v>
      </c>
      <c r="AZ48" s="58" t="s">
        <v>127</v>
      </c>
      <c r="BA48" s="34" t="s">
        <v>128</v>
      </c>
      <c r="BC48" s="55">
        <f>AW48+AX48</f>
        <v>0</v>
      </c>
      <c r="BD48" s="55">
        <f>H48/(100-BE48)*100</f>
        <v>0</v>
      </c>
      <c r="BE48" s="55">
        <v>0</v>
      </c>
      <c r="BF48" s="55">
        <f>K48</f>
        <v>0</v>
      </c>
      <c r="BH48" s="55">
        <f>G48*AO48</f>
        <v>0</v>
      </c>
      <c r="BI48" s="55">
        <f>G48*AP48</f>
        <v>0</v>
      </c>
      <c r="BJ48" s="55">
        <f>G48*H48</f>
        <v>0</v>
      </c>
      <c r="BK48" s="55"/>
      <c r="BL48" s="55"/>
      <c r="BW48" s="55">
        <v>21</v>
      </c>
    </row>
    <row r="49" spans="1:12" ht="13.5" customHeight="1">
      <c r="A49" s="59"/>
      <c r="D49" s="218" t="s">
        <v>129</v>
      </c>
      <c r="E49" s="219"/>
      <c r="F49" s="219"/>
      <c r="G49" s="219"/>
      <c r="H49" s="220"/>
      <c r="I49" s="219"/>
      <c r="J49" s="219"/>
      <c r="K49" s="219"/>
      <c r="L49" s="221"/>
    </row>
    <row r="50" spans="1:75" ht="13.5" customHeight="1">
      <c r="A50" s="1" t="s">
        <v>181</v>
      </c>
      <c r="B50" s="2" t="s">
        <v>116</v>
      </c>
      <c r="C50" s="2" t="s">
        <v>182</v>
      </c>
      <c r="D50" s="147" t="s">
        <v>183</v>
      </c>
      <c r="E50" s="148"/>
      <c r="F50" s="2" t="s">
        <v>123</v>
      </c>
      <c r="G50" s="55">
        <v>4</v>
      </c>
      <c r="H50" s="56">
        <v>0</v>
      </c>
      <c r="I50" s="55">
        <f>G50*H50</f>
        <v>0</v>
      </c>
      <c r="J50" s="55">
        <v>0</v>
      </c>
      <c r="K50" s="55">
        <f>G50*J50</f>
        <v>0</v>
      </c>
      <c r="L50" s="57" t="s">
        <v>124</v>
      </c>
      <c r="Z50" s="55">
        <f>IF(AQ50="5",BJ50,0)</f>
        <v>0</v>
      </c>
      <c r="AB50" s="55">
        <f>IF(AQ50="1",BH50,0)</f>
        <v>0</v>
      </c>
      <c r="AC50" s="55">
        <f>IF(AQ50="1",BI50,0)</f>
        <v>0</v>
      </c>
      <c r="AD50" s="55">
        <f>IF(AQ50="7",BH50,0)</f>
        <v>0</v>
      </c>
      <c r="AE50" s="55">
        <f>IF(AQ50="7",BI50,0)</f>
        <v>0</v>
      </c>
      <c r="AF50" s="55">
        <f>IF(AQ50="2",BH50,0)</f>
        <v>0</v>
      </c>
      <c r="AG50" s="55">
        <f>IF(AQ50="2",BI50,0)</f>
        <v>0</v>
      </c>
      <c r="AH50" s="55">
        <f>IF(AQ50="0",BJ50,0)</f>
        <v>0</v>
      </c>
      <c r="AI50" s="34" t="s">
        <v>116</v>
      </c>
      <c r="AJ50" s="55">
        <f>IF(AN50=0,I50,0)</f>
        <v>0</v>
      </c>
      <c r="AK50" s="55">
        <f>IF(AN50=12,I50,0)</f>
        <v>0</v>
      </c>
      <c r="AL50" s="55">
        <f>IF(AN50=21,I50,0)</f>
        <v>0</v>
      </c>
      <c r="AN50" s="55">
        <v>21</v>
      </c>
      <c r="AO50" s="55">
        <f>H50*0.887573964</f>
        <v>0</v>
      </c>
      <c r="AP50" s="55">
        <f>H50*(1-0.887573964)</f>
        <v>0</v>
      </c>
      <c r="AQ50" s="58" t="s">
        <v>125</v>
      </c>
      <c r="AV50" s="55">
        <f>AW50+AX50</f>
        <v>0</v>
      </c>
      <c r="AW50" s="55">
        <f>G50*AO50</f>
        <v>0</v>
      </c>
      <c r="AX50" s="55">
        <f>G50*AP50</f>
        <v>0</v>
      </c>
      <c r="AY50" s="58" t="s">
        <v>126</v>
      </c>
      <c r="AZ50" s="58" t="s">
        <v>127</v>
      </c>
      <c r="BA50" s="34" t="s">
        <v>128</v>
      </c>
      <c r="BC50" s="55">
        <f>AW50+AX50</f>
        <v>0</v>
      </c>
      <c r="BD50" s="55">
        <f>H50/(100-BE50)*100</f>
        <v>0</v>
      </c>
      <c r="BE50" s="55">
        <v>0</v>
      </c>
      <c r="BF50" s="55">
        <f>K50</f>
        <v>0</v>
      </c>
      <c r="BH50" s="55">
        <f>G50*AO50</f>
        <v>0</v>
      </c>
      <c r="BI50" s="55">
        <f>G50*AP50</f>
        <v>0</v>
      </c>
      <c r="BJ50" s="55">
        <f>G50*H50</f>
        <v>0</v>
      </c>
      <c r="BK50" s="55"/>
      <c r="BL50" s="55"/>
      <c r="BW50" s="55">
        <v>21</v>
      </c>
    </row>
    <row r="51" spans="1:12" ht="13.5" customHeight="1">
      <c r="A51" s="59"/>
      <c r="D51" s="218" t="s">
        <v>129</v>
      </c>
      <c r="E51" s="219"/>
      <c r="F51" s="219"/>
      <c r="G51" s="219"/>
      <c r="H51" s="220"/>
      <c r="I51" s="219"/>
      <c r="J51" s="219"/>
      <c r="K51" s="219"/>
      <c r="L51" s="221"/>
    </row>
    <row r="52" spans="1:75" ht="13.5" customHeight="1">
      <c r="A52" s="1" t="s">
        <v>184</v>
      </c>
      <c r="B52" s="2" t="s">
        <v>116</v>
      </c>
      <c r="C52" s="2" t="s">
        <v>185</v>
      </c>
      <c r="D52" s="147" t="s">
        <v>186</v>
      </c>
      <c r="E52" s="148"/>
      <c r="F52" s="2" t="s">
        <v>123</v>
      </c>
      <c r="G52" s="55">
        <v>4</v>
      </c>
      <c r="H52" s="56">
        <v>0</v>
      </c>
      <c r="I52" s="55">
        <f>G52*H52</f>
        <v>0</v>
      </c>
      <c r="J52" s="55">
        <v>0</v>
      </c>
      <c r="K52" s="55">
        <f>G52*J52</f>
        <v>0</v>
      </c>
      <c r="L52" s="57" t="s">
        <v>124</v>
      </c>
      <c r="Z52" s="55">
        <f>IF(AQ52="5",BJ52,0)</f>
        <v>0</v>
      </c>
      <c r="AB52" s="55">
        <f>IF(AQ52="1",BH52,0)</f>
        <v>0</v>
      </c>
      <c r="AC52" s="55">
        <f>IF(AQ52="1",BI52,0)</f>
        <v>0</v>
      </c>
      <c r="AD52" s="55">
        <f>IF(AQ52="7",BH52,0)</f>
        <v>0</v>
      </c>
      <c r="AE52" s="55">
        <f>IF(AQ52="7",BI52,0)</f>
        <v>0</v>
      </c>
      <c r="AF52" s="55">
        <f>IF(AQ52="2",BH52,0)</f>
        <v>0</v>
      </c>
      <c r="AG52" s="55">
        <f>IF(AQ52="2",BI52,0)</f>
        <v>0</v>
      </c>
      <c r="AH52" s="55">
        <f>IF(AQ52="0",BJ52,0)</f>
        <v>0</v>
      </c>
      <c r="AI52" s="34" t="s">
        <v>116</v>
      </c>
      <c r="AJ52" s="55">
        <f>IF(AN52=0,I52,0)</f>
        <v>0</v>
      </c>
      <c r="AK52" s="55">
        <f>IF(AN52=12,I52,0)</f>
        <v>0</v>
      </c>
      <c r="AL52" s="55">
        <f>IF(AN52=21,I52,0)</f>
        <v>0</v>
      </c>
      <c r="AN52" s="55">
        <v>21</v>
      </c>
      <c r="AO52" s="55">
        <f>H52*0.923076923</f>
        <v>0</v>
      </c>
      <c r="AP52" s="55">
        <f>H52*(1-0.923076923)</f>
        <v>0</v>
      </c>
      <c r="AQ52" s="58" t="s">
        <v>125</v>
      </c>
      <c r="AV52" s="55">
        <f>AW52+AX52</f>
        <v>0</v>
      </c>
      <c r="AW52" s="55">
        <f>G52*AO52</f>
        <v>0</v>
      </c>
      <c r="AX52" s="55">
        <f>G52*AP52</f>
        <v>0</v>
      </c>
      <c r="AY52" s="58" t="s">
        <v>126</v>
      </c>
      <c r="AZ52" s="58" t="s">
        <v>127</v>
      </c>
      <c r="BA52" s="34" t="s">
        <v>128</v>
      </c>
      <c r="BC52" s="55">
        <f>AW52+AX52</f>
        <v>0</v>
      </c>
      <c r="BD52" s="55">
        <f>H52/(100-BE52)*100</f>
        <v>0</v>
      </c>
      <c r="BE52" s="55">
        <v>0</v>
      </c>
      <c r="BF52" s="55">
        <f>K52</f>
        <v>0</v>
      </c>
      <c r="BH52" s="55">
        <f>G52*AO52</f>
        <v>0</v>
      </c>
      <c r="BI52" s="55">
        <f>G52*AP52</f>
        <v>0</v>
      </c>
      <c r="BJ52" s="55">
        <f>G52*H52</f>
        <v>0</v>
      </c>
      <c r="BK52" s="55"/>
      <c r="BL52" s="55"/>
      <c r="BW52" s="55">
        <v>21</v>
      </c>
    </row>
    <row r="53" spans="1:12" ht="13.5" customHeight="1">
      <c r="A53" s="59"/>
      <c r="D53" s="218" t="s">
        <v>129</v>
      </c>
      <c r="E53" s="219"/>
      <c r="F53" s="219"/>
      <c r="G53" s="219"/>
      <c r="H53" s="220"/>
      <c r="I53" s="219"/>
      <c r="J53" s="219"/>
      <c r="K53" s="219"/>
      <c r="L53" s="221"/>
    </row>
    <row r="54" spans="1:75" ht="13.5" customHeight="1">
      <c r="A54" s="1" t="s">
        <v>187</v>
      </c>
      <c r="B54" s="2" t="s">
        <v>116</v>
      </c>
      <c r="C54" s="2" t="s">
        <v>188</v>
      </c>
      <c r="D54" s="147" t="s">
        <v>189</v>
      </c>
      <c r="E54" s="148"/>
      <c r="F54" s="2" t="s">
        <v>123</v>
      </c>
      <c r="G54" s="55">
        <v>2</v>
      </c>
      <c r="H54" s="56">
        <v>0</v>
      </c>
      <c r="I54" s="55">
        <f>G54*H54</f>
        <v>0</v>
      </c>
      <c r="J54" s="55">
        <v>0</v>
      </c>
      <c r="K54" s="55">
        <f>G54*J54</f>
        <v>0</v>
      </c>
      <c r="L54" s="57" t="s">
        <v>124</v>
      </c>
      <c r="Z54" s="55">
        <f>IF(AQ54="5",BJ54,0)</f>
        <v>0</v>
      </c>
      <c r="AB54" s="55">
        <f>IF(AQ54="1",BH54,0)</f>
        <v>0</v>
      </c>
      <c r="AC54" s="55">
        <f>IF(AQ54="1",BI54,0)</f>
        <v>0</v>
      </c>
      <c r="AD54" s="55">
        <f>IF(AQ54="7",BH54,0)</f>
        <v>0</v>
      </c>
      <c r="AE54" s="55">
        <f>IF(AQ54="7",BI54,0)</f>
        <v>0</v>
      </c>
      <c r="AF54" s="55">
        <f>IF(AQ54="2",BH54,0)</f>
        <v>0</v>
      </c>
      <c r="AG54" s="55">
        <f>IF(AQ54="2",BI54,0)</f>
        <v>0</v>
      </c>
      <c r="AH54" s="55">
        <f>IF(AQ54="0",BJ54,0)</f>
        <v>0</v>
      </c>
      <c r="AI54" s="34" t="s">
        <v>116</v>
      </c>
      <c r="AJ54" s="55">
        <f>IF(AN54=0,I54,0)</f>
        <v>0</v>
      </c>
      <c r="AK54" s="55">
        <f>IF(AN54=12,I54,0)</f>
        <v>0</v>
      </c>
      <c r="AL54" s="55">
        <f>IF(AN54=21,I54,0)</f>
        <v>0</v>
      </c>
      <c r="AN54" s="55">
        <v>21</v>
      </c>
      <c r="AO54" s="55">
        <f>H54*0.95</f>
        <v>0</v>
      </c>
      <c r="AP54" s="55">
        <f>H54*(1-0.95)</f>
        <v>0</v>
      </c>
      <c r="AQ54" s="58" t="s">
        <v>125</v>
      </c>
      <c r="AV54" s="55">
        <f>AW54+AX54</f>
        <v>0</v>
      </c>
      <c r="AW54" s="55">
        <f>G54*AO54</f>
        <v>0</v>
      </c>
      <c r="AX54" s="55">
        <f>G54*AP54</f>
        <v>0</v>
      </c>
      <c r="AY54" s="58" t="s">
        <v>126</v>
      </c>
      <c r="AZ54" s="58" t="s">
        <v>127</v>
      </c>
      <c r="BA54" s="34" t="s">
        <v>128</v>
      </c>
      <c r="BC54" s="55">
        <f>AW54+AX54</f>
        <v>0</v>
      </c>
      <c r="BD54" s="55">
        <f>H54/(100-BE54)*100</f>
        <v>0</v>
      </c>
      <c r="BE54" s="55">
        <v>0</v>
      </c>
      <c r="BF54" s="55">
        <f>K54</f>
        <v>0</v>
      </c>
      <c r="BH54" s="55">
        <f>G54*AO54</f>
        <v>0</v>
      </c>
      <c r="BI54" s="55">
        <f>G54*AP54</f>
        <v>0</v>
      </c>
      <c r="BJ54" s="55">
        <f>G54*H54</f>
        <v>0</v>
      </c>
      <c r="BK54" s="55"/>
      <c r="BL54" s="55"/>
      <c r="BW54" s="55">
        <v>21</v>
      </c>
    </row>
    <row r="55" spans="1:12" ht="13.5" customHeight="1">
      <c r="A55" s="59"/>
      <c r="D55" s="218" t="s">
        <v>129</v>
      </c>
      <c r="E55" s="219"/>
      <c r="F55" s="219"/>
      <c r="G55" s="219"/>
      <c r="H55" s="220"/>
      <c r="I55" s="219"/>
      <c r="J55" s="219"/>
      <c r="K55" s="219"/>
      <c r="L55" s="221"/>
    </row>
    <row r="56" spans="1:75" ht="13.5" customHeight="1">
      <c r="A56" s="1" t="s">
        <v>190</v>
      </c>
      <c r="B56" s="2" t="s">
        <v>116</v>
      </c>
      <c r="C56" s="2" t="s">
        <v>191</v>
      </c>
      <c r="D56" s="147" t="s">
        <v>192</v>
      </c>
      <c r="E56" s="148"/>
      <c r="F56" s="2" t="s">
        <v>123</v>
      </c>
      <c r="G56" s="55">
        <v>17</v>
      </c>
      <c r="H56" s="56">
        <v>0</v>
      </c>
      <c r="I56" s="55">
        <f>G56*H56</f>
        <v>0</v>
      </c>
      <c r="J56" s="55">
        <v>0</v>
      </c>
      <c r="K56" s="55">
        <f>G56*J56</f>
        <v>0</v>
      </c>
      <c r="L56" s="57" t="s">
        <v>124</v>
      </c>
      <c r="Z56" s="55">
        <f>IF(AQ56="5",BJ56,0)</f>
        <v>0</v>
      </c>
      <c r="AB56" s="55">
        <f>IF(AQ56="1",BH56,0)</f>
        <v>0</v>
      </c>
      <c r="AC56" s="55">
        <f>IF(AQ56="1",BI56,0)</f>
        <v>0</v>
      </c>
      <c r="AD56" s="55">
        <f>IF(AQ56="7",BH56,0)</f>
        <v>0</v>
      </c>
      <c r="AE56" s="55">
        <f>IF(AQ56="7",BI56,0)</f>
        <v>0</v>
      </c>
      <c r="AF56" s="55">
        <f>IF(AQ56="2",BH56,0)</f>
        <v>0</v>
      </c>
      <c r="AG56" s="55">
        <f>IF(AQ56="2",BI56,0)</f>
        <v>0</v>
      </c>
      <c r="AH56" s="55">
        <f>IF(AQ56="0",BJ56,0)</f>
        <v>0</v>
      </c>
      <c r="AI56" s="34" t="s">
        <v>116</v>
      </c>
      <c r="AJ56" s="55">
        <f>IF(AN56=0,I56,0)</f>
        <v>0</v>
      </c>
      <c r="AK56" s="55">
        <f>IF(AN56=12,I56,0)</f>
        <v>0</v>
      </c>
      <c r="AL56" s="55">
        <f>IF(AN56=21,I56,0)</f>
        <v>0</v>
      </c>
      <c r="AN56" s="55">
        <v>21</v>
      </c>
      <c r="AO56" s="55">
        <f>H56*0.761904762</f>
        <v>0</v>
      </c>
      <c r="AP56" s="55">
        <f>H56*(1-0.761904762)</f>
        <v>0</v>
      </c>
      <c r="AQ56" s="58" t="s">
        <v>125</v>
      </c>
      <c r="AV56" s="55">
        <f>AW56+AX56</f>
        <v>0</v>
      </c>
      <c r="AW56" s="55">
        <f>G56*AO56</f>
        <v>0</v>
      </c>
      <c r="AX56" s="55">
        <f>G56*AP56</f>
        <v>0</v>
      </c>
      <c r="AY56" s="58" t="s">
        <v>126</v>
      </c>
      <c r="AZ56" s="58" t="s">
        <v>127</v>
      </c>
      <c r="BA56" s="34" t="s">
        <v>128</v>
      </c>
      <c r="BC56" s="55">
        <f>AW56+AX56</f>
        <v>0</v>
      </c>
      <c r="BD56" s="55">
        <f>H56/(100-BE56)*100</f>
        <v>0</v>
      </c>
      <c r="BE56" s="55">
        <v>0</v>
      </c>
      <c r="BF56" s="55">
        <f>K56</f>
        <v>0</v>
      </c>
      <c r="BH56" s="55">
        <f>G56*AO56</f>
        <v>0</v>
      </c>
      <c r="BI56" s="55">
        <f>G56*AP56</f>
        <v>0</v>
      </c>
      <c r="BJ56" s="55">
        <f>G56*H56</f>
        <v>0</v>
      </c>
      <c r="BK56" s="55"/>
      <c r="BL56" s="55"/>
      <c r="BW56" s="55">
        <v>21</v>
      </c>
    </row>
    <row r="57" spans="1:12" ht="13.5" customHeight="1">
      <c r="A57" s="59"/>
      <c r="D57" s="218" t="s">
        <v>129</v>
      </c>
      <c r="E57" s="219"/>
      <c r="F57" s="219"/>
      <c r="G57" s="219"/>
      <c r="H57" s="220"/>
      <c r="I57" s="219"/>
      <c r="J57" s="219"/>
      <c r="K57" s="219"/>
      <c r="L57" s="221"/>
    </row>
    <row r="58" spans="1:75" ht="13.5" customHeight="1">
      <c r="A58" s="1" t="s">
        <v>193</v>
      </c>
      <c r="B58" s="2" t="s">
        <v>116</v>
      </c>
      <c r="C58" s="2" t="s">
        <v>194</v>
      </c>
      <c r="D58" s="147" t="s">
        <v>195</v>
      </c>
      <c r="E58" s="148"/>
      <c r="F58" s="2" t="s">
        <v>123</v>
      </c>
      <c r="G58" s="55">
        <v>19</v>
      </c>
      <c r="H58" s="56">
        <v>0</v>
      </c>
      <c r="I58" s="55">
        <f>G58*H58</f>
        <v>0</v>
      </c>
      <c r="J58" s="55">
        <v>0</v>
      </c>
      <c r="K58" s="55">
        <f>G58*J58</f>
        <v>0</v>
      </c>
      <c r="L58" s="57" t="s">
        <v>124</v>
      </c>
      <c r="Z58" s="55">
        <f>IF(AQ58="5",BJ58,0)</f>
        <v>0</v>
      </c>
      <c r="AB58" s="55">
        <f>IF(AQ58="1",BH58,0)</f>
        <v>0</v>
      </c>
      <c r="AC58" s="55">
        <f>IF(AQ58="1",BI58,0)</f>
        <v>0</v>
      </c>
      <c r="AD58" s="55">
        <f>IF(AQ58="7",BH58,0)</f>
        <v>0</v>
      </c>
      <c r="AE58" s="55">
        <f>IF(AQ58="7",BI58,0)</f>
        <v>0</v>
      </c>
      <c r="AF58" s="55">
        <f>IF(AQ58="2",BH58,0)</f>
        <v>0</v>
      </c>
      <c r="AG58" s="55">
        <f>IF(AQ58="2",BI58,0)</f>
        <v>0</v>
      </c>
      <c r="AH58" s="55">
        <f>IF(AQ58="0",BJ58,0)</f>
        <v>0</v>
      </c>
      <c r="AI58" s="34" t="s">
        <v>116</v>
      </c>
      <c r="AJ58" s="55">
        <f>IF(AN58=0,I58,0)</f>
        <v>0</v>
      </c>
      <c r="AK58" s="55">
        <f>IF(AN58=12,I58,0)</f>
        <v>0</v>
      </c>
      <c r="AL58" s="55">
        <f>IF(AN58=21,I58,0)</f>
        <v>0</v>
      </c>
      <c r="AN58" s="55">
        <v>21</v>
      </c>
      <c r="AO58" s="55">
        <f>H58*0.642857143</f>
        <v>0</v>
      </c>
      <c r="AP58" s="55">
        <f>H58*(1-0.642857143)</f>
        <v>0</v>
      </c>
      <c r="AQ58" s="58" t="s">
        <v>125</v>
      </c>
      <c r="AV58" s="55">
        <f>AW58+AX58</f>
        <v>0</v>
      </c>
      <c r="AW58" s="55">
        <f>G58*AO58</f>
        <v>0</v>
      </c>
      <c r="AX58" s="55">
        <f>G58*AP58</f>
        <v>0</v>
      </c>
      <c r="AY58" s="58" t="s">
        <v>126</v>
      </c>
      <c r="AZ58" s="58" t="s">
        <v>127</v>
      </c>
      <c r="BA58" s="34" t="s">
        <v>128</v>
      </c>
      <c r="BC58" s="55">
        <f>AW58+AX58</f>
        <v>0</v>
      </c>
      <c r="BD58" s="55">
        <f>H58/(100-BE58)*100</f>
        <v>0</v>
      </c>
      <c r="BE58" s="55">
        <v>0</v>
      </c>
      <c r="BF58" s="55">
        <f>K58</f>
        <v>0</v>
      </c>
      <c r="BH58" s="55">
        <f>G58*AO58</f>
        <v>0</v>
      </c>
      <c r="BI58" s="55">
        <f>G58*AP58</f>
        <v>0</v>
      </c>
      <c r="BJ58" s="55">
        <f>G58*H58</f>
        <v>0</v>
      </c>
      <c r="BK58" s="55"/>
      <c r="BL58" s="55"/>
      <c r="BW58" s="55">
        <v>21</v>
      </c>
    </row>
    <row r="59" spans="1:12" ht="13.5" customHeight="1">
      <c r="A59" s="59"/>
      <c r="D59" s="218" t="s">
        <v>129</v>
      </c>
      <c r="E59" s="219"/>
      <c r="F59" s="219"/>
      <c r="G59" s="219"/>
      <c r="H59" s="220"/>
      <c r="I59" s="219"/>
      <c r="J59" s="219"/>
      <c r="K59" s="219"/>
      <c r="L59" s="221"/>
    </row>
    <row r="60" spans="1:75" ht="13.5" customHeight="1">
      <c r="A60" s="1" t="s">
        <v>196</v>
      </c>
      <c r="B60" s="2" t="s">
        <v>116</v>
      </c>
      <c r="C60" s="2" t="s">
        <v>197</v>
      </c>
      <c r="D60" s="147" t="s">
        <v>198</v>
      </c>
      <c r="E60" s="148"/>
      <c r="F60" s="2" t="s">
        <v>174</v>
      </c>
      <c r="G60" s="55">
        <v>50</v>
      </c>
      <c r="H60" s="56">
        <v>0</v>
      </c>
      <c r="I60" s="55">
        <f>G60*H60</f>
        <v>0</v>
      </c>
      <c r="J60" s="55">
        <v>0</v>
      </c>
      <c r="K60" s="55">
        <f>G60*J60</f>
        <v>0</v>
      </c>
      <c r="L60" s="57" t="s">
        <v>124</v>
      </c>
      <c r="Z60" s="55">
        <f>IF(AQ60="5",BJ60,0)</f>
        <v>0</v>
      </c>
      <c r="AB60" s="55">
        <f>IF(AQ60="1",BH60,0)</f>
        <v>0</v>
      </c>
      <c r="AC60" s="55">
        <f>IF(AQ60="1",BI60,0)</f>
        <v>0</v>
      </c>
      <c r="AD60" s="55">
        <f>IF(AQ60="7",BH60,0)</f>
        <v>0</v>
      </c>
      <c r="AE60" s="55">
        <f>IF(AQ60="7",BI60,0)</f>
        <v>0</v>
      </c>
      <c r="AF60" s="55">
        <f>IF(AQ60="2",BH60,0)</f>
        <v>0</v>
      </c>
      <c r="AG60" s="55">
        <f>IF(AQ60="2",BI60,0)</f>
        <v>0</v>
      </c>
      <c r="AH60" s="55">
        <f>IF(AQ60="0",BJ60,0)</f>
        <v>0</v>
      </c>
      <c r="AI60" s="34" t="s">
        <v>116</v>
      </c>
      <c r="AJ60" s="55">
        <f>IF(AN60=0,I60,0)</f>
        <v>0</v>
      </c>
      <c r="AK60" s="55">
        <f>IF(AN60=12,I60,0)</f>
        <v>0</v>
      </c>
      <c r="AL60" s="55">
        <f>IF(AN60=21,I60,0)</f>
        <v>0</v>
      </c>
      <c r="AN60" s="55">
        <v>21</v>
      </c>
      <c r="AO60" s="55">
        <f>H60*0.25</f>
        <v>0</v>
      </c>
      <c r="AP60" s="55">
        <f>H60*(1-0.25)</f>
        <v>0</v>
      </c>
      <c r="AQ60" s="58" t="s">
        <v>125</v>
      </c>
      <c r="AV60" s="55">
        <f>AW60+AX60</f>
        <v>0</v>
      </c>
      <c r="AW60" s="55">
        <f>G60*AO60</f>
        <v>0</v>
      </c>
      <c r="AX60" s="55">
        <f>G60*AP60</f>
        <v>0</v>
      </c>
      <c r="AY60" s="58" t="s">
        <v>126</v>
      </c>
      <c r="AZ60" s="58" t="s">
        <v>127</v>
      </c>
      <c r="BA60" s="34" t="s">
        <v>128</v>
      </c>
      <c r="BC60" s="55">
        <f>AW60+AX60</f>
        <v>0</v>
      </c>
      <c r="BD60" s="55">
        <f>H60/(100-BE60)*100</f>
        <v>0</v>
      </c>
      <c r="BE60" s="55">
        <v>0</v>
      </c>
      <c r="BF60" s="55">
        <f>K60</f>
        <v>0</v>
      </c>
      <c r="BH60" s="55">
        <f>G60*AO60</f>
        <v>0</v>
      </c>
      <c r="BI60" s="55">
        <f>G60*AP60</f>
        <v>0</v>
      </c>
      <c r="BJ60" s="55">
        <f>G60*H60</f>
        <v>0</v>
      </c>
      <c r="BK60" s="55"/>
      <c r="BL60" s="55"/>
      <c r="BW60" s="55">
        <v>21</v>
      </c>
    </row>
    <row r="61" spans="1:12" ht="13.5" customHeight="1">
      <c r="A61" s="59"/>
      <c r="D61" s="218" t="s">
        <v>129</v>
      </c>
      <c r="E61" s="219"/>
      <c r="F61" s="219"/>
      <c r="G61" s="219"/>
      <c r="H61" s="220"/>
      <c r="I61" s="219"/>
      <c r="J61" s="219"/>
      <c r="K61" s="219"/>
      <c r="L61" s="221"/>
    </row>
    <row r="62" spans="1:75" ht="13.5" customHeight="1">
      <c r="A62" s="1" t="s">
        <v>199</v>
      </c>
      <c r="B62" s="2" t="s">
        <v>116</v>
      </c>
      <c r="C62" s="2" t="s">
        <v>200</v>
      </c>
      <c r="D62" s="147" t="s">
        <v>201</v>
      </c>
      <c r="E62" s="148"/>
      <c r="F62" s="2" t="s">
        <v>174</v>
      </c>
      <c r="G62" s="55">
        <v>350</v>
      </c>
      <c r="H62" s="56">
        <v>0</v>
      </c>
      <c r="I62" s="55">
        <f>G62*H62</f>
        <v>0</v>
      </c>
      <c r="J62" s="55">
        <v>0</v>
      </c>
      <c r="K62" s="55">
        <f>G62*J62</f>
        <v>0</v>
      </c>
      <c r="L62" s="57" t="s">
        <v>124</v>
      </c>
      <c r="Z62" s="55">
        <f>IF(AQ62="5",BJ62,0)</f>
        <v>0</v>
      </c>
      <c r="AB62" s="55">
        <f>IF(AQ62="1",BH62,0)</f>
        <v>0</v>
      </c>
      <c r="AC62" s="55">
        <f>IF(AQ62="1",BI62,0)</f>
        <v>0</v>
      </c>
      <c r="AD62" s="55">
        <f>IF(AQ62="7",BH62,0)</f>
        <v>0</v>
      </c>
      <c r="AE62" s="55">
        <f>IF(AQ62="7",BI62,0)</f>
        <v>0</v>
      </c>
      <c r="AF62" s="55">
        <f>IF(AQ62="2",BH62,0)</f>
        <v>0</v>
      </c>
      <c r="AG62" s="55">
        <f>IF(AQ62="2",BI62,0)</f>
        <v>0</v>
      </c>
      <c r="AH62" s="55">
        <f>IF(AQ62="0",BJ62,0)</f>
        <v>0</v>
      </c>
      <c r="AI62" s="34" t="s">
        <v>116</v>
      </c>
      <c r="AJ62" s="55">
        <f>IF(AN62=0,I62,0)</f>
        <v>0</v>
      </c>
      <c r="AK62" s="55">
        <f>IF(AN62=12,I62,0)</f>
        <v>0</v>
      </c>
      <c r="AL62" s="55">
        <f>IF(AN62=21,I62,0)</f>
        <v>0</v>
      </c>
      <c r="AN62" s="55">
        <v>21</v>
      </c>
      <c r="AO62" s="55">
        <f>H62*0.307692308</f>
        <v>0</v>
      </c>
      <c r="AP62" s="55">
        <f>H62*(1-0.307692308)</f>
        <v>0</v>
      </c>
      <c r="AQ62" s="58" t="s">
        <v>125</v>
      </c>
      <c r="AV62" s="55">
        <f>AW62+AX62</f>
        <v>0</v>
      </c>
      <c r="AW62" s="55">
        <f>G62*AO62</f>
        <v>0</v>
      </c>
      <c r="AX62" s="55">
        <f>G62*AP62</f>
        <v>0</v>
      </c>
      <c r="AY62" s="58" t="s">
        <v>126</v>
      </c>
      <c r="AZ62" s="58" t="s">
        <v>127</v>
      </c>
      <c r="BA62" s="34" t="s">
        <v>128</v>
      </c>
      <c r="BC62" s="55">
        <f>AW62+AX62</f>
        <v>0</v>
      </c>
      <c r="BD62" s="55">
        <f>H62/(100-BE62)*100</f>
        <v>0</v>
      </c>
      <c r="BE62" s="55">
        <v>0</v>
      </c>
      <c r="BF62" s="55">
        <f>K62</f>
        <v>0</v>
      </c>
      <c r="BH62" s="55">
        <f>G62*AO62</f>
        <v>0</v>
      </c>
      <c r="BI62" s="55">
        <f>G62*AP62</f>
        <v>0</v>
      </c>
      <c r="BJ62" s="55">
        <f>G62*H62</f>
        <v>0</v>
      </c>
      <c r="BK62" s="55"/>
      <c r="BL62" s="55"/>
      <c r="BW62" s="55">
        <v>21</v>
      </c>
    </row>
    <row r="63" spans="1:12" ht="13.5" customHeight="1">
      <c r="A63" s="59"/>
      <c r="D63" s="218" t="s">
        <v>129</v>
      </c>
      <c r="E63" s="219"/>
      <c r="F63" s="219"/>
      <c r="G63" s="219"/>
      <c r="H63" s="220"/>
      <c r="I63" s="219"/>
      <c r="J63" s="219"/>
      <c r="K63" s="219"/>
      <c r="L63" s="221"/>
    </row>
    <row r="64" spans="1:75" ht="13.5" customHeight="1">
      <c r="A64" s="1" t="s">
        <v>202</v>
      </c>
      <c r="B64" s="2" t="s">
        <v>116</v>
      </c>
      <c r="C64" s="2" t="s">
        <v>203</v>
      </c>
      <c r="D64" s="147" t="s">
        <v>204</v>
      </c>
      <c r="E64" s="148"/>
      <c r="F64" s="2" t="s">
        <v>174</v>
      </c>
      <c r="G64" s="55">
        <v>850</v>
      </c>
      <c r="H64" s="56">
        <v>0</v>
      </c>
      <c r="I64" s="55">
        <f>G64*H64</f>
        <v>0</v>
      </c>
      <c r="J64" s="55">
        <v>0</v>
      </c>
      <c r="K64" s="55">
        <f>G64*J64</f>
        <v>0</v>
      </c>
      <c r="L64" s="57" t="s">
        <v>124</v>
      </c>
      <c r="Z64" s="55">
        <f>IF(AQ64="5",BJ64,0)</f>
        <v>0</v>
      </c>
      <c r="AB64" s="55">
        <f>IF(AQ64="1",BH64,0)</f>
        <v>0</v>
      </c>
      <c r="AC64" s="55">
        <f>IF(AQ64="1",BI64,0)</f>
        <v>0</v>
      </c>
      <c r="AD64" s="55">
        <f>IF(AQ64="7",BH64,0)</f>
        <v>0</v>
      </c>
      <c r="AE64" s="55">
        <f>IF(AQ64="7",BI64,0)</f>
        <v>0</v>
      </c>
      <c r="AF64" s="55">
        <f>IF(AQ64="2",BH64,0)</f>
        <v>0</v>
      </c>
      <c r="AG64" s="55">
        <f>IF(AQ64="2",BI64,0)</f>
        <v>0</v>
      </c>
      <c r="AH64" s="55">
        <f>IF(AQ64="0",BJ64,0)</f>
        <v>0</v>
      </c>
      <c r="AI64" s="34" t="s">
        <v>116</v>
      </c>
      <c r="AJ64" s="55">
        <f>IF(AN64=0,I64,0)</f>
        <v>0</v>
      </c>
      <c r="AK64" s="55">
        <f>IF(AN64=12,I64,0)</f>
        <v>0</v>
      </c>
      <c r="AL64" s="55">
        <f>IF(AN64=21,I64,0)</f>
        <v>0</v>
      </c>
      <c r="AN64" s="55">
        <v>21</v>
      </c>
      <c r="AO64" s="55">
        <f>H64*0.307692308</f>
        <v>0</v>
      </c>
      <c r="AP64" s="55">
        <f>H64*(1-0.307692308)</f>
        <v>0</v>
      </c>
      <c r="AQ64" s="58" t="s">
        <v>125</v>
      </c>
      <c r="AV64" s="55">
        <f>AW64+AX64</f>
        <v>0</v>
      </c>
      <c r="AW64" s="55">
        <f>G64*AO64</f>
        <v>0</v>
      </c>
      <c r="AX64" s="55">
        <f>G64*AP64</f>
        <v>0</v>
      </c>
      <c r="AY64" s="58" t="s">
        <v>126</v>
      </c>
      <c r="AZ64" s="58" t="s">
        <v>127</v>
      </c>
      <c r="BA64" s="34" t="s">
        <v>128</v>
      </c>
      <c r="BC64" s="55">
        <f>AW64+AX64</f>
        <v>0</v>
      </c>
      <c r="BD64" s="55">
        <f>H64/(100-BE64)*100</f>
        <v>0</v>
      </c>
      <c r="BE64" s="55">
        <v>0</v>
      </c>
      <c r="BF64" s="55">
        <f>K64</f>
        <v>0</v>
      </c>
      <c r="BH64" s="55">
        <f>G64*AO64</f>
        <v>0</v>
      </c>
      <c r="BI64" s="55">
        <f>G64*AP64</f>
        <v>0</v>
      </c>
      <c r="BJ64" s="55">
        <f>G64*H64</f>
        <v>0</v>
      </c>
      <c r="BK64" s="55"/>
      <c r="BL64" s="55"/>
      <c r="BW64" s="55">
        <v>21</v>
      </c>
    </row>
    <row r="65" spans="1:12" ht="13.5" customHeight="1">
      <c r="A65" s="59"/>
      <c r="D65" s="218" t="s">
        <v>129</v>
      </c>
      <c r="E65" s="219"/>
      <c r="F65" s="219"/>
      <c r="G65" s="219"/>
      <c r="H65" s="220"/>
      <c r="I65" s="219"/>
      <c r="J65" s="219"/>
      <c r="K65" s="219"/>
      <c r="L65" s="221"/>
    </row>
    <row r="66" spans="1:75" ht="13.5" customHeight="1">
      <c r="A66" s="1" t="s">
        <v>205</v>
      </c>
      <c r="B66" s="2" t="s">
        <v>116</v>
      </c>
      <c r="C66" s="2" t="s">
        <v>206</v>
      </c>
      <c r="D66" s="147" t="s">
        <v>207</v>
      </c>
      <c r="E66" s="148"/>
      <c r="F66" s="2" t="s">
        <v>174</v>
      </c>
      <c r="G66" s="55">
        <v>200</v>
      </c>
      <c r="H66" s="56">
        <v>0</v>
      </c>
      <c r="I66" s="55">
        <f>G66*H66</f>
        <v>0</v>
      </c>
      <c r="J66" s="55">
        <v>0</v>
      </c>
      <c r="K66" s="55">
        <f>G66*J66</f>
        <v>0</v>
      </c>
      <c r="L66" s="57" t="s">
        <v>124</v>
      </c>
      <c r="Z66" s="55">
        <f>IF(AQ66="5",BJ66,0)</f>
        <v>0</v>
      </c>
      <c r="AB66" s="55">
        <f>IF(AQ66="1",BH66,0)</f>
        <v>0</v>
      </c>
      <c r="AC66" s="55">
        <f>IF(AQ66="1",BI66,0)</f>
        <v>0</v>
      </c>
      <c r="AD66" s="55">
        <f>IF(AQ66="7",BH66,0)</f>
        <v>0</v>
      </c>
      <c r="AE66" s="55">
        <f>IF(AQ66="7",BI66,0)</f>
        <v>0</v>
      </c>
      <c r="AF66" s="55">
        <f>IF(AQ66="2",BH66,0)</f>
        <v>0</v>
      </c>
      <c r="AG66" s="55">
        <f>IF(AQ66="2",BI66,0)</f>
        <v>0</v>
      </c>
      <c r="AH66" s="55">
        <f>IF(AQ66="0",BJ66,0)</f>
        <v>0</v>
      </c>
      <c r="AI66" s="34" t="s">
        <v>116</v>
      </c>
      <c r="AJ66" s="55">
        <f>IF(AN66=0,I66,0)</f>
        <v>0</v>
      </c>
      <c r="AK66" s="55">
        <f>IF(AN66=12,I66,0)</f>
        <v>0</v>
      </c>
      <c r="AL66" s="55">
        <f>IF(AN66=21,I66,0)</f>
        <v>0</v>
      </c>
      <c r="AN66" s="55">
        <v>21</v>
      </c>
      <c r="AO66" s="55">
        <f>H66*0.470588235</f>
        <v>0</v>
      </c>
      <c r="AP66" s="55">
        <f>H66*(1-0.470588235)</f>
        <v>0</v>
      </c>
      <c r="AQ66" s="58" t="s">
        <v>125</v>
      </c>
      <c r="AV66" s="55">
        <f>AW66+AX66</f>
        <v>0</v>
      </c>
      <c r="AW66" s="55">
        <f>G66*AO66</f>
        <v>0</v>
      </c>
      <c r="AX66" s="55">
        <f>G66*AP66</f>
        <v>0</v>
      </c>
      <c r="AY66" s="58" t="s">
        <v>126</v>
      </c>
      <c r="AZ66" s="58" t="s">
        <v>127</v>
      </c>
      <c r="BA66" s="34" t="s">
        <v>128</v>
      </c>
      <c r="BC66" s="55">
        <f>AW66+AX66</f>
        <v>0</v>
      </c>
      <c r="BD66" s="55">
        <f>H66/(100-BE66)*100</f>
        <v>0</v>
      </c>
      <c r="BE66" s="55">
        <v>0</v>
      </c>
      <c r="BF66" s="55">
        <f>K66</f>
        <v>0</v>
      </c>
      <c r="BH66" s="55">
        <f>G66*AO66</f>
        <v>0</v>
      </c>
      <c r="BI66" s="55">
        <f>G66*AP66</f>
        <v>0</v>
      </c>
      <c r="BJ66" s="55">
        <f>G66*H66</f>
        <v>0</v>
      </c>
      <c r="BK66" s="55"/>
      <c r="BL66" s="55"/>
      <c r="BW66" s="55">
        <v>21</v>
      </c>
    </row>
    <row r="67" spans="1:12" ht="13.5" customHeight="1">
      <c r="A67" s="59"/>
      <c r="D67" s="218" t="s">
        <v>129</v>
      </c>
      <c r="E67" s="219"/>
      <c r="F67" s="219"/>
      <c r="G67" s="219"/>
      <c r="H67" s="220"/>
      <c r="I67" s="219"/>
      <c r="J67" s="219"/>
      <c r="K67" s="219"/>
      <c r="L67" s="221"/>
    </row>
    <row r="68" spans="1:75" ht="13.5" customHeight="1">
      <c r="A68" s="1" t="s">
        <v>208</v>
      </c>
      <c r="B68" s="2" t="s">
        <v>116</v>
      </c>
      <c r="C68" s="2" t="s">
        <v>209</v>
      </c>
      <c r="D68" s="147" t="s">
        <v>210</v>
      </c>
      <c r="E68" s="148"/>
      <c r="F68" s="2" t="s">
        <v>174</v>
      </c>
      <c r="G68" s="55">
        <v>3000</v>
      </c>
      <c r="H68" s="56">
        <v>0</v>
      </c>
      <c r="I68" s="55">
        <f>G68*H68</f>
        <v>0</v>
      </c>
      <c r="J68" s="55">
        <v>0</v>
      </c>
      <c r="K68" s="55">
        <f>G68*J68</f>
        <v>0</v>
      </c>
      <c r="L68" s="57" t="s">
        <v>124</v>
      </c>
      <c r="Z68" s="55">
        <f>IF(AQ68="5",BJ68,0)</f>
        <v>0</v>
      </c>
      <c r="AB68" s="55">
        <f>IF(AQ68="1",BH68,0)</f>
        <v>0</v>
      </c>
      <c r="AC68" s="55">
        <f>IF(AQ68="1",BI68,0)</f>
        <v>0</v>
      </c>
      <c r="AD68" s="55">
        <f>IF(AQ68="7",BH68,0)</f>
        <v>0</v>
      </c>
      <c r="AE68" s="55">
        <f>IF(AQ68="7",BI68,0)</f>
        <v>0</v>
      </c>
      <c r="AF68" s="55">
        <f>IF(AQ68="2",BH68,0)</f>
        <v>0</v>
      </c>
      <c r="AG68" s="55">
        <f>IF(AQ68="2",BI68,0)</f>
        <v>0</v>
      </c>
      <c r="AH68" s="55">
        <f>IF(AQ68="0",BJ68,0)</f>
        <v>0</v>
      </c>
      <c r="AI68" s="34" t="s">
        <v>116</v>
      </c>
      <c r="AJ68" s="55">
        <f>IF(AN68=0,I68,0)</f>
        <v>0</v>
      </c>
      <c r="AK68" s="55">
        <f>IF(AN68=12,I68,0)</f>
        <v>0</v>
      </c>
      <c r="AL68" s="55">
        <f>IF(AN68=21,I68,0)</f>
        <v>0</v>
      </c>
      <c r="AN68" s="55">
        <v>21</v>
      </c>
      <c r="AO68" s="55">
        <f>H68*0.415384615</f>
        <v>0</v>
      </c>
      <c r="AP68" s="55">
        <f>H68*(1-0.415384615)</f>
        <v>0</v>
      </c>
      <c r="AQ68" s="58" t="s">
        <v>125</v>
      </c>
      <c r="AV68" s="55">
        <f>AW68+AX68</f>
        <v>0</v>
      </c>
      <c r="AW68" s="55">
        <f>G68*AO68</f>
        <v>0</v>
      </c>
      <c r="AX68" s="55">
        <f>G68*AP68</f>
        <v>0</v>
      </c>
      <c r="AY68" s="58" t="s">
        <v>126</v>
      </c>
      <c r="AZ68" s="58" t="s">
        <v>127</v>
      </c>
      <c r="BA68" s="34" t="s">
        <v>128</v>
      </c>
      <c r="BC68" s="55">
        <f>AW68+AX68</f>
        <v>0</v>
      </c>
      <c r="BD68" s="55">
        <f>H68/(100-BE68)*100</f>
        <v>0</v>
      </c>
      <c r="BE68" s="55">
        <v>0</v>
      </c>
      <c r="BF68" s="55">
        <f>K68</f>
        <v>0</v>
      </c>
      <c r="BH68" s="55">
        <f>G68*AO68</f>
        <v>0</v>
      </c>
      <c r="BI68" s="55">
        <f>G68*AP68</f>
        <v>0</v>
      </c>
      <c r="BJ68" s="55">
        <f>G68*H68</f>
        <v>0</v>
      </c>
      <c r="BK68" s="55"/>
      <c r="BL68" s="55"/>
      <c r="BW68" s="55">
        <v>21</v>
      </c>
    </row>
    <row r="69" spans="1:12" ht="13.5" customHeight="1">
      <c r="A69" s="59"/>
      <c r="D69" s="218" t="s">
        <v>129</v>
      </c>
      <c r="E69" s="219"/>
      <c r="F69" s="219"/>
      <c r="G69" s="219"/>
      <c r="H69" s="220"/>
      <c r="I69" s="219"/>
      <c r="J69" s="219"/>
      <c r="K69" s="219"/>
      <c r="L69" s="221"/>
    </row>
    <row r="70" spans="1:75" ht="13.5" customHeight="1">
      <c r="A70" s="1" t="s">
        <v>211</v>
      </c>
      <c r="B70" s="2" t="s">
        <v>116</v>
      </c>
      <c r="C70" s="2" t="s">
        <v>212</v>
      </c>
      <c r="D70" s="147" t="s">
        <v>213</v>
      </c>
      <c r="E70" s="148"/>
      <c r="F70" s="2" t="s">
        <v>174</v>
      </c>
      <c r="G70" s="55">
        <v>300</v>
      </c>
      <c r="H70" s="56">
        <v>0</v>
      </c>
      <c r="I70" s="55">
        <f>G70*H70</f>
        <v>0</v>
      </c>
      <c r="J70" s="55">
        <v>0</v>
      </c>
      <c r="K70" s="55">
        <f>G70*J70</f>
        <v>0</v>
      </c>
      <c r="L70" s="57" t="s">
        <v>124</v>
      </c>
      <c r="Z70" s="55">
        <f>IF(AQ70="5",BJ70,0)</f>
        <v>0</v>
      </c>
      <c r="AB70" s="55">
        <f>IF(AQ70="1",BH70,0)</f>
        <v>0</v>
      </c>
      <c r="AC70" s="55">
        <f>IF(AQ70="1",BI70,0)</f>
        <v>0</v>
      </c>
      <c r="AD70" s="55">
        <f>IF(AQ70="7",BH70,0)</f>
        <v>0</v>
      </c>
      <c r="AE70" s="55">
        <f>IF(AQ70="7",BI70,0)</f>
        <v>0</v>
      </c>
      <c r="AF70" s="55">
        <f>IF(AQ70="2",BH70,0)</f>
        <v>0</v>
      </c>
      <c r="AG70" s="55">
        <f>IF(AQ70="2",BI70,0)</f>
        <v>0</v>
      </c>
      <c r="AH70" s="55">
        <f>IF(AQ70="0",BJ70,0)</f>
        <v>0</v>
      </c>
      <c r="AI70" s="34" t="s">
        <v>116</v>
      </c>
      <c r="AJ70" s="55">
        <f>IF(AN70=0,I70,0)</f>
        <v>0</v>
      </c>
      <c r="AK70" s="55">
        <f>IF(AN70=12,I70,0)</f>
        <v>0</v>
      </c>
      <c r="AL70" s="55">
        <f>IF(AN70=21,I70,0)</f>
        <v>0</v>
      </c>
      <c r="AN70" s="55">
        <v>21</v>
      </c>
      <c r="AO70" s="55">
        <f>H70*0.438596491</f>
        <v>0</v>
      </c>
      <c r="AP70" s="55">
        <f>H70*(1-0.438596491)</f>
        <v>0</v>
      </c>
      <c r="AQ70" s="58" t="s">
        <v>125</v>
      </c>
      <c r="AV70" s="55">
        <f>AW70+AX70</f>
        <v>0</v>
      </c>
      <c r="AW70" s="55">
        <f>G70*AO70</f>
        <v>0</v>
      </c>
      <c r="AX70" s="55">
        <f>G70*AP70</f>
        <v>0</v>
      </c>
      <c r="AY70" s="58" t="s">
        <v>126</v>
      </c>
      <c r="AZ70" s="58" t="s">
        <v>127</v>
      </c>
      <c r="BA70" s="34" t="s">
        <v>128</v>
      </c>
      <c r="BC70" s="55">
        <f>AW70+AX70</f>
        <v>0</v>
      </c>
      <c r="BD70" s="55">
        <f>H70/(100-BE70)*100</f>
        <v>0</v>
      </c>
      <c r="BE70" s="55">
        <v>0</v>
      </c>
      <c r="BF70" s="55">
        <f>K70</f>
        <v>0</v>
      </c>
      <c r="BH70" s="55">
        <f>G70*AO70</f>
        <v>0</v>
      </c>
      <c r="BI70" s="55">
        <f>G70*AP70</f>
        <v>0</v>
      </c>
      <c r="BJ70" s="55">
        <f>G70*H70</f>
        <v>0</v>
      </c>
      <c r="BK70" s="55"/>
      <c r="BL70" s="55"/>
      <c r="BW70" s="55">
        <v>21</v>
      </c>
    </row>
    <row r="71" spans="1:12" ht="13.5" customHeight="1">
      <c r="A71" s="59"/>
      <c r="D71" s="218" t="s">
        <v>129</v>
      </c>
      <c r="E71" s="219"/>
      <c r="F71" s="219"/>
      <c r="G71" s="219"/>
      <c r="H71" s="220"/>
      <c r="I71" s="219"/>
      <c r="J71" s="219"/>
      <c r="K71" s="219"/>
      <c r="L71" s="221"/>
    </row>
    <row r="72" spans="1:75" ht="13.5" customHeight="1">
      <c r="A72" s="1" t="s">
        <v>214</v>
      </c>
      <c r="B72" s="2" t="s">
        <v>116</v>
      </c>
      <c r="C72" s="2" t="s">
        <v>215</v>
      </c>
      <c r="D72" s="147" t="s">
        <v>216</v>
      </c>
      <c r="E72" s="148"/>
      <c r="F72" s="2" t="s">
        <v>174</v>
      </c>
      <c r="G72" s="55">
        <v>180</v>
      </c>
      <c r="H72" s="56">
        <v>0</v>
      </c>
      <c r="I72" s="55">
        <f>G72*H72</f>
        <v>0</v>
      </c>
      <c r="J72" s="55">
        <v>0</v>
      </c>
      <c r="K72" s="55">
        <f>G72*J72</f>
        <v>0</v>
      </c>
      <c r="L72" s="57" t="s">
        <v>124</v>
      </c>
      <c r="Z72" s="55">
        <f>IF(AQ72="5",BJ72,0)</f>
        <v>0</v>
      </c>
      <c r="AB72" s="55">
        <f>IF(AQ72="1",BH72,0)</f>
        <v>0</v>
      </c>
      <c r="AC72" s="55">
        <f>IF(AQ72="1",BI72,0)</f>
        <v>0</v>
      </c>
      <c r="AD72" s="55">
        <f>IF(AQ72="7",BH72,0)</f>
        <v>0</v>
      </c>
      <c r="AE72" s="55">
        <f>IF(AQ72="7",BI72,0)</f>
        <v>0</v>
      </c>
      <c r="AF72" s="55">
        <f>IF(AQ72="2",BH72,0)</f>
        <v>0</v>
      </c>
      <c r="AG72" s="55">
        <f>IF(AQ72="2",BI72,0)</f>
        <v>0</v>
      </c>
      <c r="AH72" s="55">
        <f>IF(AQ72="0",BJ72,0)</f>
        <v>0</v>
      </c>
      <c r="AI72" s="34" t="s">
        <v>116</v>
      </c>
      <c r="AJ72" s="55">
        <f>IF(AN72=0,I72,0)</f>
        <v>0</v>
      </c>
      <c r="AK72" s="55">
        <f>IF(AN72=12,I72,0)</f>
        <v>0</v>
      </c>
      <c r="AL72" s="55">
        <f>IF(AN72=21,I72,0)</f>
        <v>0</v>
      </c>
      <c r="AN72" s="55">
        <v>21</v>
      </c>
      <c r="AO72" s="55">
        <f>H72*0.691588785</f>
        <v>0</v>
      </c>
      <c r="AP72" s="55">
        <f>H72*(1-0.691588785)</f>
        <v>0</v>
      </c>
      <c r="AQ72" s="58" t="s">
        <v>125</v>
      </c>
      <c r="AV72" s="55">
        <f>AW72+AX72</f>
        <v>0</v>
      </c>
      <c r="AW72" s="55">
        <f>G72*AO72</f>
        <v>0</v>
      </c>
      <c r="AX72" s="55">
        <f>G72*AP72</f>
        <v>0</v>
      </c>
      <c r="AY72" s="58" t="s">
        <v>126</v>
      </c>
      <c r="AZ72" s="58" t="s">
        <v>127</v>
      </c>
      <c r="BA72" s="34" t="s">
        <v>128</v>
      </c>
      <c r="BC72" s="55">
        <f>AW72+AX72</f>
        <v>0</v>
      </c>
      <c r="BD72" s="55">
        <f>H72/(100-BE72)*100</f>
        <v>0</v>
      </c>
      <c r="BE72" s="55">
        <v>0</v>
      </c>
      <c r="BF72" s="55">
        <f>K72</f>
        <v>0</v>
      </c>
      <c r="BH72" s="55">
        <f>G72*AO72</f>
        <v>0</v>
      </c>
      <c r="BI72" s="55">
        <f>G72*AP72</f>
        <v>0</v>
      </c>
      <c r="BJ72" s="55">
        <f>G72*H72</f>
        <v>0</v>
      </c>
      <c r="BK72" s="55"/>
      <c r="BL72" s="55"/>
      <c r="BW72" s="55">
        <v>21</v>
      </c>
    </row>
    <row r="73" spans="1:12" ht="13.5" customHeight="1">
      <c r="A73" s="59"/>
      <c r="D73" s="218" t="s">
        <v>129</v>
      </c>
      <c r="E73" s="219"/>
      <c r="F73" s="219"/>
      <c r="G73" s="219"/>
      <c r="H73" s="220"/>
      <c r="I73" s="219"/>
      <c r="J73" s="219"/>
      <c r="K73" s="219"/>
      <c r="L73" s="221"/>
    </row>
    <row r="74" spans="1:75" ht="13.5" customHeight="1">
      <c r="A74" s="1" t="s">
        <v>217</v>
      </c>
      <c r="B74" s="2" t="s">
        <v>116</v>
      </c>
      <c r="C74" s="2" t="s">
        <v>218</v>
      </c>
      <c r="D74" s="147" t="s">
        <v>219</v>
      </c>
      <c r="E74" s="148"/>
      <c r="F74" s="2" t="s">
        <v>123</v>
      </c>
      <c r="G74" s="55">
        <v>7</v>
      </c>
      <c r="H74" s="56">
        <v>0</v>
      </c>
      <c r="I74" s="55">
        <f>G74*H74</f>
        <v>0</v>
      </c>
      <c r="J74" s="55">
        <v>0</v>
      </c>
      <c r="K74" s="55">
        <f>G74*J74</f>
        <v>0</v>
      </c>
      <c r="L74" s="57" t="s">
        <v>124</v>
      </c>
      <c r="Z74" s="55">
        <f>IF(AQ74="5",BJ74,0)</f>
        <v>0</v>
      </c>
      <c r="AB74" s="55">
        <f>IF(AQ74="1",BH74,0)</f>
        <v>0</v>
      </c>
      <c r="AC74" s="55">
        <f>IF(AQ74="1",BI74,0)</f>
        <v>0</v>
      </c>
      <c r="AD74" s="55">
        <f>IF(AQ74="7",BH74,0)</f>
        <v>0</v>
      </c>
      <c r="AE74" s="55">
        <f>IF(AQ74="7",BI74,0)</f>
        <v>0</v>
      </c>
      <c r="AF74" s="55">
        <f>IF(AQ74="2",BH74,0)</f>
        <v>0</v>
      </c>
      <c r="AG74" s="55">
        <f>IF(AQ74="2",BI74,0)</f>
        <v>0</v>
      </c>
      <c r="AH74" s="55">
        <f>IF(AQ74="0",BJ74,0)</f>
        <v>0</v>
      </c>
      <c r="AI74" s="34" t="s">
        <v>116</v>
      </c>
      <c r="AJ74" s="55">
        <f>IF(AN74=0,I74,0)</f>
        <v>0</v>
      </c>
      <c r="AK74" s="55">
        <f>IF(AN74=12,I74,0)</f>
        <v>0</v>
      </c>
      <c r="AL74" s="55">
        <f>IF(AN74=21,I74,0)</f>
        <v>0</v>
      </c>
      <c r="AN74" s="55">
        <v>21</v>
      </c>
      <c r="AO74" s="55">
        <f>H74*0.916570104</f>
        <v>0</v>
      </c>
      <c r="AP74" s="55">
        <f>H74*(1-0.916570104)</f>
        <v>0</v>
      </c>
      <c r="AQ74" s="58" t="s">
        <v>125</v>
      </c>
      <c r="AV74" s="55">
        <f>AW74+AX74</f>
        <v>0</v>
      </c>
      <c r="AW74" s="55">
        <f>G74*AO74</f>
        <v>0</v>
      </c>
      <c r="AX74" s="55">
        <f>G74*AP74</f>
        <v>0</v>
      </c>
      <c r="AY74" s="58" t="s">
        <v>126</v>
      </c>
      <c r="AZ74" s="58" t="s">
        <v>127</v>
      </c>
      <c r="BA74" s="34" t="s">
        <v>128</v>
      </c>
      <c r="BC74" s="55">
        <f>AW74+AX74</f>
        <v>0</v>
      </c>
      <c r="BD74" s="55">
        <f>H74/(100-BE74)*100</f>
        <v>0</v>
      </c>
      <c r="BE74" s="55">
        <v>0</v>
      </c>
      <c r="BF74" s="55">
        <f>K74</f>
        <v>0</v>
      </c>
      <c r="BH74" s="55">
        <f>G74*AO74</f>
        <v>0</v>
      </c>
      <c r="BI74" s="55">
        <f>G74*AP74</f>
        <v>0</v>
      </c>
      <c r="BJ74" s="55">
        <f>G74*H74</f>
        <v>0</v>
      </c>
      <c r="BK74" s="55"/>
      <c r="BL74" s="55"/>
      <c r="BW74" s="55">
        <v>21</v>
      </c>
    </row>
    <row r="75" spans="1:12" ht="13.5" customHeight="1">
      <c r="A75" s="59"/>
      <c r="D75" s="218" t="s">
        <v>129</v>
      </c>
      <c r="E75" s="219"/>
      <c r="F75" s="219"/>
      <c r="G75" s="219"/>
      <c r="H75" s="220"/>
      <c r="I75" s="219"/>
      <c r="J75" s="219"/>
      <c r="K75" s="219"/>
      <c r="L75" s="221"/>
    </row>
    <row r="76" spans="1:75" ht="13.5" customHeight="1">
      <c r="A76" s="1" t="s">
        <v>220</v>
      </c>
      <c r="B76" s="2" t="s">
        <v>116</v>
      </c>
      <c r="C76" s="2" t="s">
        <v>221</v>
      </c>
      <c r="D76" s="147" t="s">
        <v>222</v>
      </c>
      <c r="E76" s="148"/>
      <c r="F76" s="2" t="s">
        <v>174</v>
      </c>
      <c r="G76" s="55">
        <v>100</v>
      </c>
      <c r="H76" s="56">
        <v>0</v>
      </c>
      <c r="I76" s="55">
        <f>G76*H76</f>
        <v>0</v>
      </c>
      <c r="J76" s="55">
        <v>0</v>
      </c>
      <c r="K76" s="55">
        <f>G76*J76</f>
        <v>0</v>
      </c>
      <c r="L76" s="57" t="s">
        <v>124</v>
      </c>
      <c r="Z76" s="55">
        <f>IF(AQ76="5",BJ76,0)</f>
        <v>0</v>
      </c>
      <c r="AB76" s="55">
        <f>IF(AQ76="1",BH76,0)</f>
        <v>0</v>
      </c>
      <c r="AC76" s="55">
        <f>IF(AQ76="1",BI76,0)</f>
        <v>0</v>
      </c>
      <c r="AD76" s="55">
        <f>IF(AQ76="7",BH76,0)</f>
        <v>0</v>
      </c>
      <c r="AE76" s="55">
        <f>IF(AQ76="7",BI76,0)</f>
        <v>0</v>
      </c>
      <c r="AF76" s="55">
        <f>IF(AQ76="2",BH76,0)</f>
        <v>0</v>
      </c>
      <c r="AG76" s="55">
        <f>IF(AQ76="2",BI76,0)</f>
        <v>0</v>
      </c>
      <c r="AH76" s="55">
        <f>IF(AQ76="0",BJ76,0)</f>
        <v>0</v>
      </c>
      <c r="AI76" s="34" t="s">
        <v>116</v>
      </c>
      <c r="AJ76" s="55">
        <f>IF(AN76=0,I76,0)</f>
        <v>0</v>
      </c>
      <c r="AK76" s="55">
        <f>IF(AN76=12,I76,0)</f>
        <v>0</v>
      </c>
      <c r="AL76" s="55">
        <f>IF(AN76=21,I76,0)</f>
        <v>0</v>
      </c>
      <c r="AN76" s="55">
        <v>21</v>
      </c>
      <c r="AO76" s="55">
        <f>H76*0.730769231</f>
        <v>0</v>
      </c>
      <c r="AP76" s="55">
        <f>H76*(1-0.730769231)</f>
        <v>0</v>
      </c>
      <c r="AQ76" s="58" t="s">
        <v>125</v>
      </c>
      <c r="AV76" s="55">
        <f>AW76+AX76</f>
        <v>0</v>
      </c>
      <c r="AW76" s="55">
        <f>G76*AO76</f>
        <v>0</v>
      </c>
      <c r="AX76" s="55">
        <f>G76*AP76</f>
        <v>0</v>
      </c>
      <c r="AY76" s="58" t="s">
        <v>126</v>
      </c>
      <c r="AZ76" s="58" t="s">
        <v>127</v>
      </c>
      <c r="BA76" s="34" t="s">
        <v>128</v>
      </c>
      <c r="BC76" s="55">
        <f>AW76+AX76</f>
        <v>0</v>
      </c>
      <c r="BD76" s="55">
        <f>H76/(100-BE76)*100</f>
        <v>0</v>
      </c>
      <c r="BE76" s="55">
        <v>0</v>
      </c>
      <c r="BF76" s="55">
        <f>K76</f>
        <v>0</v>
      </c>
      <c r="BH76" s="55">
        <f>G76*AO76</f>
        <v>0</v>
      </c>
      <c r="BI76" s="55">
        <f>G76*AP76</f>
        <v>0</v>
      </c>
      <c r="BJ76" s="55">
        <f>G76*H76</f>
        <v>0</v>
      </c>
      <c r="BK76" s="55"/>
      <c r="BL76" s="55"/>
      <c r="BW76" s="55">
        <v>21</v>
      </c>
    </row>
    <row r="77" spans="1:12" ht="13.5" customHeight="1">
      <c r="A77" s="59"/>
      <c r="D77" s="218" t="s">
        <v>129</v>
      </c>
      <c r="E77" s="219"/>
      <c r="F77" s="219"/>
      <c r="G77" s="219"/>
      <c r="H77" s="220"/>
      <c r="I77" s="219"/>
      <c r="J77" s="219"/>
      <c r="K77" s="219"/>
      <c r="L77" s="221"/>
    </row>
    <row r="78" spans="1:75" ht="13.5" customHeight="1">
      <c r="A78" s="1" t="s">
        <v>223</v>
      </c>
      <c r="B78" s="2" t="s">
        <v>116</v>
      </c>
      <c r="C78" s="2" t="s">
        <v>224</v>
      </c>
      <c r="D78" s="147" t="s">
        <v>225</v>
      </c>
      <c r="E78" s="148"/>
      <c r="F78" s="2" t="s">
        <v>174</v>
      </c>
      <c r="G78" s="55">
        <v>350</v>
      </c>
      <c r="H78" s="56">
        <v>0</v>
      </c>
      <c r="I78" s="55">
        <f>G78*H78</f>
        <v>0</v>
      </c>
      <c r="J78" s="55">
        <v>0</v>
      </c>
      <c r="K78" s="55">
        <f>G78*J78</f>
        <v>0</v>
      </c>
      <c r="L78" s="57" t="s">
        <v>124</v>
      </c>
      <c r="Z78" s="55">
        <f>IF(AQ78="5",BJ78,0)</f>
        <v>0</v>
      </c>
      <c r="AB78" s="55">
        <f>IF(AQ78="1",BH78,0)</f>
        <v>0</v>
      </c>
      <c r="AC78" s="55">
        <f>IF(AQ78="1",BI78,0)</f>
        <v>0</v>
      </c>
      <c r="AD78" s="55">
        <f>IF(AQ78="7",BH78,0)</f>
        <v>0</v>
      </c>
      <c r="AE78" s="55">
        <f>IF(AQ78="7",BI78,0)</f>
        <v>0</v>
      </c>
      <c r="AF78" s="55">
        <f>IF(AQ78="2",BH78,0)</f>
        <v>0</v>
      </c>
      <c r="AG78" s="55">
        <f>IF(AQ78="2",BI78,0)</f>
        <v>0</v>
      </c>
      <c r="AH78" s="55">
        <f>IF(AQ78="0",BJ78,0)</f>
        <v>0</v>
      </c>
      <c r="AI78" s="34" t="s">
        <v>116</v>
      </c>
      <c r="AJ78" s="55">
        <f>IF(AN78=0,I78,0)</f>
        <v>0</v>
      </c>
      <c r="AK78" s="55">
        <f>IF(AN78=12,I78,0)</f>
        <v>0</v>
      </c>
      <c r="AL78" s="55">
        <f>IF(AN78=21,I78,0)</f>
        <v>0</v>
      </c>
      <c r="AN78" s="55">
        <v>21</v>
      </c>
      <c r="AO78" s="55">
        <f>H78*0.545454545</f>
        <v>0</v>
      </c>
      <c r="AP78" s="55">
        <f>H78*(1-0.545454545)</f>
        <v>0</v>
      </c>
      <c r="AQ78" s="58" t="s">
        <v>125</v>
      </c>
      <c r="AV78" s="55">
        <f>AW78+AX78</f>
        <v>0</v>
      </c>
      <c r="AW78" s="55">
        <f>G78*AO78</f>
        <v>0</v>
      </c>
      <c r="AX78" s="55">
        <f>G78*AP78</f>
        <v>0</v>
      </c>
      <c r="AY78" s="58" t="s">
        <v>126</v>
      </c>
      <c r="AZ78" s="58" t="s">
        <v>127</v>
      </c>
      <c r="BA78" s="34" t="s">
        <v>128</v>
      </c>
      <c r="BC78" s="55">
        <f>AW78+AX78</f>
        <v>0</v>
      </c>
      <c r="BD78" s="55">
        <f>H78/(100-BE78)*100</f>
        <v>0</v>
      </c>
      <c r="BE78" s="55">
        <v>0</v>
      </c>
      <c r="BF78" s="55">
        <f>K78</f>
        <v>0</v>
      </c>
      <c r="BH78" s="55">
        <f>G78*AO78</f>
        <v>0</v>
      </c>
      <c r="BI78" s="55">
        <f>G78*AP78</f>
        <v>0</v>
      </c>
      <c r="BJ78" s="55">
        <f>G78*H78</f>
        <v>0</v>
      </c>
      <c r="BK78" s="55"/>
      <c r="BL78" s="55"/>
      <c r="BW78" s="55">
        <v>21</v>
      </c>
    </row>
    <row r="79" spans="1:12" ht="13.5" customHeight="1">
      <c r="A79" s="59"/>
      <c r="D79" s="218" t="s">
        <v>129</v>
      </c>
      <c r="E79" s="219"/>
      <c r="F79" s="219"/>
      <c r="G79" s="219"/>
      <c r="H79" s="220"/>
      <c r="I79" s="219"/>
      <c r="J79" s="219"/>
      <c r="K79" s="219"/>
      <c r="L79" s="221"/>
    </row>
    <row r="80" spans="1:75" ht="13.5" customHeight="1">
      <c r="A80" s="1" t="s">
        <v>226</v>
      </c>
      <c r="B80" s="2" t="s">
        <v>116</v>
      </c>
      <c r="C80" s="2" t="s">
        <v>227</v>
      </c>
      <c r="D80" s="147" t="s">
        <v>228</v>
      </c>
      <c r="E80" s="148"/>
      <c r="F80" s="2" t="s">
        <v>174</v>
      </c>
      <c r="G80" s="55">
        <v>100</v>
      </c>
      <c r="H80" s="56">
        <v>0</v>
      </c>
      <c r="I80" s="55">
        <f>G80*H80</f>
        <v>0</v>
      </c>
      <c r="J80" s="55">
        <v>0</v>
      </c>
      <c r="K80" s="55">
        <f>G80*J80</f>
        <v>0</v>
      </c>
      <c r="L80" s="57" t="s">
        <v>124</v>
      </c>
      <c r="Z80" s="55">
        <f>IF(AQ80="5",BJ80,0)</f>
        <v>0</v>
      </c>
      <c r="AB80" s="55">
        <f>IF(AQ80="1",BH80,0)</f>
        <v>0</v>
      </c>
      <c r="AC80" s="55">
        <f>IF(AQ80="1",BI80,0)</f>
        <v>0</v>
      </c>
      <c r="AD80" s="55">
        <f>IF(AQ80="7",BH80,0)</f>
        <v>0</v>
      </c>
      <c r="AE80" s="55">
        <f>IF(AQ80="7",BI80,0)</f>
        <v>0</v>
      </c>
      <c r="AF80" s="55">
        <f>IF(AQ80="2",BH80,0)</f>
        <v>0</v>
      </c>
      <c r="AG80" s="55">
        <f>IF(AQ80="2",BI80,0)</f>
        <v>0</v>
      </c>
      <c r="AH80" s="55">
        <f>IF(AQ80="0",BJ80,0)</f>
        <v>0</v>
      </c>
      <c r="AI80" s="34" t="s">
        <v>116</v>
      </c>
      <c r="AJ80" s="55">
        <f>IF(AN80=0,I80,0)</f>
        <v>0</v>
      </c>
      <c r="AK80" s="55">
        <f>IF(AN80=12,I80,0)</f>
        <v>0</v>
      </c>
      <c r="AL80" s="55">
        <f>IF(AN80=21,I80,0)</f>
        <v>0</v>
      </c>
      <c r="AN80" s="55">
        <v>21</v>
      </c>
      <c r="AO80" s="55">
        <f>H80*0.651515152</f>
        <v>0</v>
      </c>
      <c r="AP80" s="55">
        <f>H80*(1-0.651515152)</f>
        <v>0</v>
      </c>
      <c r="AQ80" s="58" t="s">
        <v>125</v>
      </c>
      <c r="AV80" s="55">
        <f>AW80+AX80</f>
        <v>0</v>
      </c>
      <c r="AW80" s="55">
        <f>G80*AO80</f>
        <v>0</v>
      </c>
      <c r="AX80" s="55">
        <f>G80*AP80</f>
        <v>0</v>
      </c>
      <c r="AY80" s="58" t="s">
        <v>126</v>
      </c>
      <c r="AZ80" s="58" t="s">
        <v>127</v>
      </c>
      <c r="BA80" s="34" t="s">
        <v>128</v>
      </c>
      <c r="BC80" s="55">
        <f>AW80+AX80</f>
        <v>0</v>
      </c>
      <c r="BD80" s="55">
        <f>H80/(100-BE80)*100</f>
        <v>0</v>
      </c>
      <c r="BE80" s="55">
        <v>0</v>
      </c>
      <c r="BF80" s="55">
        <f>K80</f>
        <v>0</v>
      </c>
      <c r="BH80" s="55">
        <f>G80*AO80</f>
        <v>0</v>
      </c>
      <c r="BI80" s="55">
        <f>G80*AP80</f>
        <v>0</v>
      </c>
      <c r="BJ80" s="55">
        <f>G80*H80</f>
        <v>0</v>
      </c>
      <c r="BK80" s="55"/>
      <c r="BL80" s="55"/>
      <c r="BW80" s="55">
        <v>21</v>
      </c>
    </row>
    <row r="81" spans="1:12" ht="13.5" customHeight="1">
      <c r="A81" s="59"/>
      <c r="D81" s="218" t="s">
        <v>129</v>
      </c>
      <c r="E81" s="219"/>
      <c r="F81" s="219"/>
      <c r="G81" s="219"/>
      <c r="H81" s="220"/>
      <c r="I81" s="219"/>
      <c r="J81" s="219"/>
      <c r="K81" s="219"/>
      <c r="L81" s="221"/>
    </row>
    <row r="82" spans="1:75" ht="13.5" customHeight="1">
      <c r="A82" s="1" t="s">
        <v>229</v>
      </c>
      <c r="B82" s="2" t="s">
        <v>116</v>
      </c>
      <c r="C82" s="2" t="s">
        <v>230</v>
      </c>
      <c r="D82" s="147" t="s">
        <v>231</v>
      </c>
      <c r="E82" s="148"/>
      <c r="F82" s="2" t="s">
        <v>174</v>
      </c>
      <c r="G82" s="55">
        <v>230</v>
      </c>
      <c r="H82" s="56">
        <v>0</v>
      </c>
      <c r="I82" s="55">
        <f>G82*H82</f>
        <v>0</v>
      </c>
      <c r="J82" s="55">
        <v>0</v>
      </c>
      <c r="K82" s="55">
        <f>G82*J82</f>
        <v>0</v>
      </c>
      <c r="L82" s="57" t="s">
        <v>124</v>
      </c>
      <c r="Z82" s="55">
        <f>IF(AQ82="5",BJ82,0)</f>
        <v>0</v>
      </c>
      <c r="AB82" s="55">
        <f>IF(AQ82="1",BH82,0)</f>
        <v>0</v>
      </c>
      <c r="AC82" s="55">
        <f>IF(AQ82="1",BI82,0)</f>
        <v>0</v>
      </c>
      <c r="AD82" s="55">
        <f>IF(AQ82="7",BH82,0)</f>
        <v>0</v>
      </c>
      <c r="AE82" s="55">
        <f>IF(AQ82="7",BI82,0)</f>
        <v>0</v>
      </c>
      <c r="AF82" s="55">
        <f>IF(AQ82="2",BH82,0)</f>
        <v>0</v>
      </c>
      <c r="AG82" s="55">
        <f>IF(AQ82="2",BI82,0)</f>
        <v>0</v>
      </c>
      <c r="AH82" s="55">
        <f>IF(AQ82="0",BJ82,0)</f>
        <v>0</v>
      </c>
      <c r="AI82" s="34" t="s">
        <v>116</v>
      </c>
      <c r="AJ82" s="55">
        <f>IF(AN82=0,I82,0)</f>
        <v>0</v>
      </c>
      <c r="AK82" s="55">
        <f>IF(AN82=12,I82,0)</f>
        <v>0</v>
      </c>
      <c r="AL82" s="55">
        <f>IF(AN82=21,I82,0)</f>
        <v>0</v>
      </c>
      <c r="AN82" s="55">
        <v>21</v>
      </c>
      <c r="AO82" s="55">
        <f>H82*0.771929825</f>
        <v>0</v>
      </c>
      <c r="AP82" s="55">
        <f>H82*(1-0.771929825)</f>
        <v>0</v>
      </c>
      <c r="AQ82" s="58" t="s">
        <v>125</v>
      </c>
      <c r="AV82" s="55">
        <f>AW82+AX82</f>
        <v>0</v>
      </c>
      <c r="AW82" s="55">
        <f>G82*AO82</f>
        <v>0</v>
      </c>
      <c r="AX82" s="55">
        <f>G82*AP82</f>
        <v>0</v>
      </c>
      <c r="AY82" s="58" t="s">
        <v>126</v>
      </c>
      <c r="AZ82" s="58" t="s">
        <v>127</v>
      </c>
      <c r="BA82" s="34" t="s">
        <v>128</v>
      </c>
      <c r="BC82" s="55">
        <f>AW82+AX82</f>
        <v>0</v>
      </c>
      <c r="BD82" s="55">
        <f>H82/(100-BE82)*100</f>
        <v>0</v>
      </c>
      <c r="BE82" s="55">
        <v>0</v>
      </c>
      <c r="BF82" s="55">
        <f>K82</f>
        <v>0</v>
      </c>
      <c r="BH82" s="55">
        <f>G82*AO82</f>
        <v>0</v>
      </c>
      <c r="BI82" s="55">
        <f>G82*AP82</f>
        <v>0</v>
      </c>
      <c r="BJ82" s="55">
        <f>G82*H82</f>
        <v>0</v>
      </c>
      <c r="BK82" s="55"/>
      <c r="BL82" s="55"/>
      <c r="BW82" s="55">
        <v>21</v>
      </c>
    </row>
    <row r="83" spans="1:12" ht="13.5" customHeight="1">
      <c r="A83" s="59"/>
      <c r="D83" s="218" t="s">
        <v>129</v>
      </c>
      <c r="E83" s="219"/>
      <c r="F83" s="219"/>
      <c r="G83" s="219"/>
      <c r="H83" s="220"/>
      <c r="I83" s="219"/>
      <c r="J83" s="219"/>
      <c r="K83" s="219"/>
      <c r="L83" s="221"/>
    </row>
    <row r="84" spans="1:75" ht="13.5" customHeight="1">
      <c r="A84" s="1" t="s">
        <v>232</v>
      </c>
      <c r="B84" s="2" t="s">
        <v>116</v>
      </c>
      <c r="C84" s="2" t="s">
        <v>233</v>
      </c>
      <c r="D84" s="147" t="s">
        <v>234</v>
      </c>
      <c r="E84" s="148"/>
      <c r="F84" s="2" t="s">
        <v>174</v>
      </c>
      <c r="G84" s="55">
        <v>20</v>
      </c>
      <c r="H84" s="56">
        <v>0</v>
      </c>
      <c r="I84" s="55">
        <f>G84*H84</f>
        <v>0</v>
      </c>
      <c r="J84" s="55">
        <v>0</v>
      </c>
      <c r="K84" s="55">
        <f>G84*J84</f>
        <v>0</v>
      </c>
      <c r="L84" s="57" t="s">
        <v>124</v>
      </c>
      <c r="Z84" s="55">
        <f>IF(AQ84="5",BJ84,0)</f>
        <v>0</v>
      </c>
      <c r="AB84" s="55">
        <f>IF(AQ84="1",BH84,0)</f>
        <v>0</v>
      </c>
      <c r="AC84" s="55">
        <f>IF(AQ84="1",BI84,0)</f>
        <v>0</v>
      </c>
      <c r="AD84" s="55">
        <f>IF(AQ84="7",BH84,0)</f>
        <v>0</v>
      </c>
      <c r="AE84" s="55">
        <f>IF(AQ84="7",BI84,0)</f>
        <v>0</v>
      </c>
      <c r="AF84" s="55">
        <f>IF(AQ84="2",BH84,0)</f>
        <v>0</v>
      </c>
      <c r="AG84" s="55">
        <f>IF(AQ84="2",BI84,0)</f>
        <v>0</v>
      </c>
      <c r="AH84" s="55">
        <f>IF(AQ84="0",BJ84,0)</f>
        <v>0</v>
      </c>
      <c r="AI84" s="34" t="s">
        <v>116</v>
      </c>
      <c r="AJ84" s="55">
        <f>IF(AN84=0,I84,0)</f>
        <v>0</v>
      </c>
      <c r="AK84" s="55">
        <f>IF(AN84=12,I84,0)</f>
        <v>0</v>
      </c>
      <c r="AL84" s="55">
        <f>IF(AN84=21,I84,0)</f>
        <v>0</v>
      </c>
      <c r="AN84" s="55">
        <v>21</v>
      </c>
      <c r="AO84" s="55">
        <f>H84*0.893382353</f>
        <v>0</v>
      </c>
      <c r="AP84" s="55">
        <f>H84*(1-0.893382353)</f>
        <v>0</v>
      </c>
      <c r="AQ84" s="58" t="s">
        <v>125</v>
      </c>
      <c r="AV84" s="55">
        <f>AW84+AX84</f>
        <v>0</v>
      </c>
      <c r="AW84" s="55">
        <f>G84*AO84</f>
        <v>0</v>
      </c>
      <c r="AX84" s="55">
        <f>G84*AP84</f>
        <v>0</v>
      </c>
      <c r="AY84" s="58" t="s">
        <v>126</v>
      </c>
      <c r="AZ84" s="58" t="s">
        <v>127</v>
      </c>
      <c r="BA84" s="34" t="s">
        <v>128</v>
      </c>
      <c r="BC84" s="55">
        <f>AW84+AX84</f>
        <v>0</v>
      </c>
      <c r="BD84" s="55">
        <f>H84/(100-BE84)*100</f>
        <v>0</v>
      </c>
      <c r="BE84" s="55">
        <v>0</v>
      </c>
      <c r="BF84" s="55">
        <f>K84</f>
        <v>0</v>
      </c>
      <c r="BH84" s="55">
        <f>G84*AO84</f>
        <v>0</v>
      </c>
      <c r="BI84" s="55">
        <f>G84*AP84</f>
        <v>0</v>
      </c>
      <c r="BJ84" s="55">
        <f>G84*H84</f>
        <v>0</v>
      </c>
      <c r="BK84" s="55"/>
      <c r="BL84" s="55"/>
      <c r="BW84" s="55">
        <v>21</v>
      </c>
    </row>
    <row r="85" spans="1:12" ht="13.5" customHeight="1">
      <c r="A85" s="59"/>
      <c r="D85" s="218" t="s">
        <v>129</v>
      </c>
      <c r="E85" s="219"/>
      <c r="F85" s="219"/>
      <c r="G85" s="219"/>
      <c r="H85" s="220"/>
      <c r="I85" s="219"/>
      <c r="J85" s="219"/>
      <c r="K85" s="219"/>
      <c r="L85" s="221"/>
    </row>
    <row r="86" spans="1:75" ht="13.5" customHeight="1">
      <c r="A86" s="1" t="s">
        <v>235</v>
      </c>
      <c r="B86" s="2" t="s">
        <v>116</v>
      </c>
      <c r="C86" s="2" t="s">
        <v>236</v>
      </c>
      <c r="D86" s="147" t="s">
        <v>237</v>
      </c>
      <c r="E86" s="148"/>
      <c r="F86" s="2" t="s">
        <v>4</v>
      </c>
      <c r="G86" s="55">
        <v>1</v>
      </c>
      <c r="H86" s="56">
        <v>0</v>
      </c>
      <c r="I86" s="55">
        <f>G86*H86</f>
        <v>0</v>
      </c>
      <c r="J86" s="55">
        <v>0</v>
      </c>
      <c r="K86" s="55">
        <f>G86*J86</f>
        <v>0</v>
      </c>
      <c r="L86" s="57" t="s">
        <v>124</v>
      </c>
      <c r="Z86" s="55">
        <f>IF(AQ86="5",BJ86,0)</f>
        <v>0</v>
      </c>
      <c r="AB86" s="55">
        <f>IF(AQ86="1",BH86,0)</f>
        <v>0</v>
      </c>
      <c r="AC86" s="55">
        <f>IF(AQ86="1",BI86,0)</f>
        <v>0</v>
      </c>
      <c r="AD86" s="55">
        <f>IF(AQ86="7",BH86,0)</f>
        <v>0</v>
      </c>
      <c r="AE86" s="55">
        <f>IF(AQ86="7",BI86,0)</f>
        <v>0</v>
      </c>
      <c r="AF86" s="55">
        <f>IF(AQ86="2",BH86,0)</f>
        <v>0</v>
      </c>
      <c r="AG86" s="55">
        <f>IF(AQ86="2",BI86,0)</f>
        <v>0</v>
      </c>
      <c r="AH86" s="55">
        <f>IF(AQ86="0",BJ86,0)</f>
        <v>0</v>
      </c>
      <c r="AI86" s="34" t="s">
        <v>116</v>
      </c>
      <c r="AJ86" s="55">
        <f>IF(AN86=0,I86,0)</f>
        <v>0</v>
      </c>
      <c r="AK86" s="55">
        <f>IF(AN86=12,I86,0)</f>
        <v>0</v>
      </c>
      <c r="AL86" s="55">
        <f>IF(AN86=21,I86,0)</f>
        <v>0</v>
      </c>
      <c r="AN86" s="55">
        <v>21</v>
      </c>
      <c r="AO86" s="55">
        <f>H86*0.93132154</f>
        <v>0</v>
      </c>
      <c r="AP86" s="55">
        <f>H86*(1-0.93132154)</f>
        <v>0</v>
      </c>
      <c r="AQ86" s="58" t="s">
        <v>125</v>
      </c>
      <c r="AV86" s="55">
        <f>AW86+AX86</f>
        <v>0</v>
      </c>
      <c r="AW86" s="55">
        <f>G86*AO86</f>
        <v>0</v>
      </c>
      <c r="AX86" s="55">
        <f>G86*AP86</f>
        <v>0</v>
      </c>
      <c r="AY86" s="58" t="s">
        <v>126</v>
      </c>
      <c r="AZ86" s="58" t="s">
        <v>127</v>
      </c>
      <c r="BA86" s="34" t="s">
        <v>128</v>
      </c>
      <c r="BC86" s="55">
        <f>AW86+AX86</f>
        <v>0</v>
      </c>
      <c r="BD86" s="55">
        <f>H86/(100-BE86)*100</f>
        <v>0</v>
      </c>
      <c r="BE86" s="55">
        <v>0</v>
      </c>
      <c r="BF86" s="55">
        <f>K86</f>
        <v>0</v>
      </c>
      <c r="BH86" s="55">
        <f>G86*AO86</f>
        <v>0</v>
      </c>
      <c r="BI86" s="55">
        <f>G86*AP86</f>
        <v>0</v>
      </c>
      <c r="BJ86" s="55">
        <f>G86*H86</f>
        <v>0</v>
      </c>
      <c r="BK86" s="55"/>
      <c r="BL86" s="55"/>
      <c r="BW86" s="55">
        <v>21</v>
      </c>
    </row>
    <row r="87" spans="1:12" ht="13.5" customHeight="1">
      <c r="A87" s="59"/>
      <c r="D87" s="218" t="s">
        <v>129</v>
      </c>
      <c r="E87" s="219"/>
      <c r="F87" s="219"/>
      <c r="G87" s="219"/>
      <c r="H87" s="220"/>
      <c r="I87" s="219"/>
      <c r="J87" s="219"/>
      <c r="K87" s="219"/>
      <c r="L87" s="221"/>
    </row>
    <row r="88" spans="1:75" ht="13.5" customHeight="1">
      <c r="A88" s="1" t="s">
        <v>238</v>
      </c>
      <c r="B88" s="2" t="s">
        <v>116</v>
      </c>
      <c r="C88" s="2" t="s">
        <v>239</v>
      </c>
      <c r="D88" s="147" t="s">
        <v>240</v>
      </c>
      <c r="E88" s="148"/>
      <c r="F88" s="2" t="s">
        <v>174</v>
      </c>
      <c r="G88" s="55">
        <v>10</v>
      </c>
      <c r="H88" s="56">
        <v>0</v>
      </c>
      <c r="I88" s="55">
        <f>G88*H88</f>
        <v>0</v>
      </c>
      <c r="J88" s="55">
        <v>0</v>
      </c>
      <c r="K88" s="55">
        <f>G88*J88</f>
        <v>0</v>
      </c>
      <c r="L88" s="57" t="s">
        <v>124</v>
      </c>
      <c r="Z88" s="55">
        <f>IF(AQ88="5",BJ88,0)</f>
        <v>0</v>
      </c>
      <c r="AB88" s="55">
        <f>IF(AQ88="1",BH88,0)</f>
        <v>0</v>
      </c>
      <c r="AC88" s="55">
        <f>IF(AQ88="1",BI88,0)</f>
        <v>0</v>
      </c>
      <c r="AD88" s="55">
        <f>IF(AQ88="7",BH88,0)</f>
        <v>0</v>
      </c>
      <c r="AE88" s="55">
        <f>IF(AQ88="7",BI88,0)</f>
        <v>0</v>
      </c>
      <c r="AF88" s="55">
        <f>IF(AQ88="2",BH88,0)</f>
        <v>0</v>
      </c>
      <c r="AG88" s="55">
        <f>IF(AQ88="2",BI88,0)</f>
        <v>0</v>
      </c>
      <c r="AH88" s="55">
        <f>IF(AQ88="0",BJ88,0)</f>
        <v>0</v>
      </c>
      <c r="AI88" s="34" t="s">
        <v>116</v>
      </c>
      <c r="AJ88" s="55">
        <f>IF(AN88=0,I88,0)</f>
        <v>0</v>
      </c>
      <c r="AK88" s="55">
        <f>IF(AN88=12,I88,0)</f>
        <v>0</v>
      </c>
      <c r="AL88" s="55">
        <f>IF(AN88=21,I88,0)</f>
        <v>0</v>
      </c>
      <c r="AN88" s="55">
        <v>21</v>
      </c>
      <c r="AO88" s="55">
        <f>H88*0.532467532</f>
        <v>0</v>
      </c>
      <c r="AP88" s="55">
        <f>H88*(1-0.532467532)</f>
        <v>0</v>
      </c>
      <c r="AQ88" s="58" t="s">
        <v>125</v>
      </c>
      <c r="AV88" s="55">
        <f>AW88+AX88</f>
        <v>0</v>
      </c>
      <c r="AW88" s="55">
        <f>G88*AO88</f>
        <v>0</v>
      </c>
      <c r="AX88" s="55">
        <f>G88*AP88</f>
        <v>0</v>
      </c>
      <c r="AY88" s="58" t="s">
        <v>126</v>
      </c>
      <c r="AZ88" s="58" t="s">
        <v>127</v>
      </c>
      <c r="BA88" s="34" t="s">
        <v>128</v>
      </c>
      <c r="BC88" s="55">
        <f>AW88+AX88</f>
        <v>0</v>
      </c>
      <c r="BD88" s="55">
        <f>H88/(100-BE88)*100</f>
        <v>0</v>
      </c>
      <c r="BE88" s="55">
        <v>0</v>
      </c>
      <c r="BF88" s="55">
        <f>K88</f>
        <v>0</v>
      </c>
      <c r="BH88" s="55">
        <f>G88*AO88</f>
        <v>0</v>
      </c>
      <c r="BI88" s="55">
        <f>G88*AP88</f>
        <v>0</v>
      </c>
      <c r="BJ88" s="55">
        <f>G88*H88</f>
        <v>0</v>
      </c>
      <c r="BK88" s="55"/>
      <c r="BL88" s="55"/>
      <c r="BW88" s="55">
        <v>21</v>
      </c>
    </row>
    <row r="89" spans="1:12" ht="13.5" customHeight="1">
      <c r="A89" s="59"/>
      <c r="D89" s="218" t="s">
        <v>129</v>
      </c>
      <c r="E89" s="219"/>
      <c r="F89" s="219"/>
      <c r="G89" s="219"/>
      <c r="H89" s="220"/>
      <c r="I89" s="219"/>
      <c r="J89" s="219"/>
      <c r="K89" s="219"/>
      <c r="L89" s="221"/>
    </row>
    <row r="90" spans="1:75" ht="13.5" customHeight="1">
      <c r="A90" s="1" t="s">
        <v>241</v>
      </c>
      <c r="B90" s="2" t="s">
        <v>116</v>
      </c>
      <c r="C90" s="2" t="s">
        <v>242</v>
      </c>
      <c r="D90" s="147" t="s">
        <v>243</v>
      </c>
      <c r="E90" s="148"/>
      <c r="F90" s="2" t="s">
        <v>174</v>
      </c>
      <c r="G90" s="55">
        <v>180</v>
      </c>
      <c r="H90" s="56">
        <v>0</v>
      </c>
      <c r="I90" s="55">
        <f>G90*H90</f>
        <v>0</v>
      </c>
      <c r="J90" s="55">
        <v>0</v>
      </c>
      <c r="K90" s="55">
        <f>G90*J90</f>
        <v>0</v>
      </c>
      <c r="L90" s="57" t="s">
        <v>124</v>
      </c>
      <c r="Z90" s="55">
        <f>IF(AQ90="5",BJ90,0)</f>
        <v>0</v>
      </c>
      <c r="AB90" s="55">
        <f>IF(AQ90="1",BH90,0)</f>
        <v>0</v>
      </c>
      <c r="AC90" s="55">
        <f>IF(AQ90="1",BI90,0)</f>
        <v>0</v>
      </c>
      <c r="AD90" s="55">
        <f>IF(AQ90="7",BH90,0)</f>
        <v>0</v>
      </c>
      <c r="AE90" s="55">
        <f>IF(AQ90="7",BI90,0)</f>
        <v>0</v>
      </c>
      <c r="AF90" s="55">
        <f>IF(AQ90="2",BH90,0)</f>
        <v>0</v>
      </c>
      <c r="AG90" s="55">
        <f>IF(AQ90="2",BI90,0)</f>
        <v>0</v>
      </c>
      <c r="AH90" s="55">
        <f>IF(AQ90="0",BJ90,0)</f>
        <v>0</v>
      </c>
      <c r="AI90" s="34" t="s">
        <v>116</v>
      </c>
      <c r="AJ90" s="55">
        <f>IF(AN90=0,I90,0)</f>
        <v>0</v>
      </c>
      <c r="AK90" s="55">
        <f>IF(AN90=12,I90,0)</f>
        <v>0</v>
      </c>
      <c r="AL90" s="55">
        <f>IF(AN90=21,I90,0)</f>
        <v>0</v>
      </c>
      <c r="AN90" s="55">
        <v>21</v>
      </c>
      <c r="AO90" s="55">
        <f>H90*0.617021277</f>
        <v>0</v>
      </c>
      <c r="AP90" s="55">
        <f>H90*(1-0.617021277)</f>
        <v>0</v>
      </c>
      <c r="AQ90" s="58" t="s">
        <v>125</v>
      </c>
      <c r="AV90" s="55">
        <f>AW90+AX90</f>
        <v>0</v>
      </c>
      <c r="AW90" s="55">
        <f>G90*AO90</f>
        <v>0</v>
      </c>
      <c r="AX90" s="55">
        <f>G90*AP90</f>
        <v>0</v>
      </c>
      <c r="AY90" s="58" t="s">
        <v>126</v>
      </c>
      <c r="AZ90" s="58" t="s">
        <v>127</v>
      </c>
      <c r="BA90" s="34" t="s">
        <v>128</v>
      </c>
      <c r="BC90" s="55">
        <f>AW90+AX90</f>
        <v>0</v>
      </c>
      <c r="BD90" s="55">
        <f>H90/(100-BE90)*100</f>
        <v>0</v>
      </c>
      <c r="BE90" s="55">
        <v>0</v>
      </c>
      <c r="BF90" s="55">
        <f>K90</f>
        <v>0</v>
      </c>
      <c r="BH90" s="55">
        <f>G90*AO90</f>
        <v>0</v>
      </c>
      <c r="BI90" s="55">
        <f>G90*AP90</f>
        <v>0</v>
      </c>
      <c r="BJ90" s="55">
        <f>G90*H90</f>
        <v>0</v>
      </c>
      <c r="BK90" s="55"/>
      <c r="BL90" s="55"/>
      <c r="BW90" s="55">
        <v>21</v>
      </c>
    </row>
    <row r="91" spans="1:12" ht="13.5" customHeight="1">
      <c r="A91" s="59"/>
      <c r="D91" s="218" t="s">
        <v>129</v>
      </c>
      <c r="E91" s="219"/>
      <c r="F91" s="219"/>
      <c r="G91" s="219"/>
      <c r="H91" s="220"/>
      <c r="I91" s="219"/>
      <c r="J91" s="219"/>
      <c r="K91" s="219"/>
      <c r="L91" s="221"/>
    </row>
    <row r="92" spans="1:75" ht="13.5" customHeight="1">
      <c r="A92" s="1" t="s">
        <v>244</v>
      </c>
      <c r="B92" s="2" t="s">
        <v>116</v>
      </c>
      <c r="C92" s="2" t="s">
        <v>245</v>
      </c>
      <c r="D92" s="147" t="s">
        <v>246</v>
      </c>
      <c r="E92" s="148"/>
      <c r="F92" s="2" t="s">
        <v>123</v>
      </c>
      <c r="G92" s="55">
        <v>16</v>
      </c>
      <c r="H92" s="56">
        <v>0</v>
      </c>
      <c r="I92" s="55">
        <f>G92*H92</f>
        <v>0</v>
      </c>
      <c r="J92" s="55">
        <v>0</v>
      </c>
      <c r="K92" s="55">
        <f>G92*J92</f>
        <v>0</v>
      </c>
      <c r="L92" s="57" t="s">
        <v>124</v>
      </c>
      <c r="Z92" s="55">
        <f>IF(AQ92="5",BJ92,0)</f>
        <v>0</v>
      </c>
      <c r="AB92" s="55">
        <f>IF(AQ92="1",BH92,0)</f>
        <v>0</v>
      </c>
      <c r="AC92" s="55">
        <f>IF(AQ92="1",BI92,0)</f>
        <v>0</v>
      </c>
      <c r="AD92" s="55">
        <f>IF(AQ92="7",BH92,0)</f>
        <v>0</v>
      </c>
      <c r="AE92" s="55">
        <f>IF(AQ92="7",BI92,0)</f>
        <v>0</v>
      </c>
      <c r="AF92" s="55">
        <f>IF(AQ92="2",BH92,0)</f>
        <v>0</v>
      </c>
      <c r="AG92" s="55">
        <f>IF(AQ92="2",BI92,0)</f>
        <v>0</v>
      </c>
      <c r="AH92" s="55">
        <f>IF(AQ92="0",BJ92,0)</f>
        <v>0</v>
      </c>
      <c r="AI92" s="34" t="s">
        <v>116</v>
      </c>
      <c r="AJ92" s="55">
        <f>IF(AN92=0,I92,0)</f>
        <v>0</v>
      </c>
      <c r="AK92" s="55">
        <f>IF(AN92=12,I92,0)</f>
        <v>0</v>
      </c>
      <c r="AL92" s="55">
        <f>IF(AN92=21,I92,0)</f>
        <v>0</v>
      </c>
      <c r="AN92" s="55">
        <v>21</v>
      </c>
      <c r="AO92" s="55">
        <f>H92*0.959383754</f>
        <v>0</v>
      </c>
      <c r="AP92" s="55">
        <f>H92*(1-0.959383754)</f>
        <v>0</v>
      </c>
      <c r="AQ92" s="58" t="s">
        <v>125</v>
      </c>
      <c r="AV92" s="55">
        <f>AW92+AX92</f>
        <v>0</v>
      </c>
      <c r="AW92" s="55">
        <f>G92*AO92</f>
        <v>0</v>
      </c>
      <c r="AX92" s="55">
        <f>G92*AP92</f>
        <v>0</v>
      </c>
      <c r="AY92" s="58" t="s">
        <v>126</v>
      </c>
      <c r="AZ92" s="58" t="s">
        <v>127</v>
      </c>
      <c r="BA92" s="34" t="s">
        <v>128</v>
      </c>
      <c r="BC92" s="55">
        <f>AW92+AX92</f>
        <v>0</v>
      </c>
      <c r="BD92" s="55">
        <f>H92/(100-BE92)*100</f>
        <v>0</v>
      </c>
      <c r="BE92" s="55">
        <v>0</v>
      </c>
      <c r="BF92" s="55">
        <f>K92</f>
        <v>0</v>
      </c>
      <c r="BH92" s="55">
        <f>G92*AO92</f>
        <v>0</v>
      </c>
      <c r="BI92" s="55">
        <f>G92*AP92</f>
        <v>0</v>
      </c>
      <c r="BJ92" s="55">
        <f>G92*H92</f>
        <v>0</v>
      </c>
      <c r="BK92" s="55"/>
      <c r="BL92" s="55"/>
      <c r="BW92" s="55">
        <v>21</v>
      </c>
    </row>
    <row r="93" spans="1:12" ht="13.5" customHeight="1">
      <c r="A93" s="59"/>
      <c r="D93" s="218" t="s">
        <v>129</v>
      </c>
      <c r="E93" s="219"/>
      <c r="F93" s="219"/>
      <c r="G93" s="219"/>
      <c r="H93" s="220"/>
      <c r="I93" s="219"/>
      <c r="J93" s="219"/>
      <c r="K93" s="219"/>
      <c r="L93" s="221"/>
    </row>
    <row r="94" spans="1:75" ht="13.5" customHeight="1">
      <c r="A94" s="1" t="s">
        <v>247</v>
      </c>
      <c r="B94" s="2" t="s">
        <v>116</v>
      </c>
      <c r="C94" s="2" t="s">
        <v>248</v>
      </c>
      <c r="D94" s="147" t="s">
        <v>249</v>
      </c>
      <c r="E94" s="148"/>
      <c r="F94" s="2" t="s">
        <v>250</v>
      </c>
      <c r="G94" s="55">
        <v>30</v>
      </c>
      <c r="H94" s="56">
        <v>0</v>
      </c>
      <c r="I94" s="55">
        <f>G94*H94</f>
        <v>0</v>
      </c>
      <c r="J94" s="55">
        <v>0</v>
      </c>
      <c r="K94" s="55">
        <f>G94*J94</f>
        <v>0</v>
      </c>
      <c r="L94" s="57" t="s">
        <v>124</v>
      </c>
      <c r="Z94" s="55">
        <f>IF(AQ94="5",BJ94,0)</f>
        <v>0</v>
      </c>
      <c r="AB94" s="55">
        <f>IF(AQ94="1",BH94,0)</f>
        <v>0</v>
      </c>
      <c r="AC94" s="55">
        <f>IF(AQ94="1",BI94,0)</f>
        <v>0</v>
      </c>
      <c r="AD94" s="55">
        <f>IF(AQ94="7",BH94,0)</f>
        <v>0</v>
      </c>
      <c r="AE94" s="55">
        <f>IF(AQ94="7",BI94,0)</f>
        <v>0</v>
      </c>
      <c r="AF94" s="55">
        <f>IF(AQ94="2",BH94,0)</f>
        <v>0</v>
      </c>
      <c r="AG94" s="55">
        <f>IF(AQ94="2",BI94,0)</f>
        <v>0</v>
      </c>
      <c r="AH94" s="55">
        <f>IF(AQ94="0",BJ94,0)</f>
        <v>0</v>
      </c>
      <c r="AI94" s="34" t="s">
        <v>116</v>
      </c>
      <c r="AJ94" s="55">
        <f>IF(AN94=0,I94,0)</f>
        <v>0</v>
      </c>
      <c r="AK94" s="55">
        <f>IF(AN94=12,I94,0)</f>
        <v>0</v>
      </c>
      <c r="AL94" s="55">
        <f>IF(AN94=21,I94,0)</f>
        <v>0</v>
      </c>
      <c r="AN94" s="55">
        <v>21</v>
      </c>
      <c r="AO94" s="55">
        <f>H94*0.778481013</f>
        <v>0</v>
      </c>
      <c r="AP94" s="55">
        <f>H94*(1-0.778481013)</f>
        <v>0</v>
      </c>
      <c r="AQ94" s="58" t="s">
        <v>125</v>
      </c>
      <c r="AV94" s="55">
        <f>AW94+AX94</f>
        <v>0</v>
      </c>
      <c r="AW94" s="55">
        <f>G94*AO94</f>
        <v>0</v>
      </c>
      <c r="AX94" s="55">
        <f>G94*AP94</f>
        <v>0</v>
      </c>
      <c r="AY94" s="58" t="s">
        <v>126</v>
      </c>
      <c r="AZ94" s="58" t="s">
        <v>127</v>
      </c>
      <c r="BA94" s="34" t="s">
        <v>128</v>
      </c>
      <c r="BC94" s="55">
        <f>AW94+AX94</f>
        <v>0</v>
      </c>
      <c r="BD94" s="55">
        <f>H94/(100-BE94)*100</f>
        <v>0</v>
      </c>
      <c r="BE94" s="55">
        <v>0</v>
      </c>
      <c r="BF94" s="55">
        <f>K94</f>
        <v>0</v>
      </c>
      <c r="BH94" s="55">
        <f>G94*AO94</f>
        <v>0</v>
      </c>
      <c r="BI94" s="55">
        <f>G94*AP94</f>
        <v>0</v>
      </c>
      <c r="BJ94" s="55">
        <f>G94*H94</f>
        <v>0</v>
      </c>
      <c r="BK94" s="55"/>
      <c r="BL94" s="55"/>
      <c r="BW94" s="55">
        <v>21</v>
      </c>
    </row>
    <row r="95" spans="1:12" ht="13.5" customHeight="1">
      <c r="A95" s="59"/>
      <c r="D95" s="218" t="s">
        <v>129</v>
      </c>
      <c r="E95" s="219"/>
      <c r="F95" s="219"/>
      <c r="G95" s="219"/>
      <c r="H95" s="220"/>
      <c r="I95" s="219"/>
      <c r="J95" s="219"/>
      <c r="K95" s="219"/>
      <c r="L95" s="221"/>
    </row>
    <row r="96" spans="1:75" ht="27" customHeight="1">
      <c r="A96" s="1" t="s">
        <v>251</v>
      </c>
      <c r="B96" s="2" t="s">
        <v>116</v>
      </c>
      <c r="C96" s="2" t="s">
        <v>252</v>
      </c>
      <c r="D96" s="147" t="s">
        <v>253</v>
      </c>
      <c r="E96" s="148"/>
      <c r="F96" s="2" t="s">
        <v>123</v>
      </c>
      <c r="G96" s="55">
        <v>450</v>
      </c>
      <c r="H96" s="56">
        <v>0</v>
      </c>
      <c r="I96" s="55">
        <f>G96*H96</f>
        <v>0</v>
      </c>
      <c r="J96" s="55">
        <v>0</v>
      </c>
      <c r="K96" s="55">
        <f>G96*J96</f>
        <v>0</v>
      </c>
      <c r="L96" s="57" t="s">
        <v>124</v>
      </c>
      <c r="Z96" s="55">
        <f>IF(AQ96="5",BJ96,0)</f>
        <v>0</v>
      </c>
      <c r="AB96" s="55">
        <f>IF(AQ96="1",BH96,0)</f>
        <v>0</v>
      </c>
      <c r="AC96" s="55">
        <f>IF(AQ96="1",BI96,0)</f>
        <v>0</v>
      </c>
      <c r="AD96" s="55">
        <f>IF(AQ96="7",BH96,0)</f>
        <v>0</v>
      </c>
      <c r="AE96" s="55">
        <f>IF(AQ96="7",BI96,0)</f>
        <v>0</v>
      </c>
      <c r="AF96" s="55">
        <f>IF(AQ96="2",BH96,0)</f>
        <v>0</v>
      </c>
      <c r="AG96" s="55">
        <f>IF(AQ96="2",BI96,0)</f>
        <v>0</v>
      </c>
      <c r="AH96" s="55">
        <f>IF(AQ96="0",BJ96,0)</f>
        <v>0</v>
      </c>
      <c r="AI96" s="34" t="s">
        <v>116</v>
      </c>
      <c r="AJ96" s="55">
        <f>IF(AN96=0,I96,0)</f>
        <v>0</v>
      </c>
      <c r="AK96" s="55">
        <f>IF(AN96=12,I96,0)</f>
        <v>0</v>
      </c>
      <c r="AL96" s="55">
        <f>IF(AN96=21,I96,0)</f>
        <v>0</v>
      </c>
      <c r="AN96" s="55">
        <v>21</v>
      </c>
      <c r="AO96" s="55">
        <f>H96*0.418604651</f>
        <v>0</v>
      </c>
      <c r="AP96" s="55">
        <f>H96*(1-0.418604651)</f>
        <v>0</v>
      </c>
      <c r="AQ96" s="58" t="s">
        <v>125</v>
      </c>
      <c r="AV96" s="55">
        <f>AW96+AX96</f>
        <v>0</v>
      </c>
      <c r="AW96" s="55">
        <f>G96*AO96</f>
        <v>0</v>
      </c>
      <c r="AX96" s="55">
        <f>G96*AP96</f>
        <v>0</v>
      </c>
      <c r="AY96" s="58" t="s">
        <v>126</v>
      </c>
      <c r="AZ96" s="58" t="s">
        <v>127</v>
      </c>
      <c r="BA96" s="34" t="s">
        <v>128</v>
      </c>
      <c r="BC96" s="55">
        <f>AW96+AX96</f>
        <v>0</v>
      </c>
      <c r="BD96" s="55">
        <f>H96/(100-BE96)*100</f>
        <v>0</v>
      </c>
      <c r="BE96" s="55">
        <v>0</v>
      </c>
      <c r="BF96" s="55">
        <f>K96</f>
        <v>0</v>
      </c>
      <c r="BH96" s="55">
        <f>G96*AO96</f>
        <v>0</v>
      </c>
      <c r="BI96" s="55">
        <f>G96*AP96</f>
        <v>0</v>
      </c>
      <c r="BJ96" s="55">
        <f>G96*H96</f>
        <v>0</v>
      </c>
      <c r="BK96" s="55"/>
      <c r="BL96" s="55"/>
      <c r="BW96" s="55">
        <v>21</v>
      </c>
    </row>
    <row r="97" spans="1:12" ht="13.5" customHeight="1">
      <c r="A97" s="59"/>
      <c r="D97" s="218" t="s">
        <v>129</v>
      </c>
      <c r="E97" s="219"/>
      <c r="F97" s="219"/>
      <c r="G97" s="219"/>
      <c r="H97" s="220"/>
      <c r="I97" s="219"/>
      <c r="J97" s="219"/>
      <c r="K97" s="219"/>
      <c r="L97" s="221"/>
    </row>
    <row r="98" spans="1:75" ht="13.5" customHeight="1">
      <c r="A98" s="1" t="s">
        <v>254</v>
      </c>
      <c r="B98" s="2" t="s">
        <v>116</v>
      </c>
      <c r="C98" s="2" t="s">
        <v>255</v>
      </c>
      <c r="D98" s="147" t="s">
        <v>256</v>
      </c>
      <c r="E98" s="148"/>
      <c r="F98" s="2" t="s">
        <v>174</v>
      </c>
      <c r="G98" s="55">
        <v>100</v>
      </c>
      <c r="H98" s="56">
        <v>0</v>
      </c>
      <c r="I98" s="55">
        <f>G98*H98</f>
        <v>0</v>
      </c>
      <c r="J98" s="55">
        <v>0</v>
      </c>
      <c r="K98" s="55">
        <f>G98*J98</f>
        <v>0</v>
      </c>
      <c r="L98" s="57" t="s">
        <v>124</v>
      </c>
      <c r="Z98" s="55">
        <f>IF(AQ98="5",BJ98,0)</f>
        <v>0</v>
      </c>
      <c r="AB98" s="55">
        <f>IF(AQ98="1",BH98,0)</f>
        <v>0</v>
      </c>
      <c r="AC98" s="55">
        <f>IF(AQ98="1",BI98,0)</f>
        <v>0</v>
      </c>
      <c r="AD98" s="55">
        <f>IF(AQ98="7",BH98,0)</f>
        <v>0</v>
      </c>
      <c r="AE98" s="55">
        <f>IF(AQ98="7",BI98,0)</f>
        <v>0</v>
      </c>
      <c r="AF98" s="55">
        <f>IF(AQ98="2",BH98,0)</f>
        <v>0</v>
      </c>
      <c r="AG98" s="55">
        <f>IF(AQ98="2",BI98,0)</f>
        <v>0</v>
      </c>
      <c r="AH98" s="55">
        <f>IF(AQ98="0",BJ98,0)</f>
        <v>0</v>
      </c>
      <c r="AI98" s="34" t="s">
        <v>116</v>
      </c>
      <c r="AJ98" s="55">
        <f>IF(AN98=0,I98,0)</f>
        <v>0</v>
      </c>
      <c r="AK98" s="55">
        <f>IF(AN98=12,I98,0)</f>
        <v>0</v>
      </c>
      <c r="AL98" s="55">
        <f>IF(AN98=21,I98,0)</f>
        <v>0</v>
      </c>
      <c r="AN98" s="55">
        <v>21</v>
      </c>
      <c r="AO98" s="55">
        <f>H98*0</f>
        <v>0</v>
      </c>
      <c r="AP98" s="55">
        <f>H98*(1-0)</f>
        <v>0</v>
      </c>
      <c r="AQ98" s="58" t="s">
        <v>125</v>
      </c>
      <c r="AV98" s="55">
        <f>AW98+AX98</f>
        <v>0</v>
      </c>
      <c r="AW98" s="55">
        <f>G98*AO98</f>
        <v>0</v>
      </c>
      <c r="AX98" s="55">
        <f>G98*AP98</f>
        <v>0</v>
      </c>
      <c r="AY98" s="58" t="s">
        <v>126</v>
      </c>
      <c r="AZ98" s="58" t="s">
        <v>127</v>
      </c>
      <c r="BA98" s="34" t="s">
        <v>128</v>
      </c>
      <c r="BC98" s="55">
        <f>AW98+AX98</f>
        <v>0</v>
      </c>
      <c r="BD98" s="55">
        <f>H98/(100-BE98)*100</f>
        <v>0</v>
      </c>
      <c r="BE98" s="55">
        <v>0</v>
      </c>
      <c r="BF98" s="55">
        <f>K98</f>
        <v>0</v>
      </c>
      <c r="BH98" s="55">
        <f>G98*AO98</f>
        <v>0</v>
      </c>
      <c r="BI98" s="55">
        <f>G98*AP98</f>
        <v>0</v>
      </c>
      <c r="BJ98" s="55">
        <f>G98*H98</f>
        <v>0</v>
      </c>
      <c r="BK98" s="55"/>
      <c r="BL98" s="55"/>
      <c r="BW98" s="55">
        <v>21</v>
      </c>
    </row>
    <row r="99" spans="1:12" ht="13.5" customHeight="1">
      <c r="A99" s="59"/>
      <c r="D99" s="218" t="s">
        <v>257</v>
      </c>
      <c r="E99" s="219"/>
      <c r="F99" s="219"/>
      <c r="G99" s="219"/>
      <c r="H99" s="220"/>
      <c r="I99" s="219"/>
      <c r="J99" s="219"/>
      <c r="K99" s="219"/>
      <c r="L99" s="221"/>
    </row>
    <row r="100" spans="1:75" ht="13.5" customHeight="1">
      <c r="A100" s="1" t="s">
        <v>258</v>
      </c>
      <c r="B100" s="2" t="s">
        <v>116</v>
      </c>
      <c r="C100" s="2" t="s">
        <v>259</v>
      </c>
      <c r="D100" s="147" t="s">
        <v>260</v>
      </c>
      <c r="E100" s="148"/>
      <c r="F100" s="2" t="s">
        <v>123</v>
      </c>
      <c r="G100" s="55">
        <v>10</v>
      </c>
      <c r="H100" s="56">
        <v>0</v>
      </c>
      <c r="I100" s="55">
        <f>G100*H100</f>
        <v>0</v>
      </c>
      <c r="J100" s="55">
        <v>0</v>
      </c>
      <c r="K100" s="55">
        <f>G100*J100</f>
        <v>0</v>
      </c>
      <c r="L100" s="57" t="s">
        <v>124</v>
      </c>
      <c r="Z100" s="55">
        <f>IF(AQ100="5",BJ100,0)</f>
        <v>0</v>
      </c>
      <c r="AB100" s="55">
        <f>IF(AQ100="1",BH100,0)</f>
        <v>0</v>
      </c>
      <c r="AC100" s="55">
        <f>IF(AQ100="1",BI100,0)</f>
        <v>0</v>
      </c>
      <c r="AD100" s="55">
        <f>IF(AQ100="7",BH100,0)</f>
        <v>0</v>
      </c>
      <c r="AE100" s="55">
        <f>IF(AQ100="7",BI100,0)</f>
        <v>0</v>
      </c>
      <c r="AF100" s="55">
        <f>IF(AQ100="2",BH100,0)</f>
        <v>0</v>
      </c>
      <c r="AG100" s="55">
        <f>IF(AQ100="2",BI100,0)</f>
        <v>0</v>
      </c>
      <c r="AH100" s="55">
        <f>IF(AQ100="0",BJ100,0)</f>
        <v>0</v>
      </c>
      <c r="AI100" s="34" t="s">
        <v>116</v>
      </c>
      <c r="AJ100" s="55">
        <f>IF(AN100=0,I100,0)</f>
        <v>0</v>
      </c>
      <c r="AK100" s="55">
        <f>IF(AN100=12,I100,0)</f>
        <v>0</v>
      </c>
      <c r="AL100" s="55">
        <f>IF(AN100=21,I100,0)</f>
        <v>0</v>
      </c>
      <c r="AN100" s="55">
        <v>21</v>
      </c>
      <c r="AO100" s="55">
        <f>H100*0</f>
        <v>0</v>
      </c>
      <c r="AP100" s="55">
        <f>H100*(1-0)</f>
        <v>0</v>
      </c>
      <c r="AQ100" s="58" t="s">
        <v>125</v>
      </c>
      <c r="AV100" s="55">
        <f>AW100+AX100</f>
        <v>0</v>
      </c>
      <c r="AW100" s="55">
        <f>G100*AO100</f>
        <v>0</v>
      </c>
      <c r="AX100" s="55">
        <f>G100*AP100</f>
        <v>0</v>
      </c>
      <c r="AY100" s="58" t="s">
        <v>126</v>
      </c>
      <c r="AZ100" s="58" t="s">
        <v>127</v>
      </c>
      <c r="BA100" s="34" t="s">
        <v>128</v>
      </c>
      <c r="BC100" s="55">
        <f>AW100+AX100</f>
        <v>0</v>
      </c>
      <c r="BD100" s="55">
        <f>H100/(100-BE100)*100</f>
        <v>0</v>
      </c>
      <c r="BE100" s="55">
        <v>0</v>
      </c>
      <c r="BF100" s="55">
        <f>K100</f>
        <v>0</v>
      </c>
      <c r="BH100" s="55">
        <f>G100*AO100</f>
        <v>0</v>
      </c>
      <c r="BI100" s="55">
        <f>G100*AP100</f>
        <v>0</v>
      </c>
      <c r="BJ100" s="55">
        <f>G100*H100</f>
        <v>0</v>
      </c>
      <c r="BK100" s="55"/>
      <c r="BL100" s="55"/>
      <c r="BW100" s="55">
        <v>21</v>
      </c>
    </row>
    <row r="101" spans="1:12" ht="13.5" customHeight="1">
      <c r="A101" s="59"/>
      <c r="D101" s="218" t="s">
        <v>261</v>
      </c>
      <c r="E101" s="219"/>
      <c r="F101" s="219"/>
      <c r="G101" s="219"/>
      <c r="H101" s="220"/>
      <c r="I101" s="219"/>
      <c r="J101" s="219"/>
      <c r="K101" s="219"/>
      <c r="L101" s="221"/>
    </row>
    <row r="102" spans="1:75" ht="13.5" customHeight="1">
      <c r="A102" s="1" t="s">
        <v>262</v>
      </c>
      <c r="B102" s="2" t="s">
        <v>116</v>
      </c>
      <c r="C102" s="2" t="s">
        <v>263</v>
      </c>
      <c r="D102" s="147" t="s">
        <v>264</v>
      </c>
      <c r="E102" s="148"/>
      <c r="F102" s="2" t="s">
        <v>123</v>
      </c>
      <c r="G102" s="55">
        <v>436</v>
      </c>
      <c r="H102" s="56">
        <v>0</v>
      </c>
      <c r="I102" s="55">
        <f>G102*H102</f>
        <v>0</v>
      </c>
      <c r="J102" s="55">
        <v>0</v>
      </c>
      <c r="K102" s="55">
        <f>G102*J102</f>
        <v>0</v>
      </c>
      <c r="L102" s="57" t="s">
        <v>124</v>
      </c>
      <c r="Z102" s="55">
        <f>IF(AQ102="5",BJ102,0)</f>
        <v>0</v>
      </c>
      <c r="AB102" s="55">
        <f>IF(AQ102="1",BH102,0)</f>
        <v>0</v>
      </c>
      <c r="AC102" s="55">
        <f>IF(AQ102="1",BI102,0)</f>
        <v>0</v>
      </c>
      <c r="AD102" s="55">
        <f>IF(AQ102="7",BH102,0)</f>
        <v>0</v>
      </c>
      <c r="AE102" s="55">
        <f>IF(AQ102="7",BI102,0)</f>
        <v>0</v>
      </c>
      <c r="AF102" s="55">
        <f>IF(AQ102="2",BH102,0)</f>
        <v>0</v>
      </c>
      <c r="AG102" s="55">
        <f>IF(AQ102="2",BI102,0)</f>
        <v>0</v>
      </c>
      <c r="AH102" s="55">
        <f>IF(AQ102="0",BJ102,0)</f>
        <v>0</v>
      </c>
      <c r="AI102" s="34" t="s">
        <v>116</v>
      </c>
      <c r="AJ102" s="55">
        <f>IF(AN102=0,I102,0)</f>
        <v>0</v>
      </c>
      <c r="AK102" s="55">
        <f>IF(AN102=12,I102,0)</f>
        <v>0</v>
      </c>
      <c r="AL102" s="55">
        <f>IF(AN102=21,I102,0)</f>
        <v>0</v>
      </c>
      <c r="AN102" s="55">
        <v>21</v>
      </c>
      <c r="AO102" s="55">
        <f>H102*0</f>
        <v>0</v>
      </c>
      <c r="AP102" s="55">
        <f>H102*(1-0)</f>
        <v>0</v>
      </c>
      <c r="AQ102" s="58" t="s">
        <v>125</v>
      </c>
      <c r="AV102" s="55">
        <f>AW102+AX102</f>
        <v>0</v>
      </c>
      <c r="AW102" s="55">
        <f>G102*AO102</f>
        <v>0</v>
      </c>
      <c r="AX102" s="55">
        <f>G102*AP102</f>
        <v>0</v>
      </c>
      <c r="AY102" s="58" t="s">
        <v>126</v>
      </c>
      <c r="AZ102" s="58" t="s">
        <v>127</v>
      </c>
      <c r="BA102" s="34" t="s">
        <v>128</v>
      </c>
      <c r="BC102" s="55">
        <f>AW102+AX102</f>
        <v>0</v>
      </c>
      <c r="BD102" s="55">
        <f>H102/(100-BE102)*100</f>
        <v>0</v>
      </c>
      <c r="BE102" s="55">
        <v>0</v>
      </c>
      <c r="BF102" s="55">
        <f>K102</f>
        <v>0</v>
      </c>
      <c r="BH102" s="55">
        <f>G102*AO102</f>
        <v>0</v>
      </c>
      <c r="BI102" s="55">
        <f>G102*AP102</f>
        <v>0</v>
      </c>
      <c r="BJ102" s="55">
        <f>G102*H102</f>
        <v>0</v>
      </c>
      <c r="BK102" s="55"/>
      <c r="BL102" s="55"/>
      <c r="BW102" s="55">
        <v>21</v>
      </c>
    </row>
    <row r="103" spans="1:12" ht="13.5" customHeight="1">
      <c r="A103" s="59"/>
      <c r="D103" s="218" t="s">
        <v>265</v>
      </c>
      <c r="E103" s="219"/>
      <c r="F103" s="219"/>
      <c r="G103" s="219"/>
      <c r="H103" s="220"/>
      <c r="I103" s="219"/>
      <c r="J103" s="219"/>
      <c r="K103" s="219"/>
      <c r="L103" s="221"/>
    </row>
    <row r="104" spans="1:75" ht="13.5" customHeight="1">
      <c r="A104" s="1" t="s">
        <v>266</v>
      </c>
      <c r="B104" s="2" t="s">
        <v>116</v>
      </c>
      <c r="C104" s="2" t="s">
        <v>267</v>
      </c>
      <c r="D104" s="147" t="s">
        <v>268</v>
      </c>
      <c r="E104" s="148"/>
      <c r="F104" s="2" t="s">
        <v>174</v>
      </c>
      <c r="G104" s="55">
        <v>100</v>
      </c>
      <c r="H104" s="56">
        <v>0</v>
      </c>
      <c r="I104" s="55">
        <f>G104*H104</f>
        <v>0</v>
      </c>
      <c r="J104" s="55">
        <v>0</v>
      </c>
      <c r="K104" s="55">
        <f>G104*J104</f>
        <v>0</v>
      </c>
      <c r="L104" s="57" t="s">
        <v>124</v>
      </c>
      <c r="Z104" s="55">
        <f>IF(AQ104="5",BJ104,0)</f>
        <v>0</v>
      </c>
      <c r="AB104" s="55">
        <f>IF(AQ104="1",BH104,0)</f>
        <v>0</v>
      </c>
      <c r="AC104" s="55">
        <f>IF(AQ104="1",BI104,0)</f>
        <v>0</v>
      </c>
      <c r="AD104" s="55">
        <f>IF(AQ104="7",BH104,0)</f>
        <v>0</v>
      </c>
      <c r="AE104" s="55">
        <f>IF(AQ104="7",BI104,0)</f>
        <v>0</v>
      </c>
      <c r="AF104" s="55">
        <f>IF(AQ104="2",BH104,0)</f>
        <v>0</v>
      </c>
      <c r="AG104" s="55">
        <f>IF(AQ104="2",BI104,0)</f>
        <v>0</v>
      </c>
      <c r="AH104" s="55">
        <f>IF(AQ104="0",BJ104,0)</f>
        <v>0</v>
      </c>
      <c r="AI104" s="34" t="s">
        <v>116</v>
      </c>
      <c r="AJ104" s="55">
        <f>IF(AN104=0,I104,0)</f>
        <v>0</v>
      </c>
      <c r="AK104" s="55">
        <f>IF(AN104=12,I104,0)</f>
        <v>0</v>
      </c>
      <c r="AL104" s="55">
        <f>IF(AN104=21,I104,0)</f>
        <v>0</v>
      </c>
      <c r="AN104" s="55">
        <v>21</v>
      </c>
      <c r="AO104" s="55">
        <f>H104*0.534246575</f>
        <v>0</v>
      </c>
      <c r="AP104" s="55">
        <f>H104*(1-0.534246575)</f>
        <v>0</v>
      </c>
      <c r="AQ104" s="58" t="s">
        <v>125</v>
      </c>
      <c r="AV104" s="55">
        <f>AW104+AX104</f>
        <v>0</v>
      </c>
      <c r="AW104" s="55">
        <f>G104*AO104</f>
        <v>0</v>
      </c>
      <c r="AX104" s="55">
        <f>G104*AP104</f>
        <v>0</v>
      </c>
      <c r="AY104" s="58" t="s">
        <v>126</v>
      </c>
      <c r="AZ104" s="58" t="s">
        <v>127</v>
      </c>
      <c r="BA104" s="34" t="s">
        <v>128</v>
      </c>
      <c r="BC104" s="55">
        <f>AW104+AX104</f>
        <v>0</v>
      </c>
      <c r="BD104" s="55">
        <f>H104/(100-BE104)*100</f>
        <v>0</v>
      </c>
      <c r="BE104" s="55">
        <v>0</v>
      </c>
      <c r="BF104" s="55">
        <f>K104</f>
        <v>0</v>
      </c>
      <c r="BH104" s="55">
        <f>G104*AO104</f>
        <v>0</v>
      </c>
      <c r="BI104" s="55">
        <f>G104*AP104</f>
        <v>0</v>
      </c>
      <c r="BJ104" s="55">
        <f>G104*H104</f>
        <v>0</v>
      </c>
      <c r="BK104" s="55"/>
      <c r="BL104" s="55"/>
      <c r="BW104" s="55">
        <v>21</v>
      </c>
    </row>
    <row r="105" spans="1:12" ht="13.5" customHeight="1">
      <c r="A105" s="59"/>
      <c r="D105" s="218" t="s">
        <v>129</v>
      </c>
      <c r="E105" s="219"/>
      <c r="F105" s="219"/>
      <c r="G105" s="219"/>
      <c r="H105" s="220"/>
      <c r="I105" s="219"/>
      <c r="J105" s="219"/>
      <c r="K105" s="219"/>
      <c r="L105" s="221"/>
    </row>
    <row r="106" spans="1:75" ht="13.5" customHeight="1">
      <c r="A106" s="1" t="s">
        <v>269</v>
      </c>
      <c r="B106" s="2" t="s">
        <v>116</v>
      </c>
      <c r="C106" s="2" t="s">
        <v>270</v>
      </c>
      <c r="D106" s="147" t="s">
        <v>271</v>
      </c>
      <c r="E106" s="148"/>
      <c r="F106" s="2" t="s">
        <v>272</v>
      </c>
      <c r="G106" s="55">
        <v>40</v>
      </c>
      <c r="H106" s="56">
        <v>0</v>
      </c>
      <c r="I106" s="55">
        <f>G106*H106</f>
        <v>0</v>
      </c>
      <c r="J106" s="55">
        <v>0</v>
      </c>
      <c r="K106" s="55">
        <f>G106*J106</f>
        <v>0</v>
      </c>
      <c r="L106" s="57" t="s">
        <v>124</v>
      </c>
      <c r="Z106" s="55">
        <f>IF(AQ106="5",BJ106,0)</f>
        <v>0</v>
      </c>
      <c r="AB106" s="55">
        <f>IF(AQ106="1",BH106,0)</f>
        <v>0</v>
      </c>
      <c r="AC106" s="55">
        <f>IF(AQ106="1",BI106,0)</f>
        <v>0</v>
      </c>
      <c r="AD106" s="55">
        <f>IF(AQ106="7",BH106,0)</f>
        <v>0</v>
      </c>
      <c r="AE106" s="55">
        <f>IF(AQ106="7",BI106,0)</f>
        <v>0</v>
      </c>
      <c r="AF106" s="55">
        <f>IF(AQ106="2",BH106,0)</f>
        <v>0</v>
      </c>
      <c r="AG106" s="55">
        <f>IF(AQ106="2",BI106,0)</f>
        <v>0</v>
      </c>
      <c r="AH106" s="55">
        <f>IF(AQ106="0",BJ106,0)</f>
        <v>0</v>
      </c>
      <c r="AI106" s="34" t="s">
        <v>116</v>
      </c>
      <c r="AJ106" s="55">
        <f>IF(AN106=0,I106,0)</f>
        <v>0</v>
      </c>
      <c r="AK106" s="55">
        <f>IF(AN106=12,I106,0)</f>
        <v>0</v>
      </c>
      <c r="AL106" s="55">
        <f>IF(AN106=21,I106,0)</f>
        <v>0</v>
      </c>
      <c r="AN106" s="55">
        <v>21</v>
      </c>
      <c r="AO106" s="55">
        <f>H106*0.528942116</f>
        <v>0</v>
      </c>
      <c r="AP106" s="55">
        <f>H106*(1-0.528942116)</f>
        <v>0</v>
      </c>
      <c r="AQ106" s="58" t="s">
        <v>125</v>
      </c>
      <c r="AV106" s="55">
        <f>AW106+AX106</f>
        <v>0</v>
      </c>
      <c r="AW106" s="55">
        <f>G106*AO106</f>
        <v>0</v>
      </c>
      <c r="AX106" s="55">
        <f>G106*AP106</f>
        <v>0</v>
      </c>
      <c r="AY106" s="58" t="s">
        <v>126</v>
      </c>
      <c r="AZ106" s="58" t="s">
        <v>127</v>
      </c>
      <c r="BA106" s="34" t="s">
        <v>128</v>
      </c>
      <c r="BC106" s="55">
        <f>AW106+AX106</f>
        <v>0</v>
      </c>
      <c r="BD106" s="55">
        <f>H106/(100-BE106)*100</f>
        <v>0</v>
      </c>
      <c r="BE106" s="55">
        <v>0</v>
      </c>
      <c r="BF106" s="55">
        <f>K106</f>
        <v>0</v>
      </c>
      <c r="BH106" s="55">
        <f>G106*AO106</f>
        <v>0</v>
      </c>
      <c r="BI106" s="55">
        <f>G106*AP106</f>
        <v>0</v>
      </c>
      <c r="BJ106" s="55">
        <f>G106*H106</f>
        <v>0</v>
      </c>
      <c r="BK106" s="55"/>
      <c r="BL106" s="55"/>
      <c r="BW106" s="55">
        <v>21</v>
      </c>
    </row>
    <row r="107" spans="1:12" ht="13.5" customHeight="1">
      <c r="A107" s="59"/>
      <c r="D107" s="218" t="s">
        <v>129</v>
      </c>
      <c r="E107" s="219"/>
      <c r="F107" s="219"/>
      <c r="G107" s="219"/>
      <c r="H107" s="220"/>
      <c r="I107" s="219"/>
      <c r="J107" s="219"/>
      <c r="K107" s="219"/>
      <c r="L107" s="221"/>
    </row>
    <row r="108" spans="1:75" ht="27" customHeight="1">
      <c r="A108" s="1" t="s">
        <v>273</v>
      </c>
      <c r="B108" s="2" t="s">
        <v>116</v>
      </c>
      <c r="C108" s="2" t="s">
        <v>274</v>
      </c>
      <c r="D108" s="147" t="s">
        <v>275</v>
      </c>
      <c r="E108" s="148"/>
      <c r="F108" s="2" t="s">
        <v>250</v>
      </c>
      <c r="G108" s="55">
        <v>1</v>
      </c>
      <c r="H108" s="56">
        <v>0</v>
      </c>
      <c r="I108" s="55">
        <f>G108*H108</f>
        <v>0</v>
      </c>
      <c r="J108" s="55">
        <v>0</v>
      </c>
      <c r="K108" s="55">
        <f>G108*J108</f>
        <v>0</v>
      </c>
      <c r="L108" s="57" t="s">
        <v>124</v>
      </c>
      <c r="Z108" s="55">
        <f>IF(AQ108="5",BJ108,0)</f>
        <v>0</v>
      </c>
      <c r="AB108" s="55">
        <f>IF(AQ108="1",BH108,0)</f>
        <v>0</v>
      </c>
      <c r="AC108" s="55">
        <f>IF(AQ108="1",BI108,0)</f>
        <v>0</v>
      </c>
      <c r="AD108" s="55">
        <f>IF(AQ108="7",BH108,0)</f>
        <v>0</v>
      </c>
      <c r="AE108" s="55">
        <f>IF(AQ108="7",BI108,0)</f>
        <v>0</v>
      </c>
      <c r="AF108" s="55">
        <f>IF(AQ108="2",BH108,0)</f>
        <v>0</v>
      </c>
      <c r="AG108" s="55">
        <f>IF(AQ108="2",BI108,0)</f>
        <v>0</v>
      </c>
      <c r="AH108" s="55">
        <f>IF(AQ108="0",BJ108,0)</f>
        <v>0</v>
      </c>
      <c r="AI108" s="34" t="s">
        <v>116</v>
      </c>
      <c r="AJ108" s="55">
        <f>IF(AN108=0,I108,0)</f>
        <v>0</v>
      </c>
      <c r="AK108" s="55">
        <f>IF(AN108=12,I108,0)</f>
        <v>0</v>
      </c>
      <c r="AL108" s="55">
        <f>IF(AN108=21,I108,0)</f>
        <v>0</v>
      </c>
      <c r="AN108" s="55">
        <v>21</v>
      </c>
      <c r="AO108" s="55">
        <f>H108*0</f>
        <v>0</v>
      </c>
      <c r="AP108" s="55">
        <f>H108*(1-0)</f>
        <v>0</v>
      </c>
      <c r="AQ108" s="58" t="s">
        <v>125</v>
      </c>
      <c r="AV108" s="55">
        <f>AW108+AX108</f>
        <v>0</v>
      </c>
      <c r="AW108" s="55">
        <f>G108*AO108</f>
        <v>0</v>
      </c>
      <c r="AX108" s="55">
        <f>G108*AP108</f>
        <v>0</v>
      </c>
      <c r="AY108" s="58" t="s">
        <v>126</v>
      </c>
      <c r="AZ108" s="58" t="s">
        <v>127</v>
      </c>
      <c r="BA108" s="34" t="s">
        <v>128</v>
      </c>
      <c r="BC108" s="55">
        <f>AW108+AX108</f>
        <v>0</v>
      </c>
      <c r="BD108" s="55">
        <f>H108/(100-BE108)*100</f>
        <v>0</v>
      </c>
      <c r="BE108" s="55">
        <v>0</v>
      </c>
      <c r="BF108" s="55">
        <f>K108</f>
        <v>0</v>
      </c>
      <c r="BH108" s="55">
        <f>G108*AO108</f>
        <v>0</v>
      </c>
      <c r="BI108" s="55">
        <f>G108*AP108</f>
        <v>0</v>
      </c>
      <c r="BJ108" s="55">
        <f>G108*H108</f>
        <v>0</v>
      </c>
      <c r="BK108" s="55"/>
      <c r="BL108" s="55"/>
      <c r="BW108" s="55">
        <v>21</v>
      </c>
    </row>
    <row r="109" spans="1:12" ht="13.5" customHeight="1">
      <c r="A109" s="59"/>
      <c r="D109" s="218" t="s">
        <v>276</v>
      </c>
      <c r="E109" s="219"/>
      <c r="F109" s="219"/>
      <c r="G109" s="219"/>
      <c r="H109" s="220"/>
      <c r="I109" s="219"/>
      <c r="J109" s="219"/>
      <c r="K109" s="219"/>
      <c r="L109" s="221"/>
    </row>
    <row r="110" spans="1:75" ht="13.5" customHeight="1">
      <c r="A110" s="1" t="s">
        <v>277</v>
      </c>
      <c r="B110" s="2" t="s">
        <v>116</v>
      </c>
      <c r="C110" s="2" t="s">
        <v>278</v>
      </c>
      <c r="D110" s="147" t="s">
        <v>279</v>
      </c>
      <c r="E110" s="148"/>
      <c r="F110" s="2" t="s">
        <v>250</v>
      </c>
      <c r="G110" s="55">
        <v>1</v>
      </c>
      <c r="H110" s="56">
        <v>0</v>
      </c>
      <c r="I110" s="55">
        <f>G110*H110</f>
        <v>0</v>
      </c>
      <c r="J110" s="55">
        <v>0</v>
      </c>
      <c r="K110" s="55">
        <f>G110*J110</f>
        <v>0</v>
      </c>
      <c r="L110" s="57" t="s">
        <v>124</v>
      </c>
      <c r="Z110" s="55">
        <f>IF(AQ110="5",BJ110,0)</f>
        <v>0</v>
      </c>
      <c r="AB110" s="55">
        <f>IF(AQ110="1",BH110,0)</f>
        <v>0</v>
      </c>
      <c r="AC110" s="55">
        <f>IF(AQ110="1",BI110,0)</f>
        <v>0</v>
      </c>
      <c r="AD110" s="55">
        <f>IF(AQ110="7",BH110,0)</f>
        <v>0</v>
      </c>
      <c r="AE110" s="55">
        <f>IF(AQ110="7",BI110,0)</f>
        <v>0</v>
      </c>
      <c r="AF110" s="55">
        <f>IF(AQ110="2",BH110,0)</f>
        <v>0</v>
      </c>
      <c r="AG110" s="55">
        <f>IF(AQ110="2",BI110,0)</f>
        <v>0</v>
      </c>
      <c r="AH110" s="55">
        <f>IF(AQ110="0",BJ110,0)</f>
        <v>0</v>
      </c>
      <c r="AI110" s="34" t="s">
        <v>116</v>
      </c>
      <c r="AJ110" s="55">
        <f>IF(AN110=0,I110,0)</f>
        <v>0</v>
      </c>
      <c r="AK110" s="55">
        <f>IF(AN110=12,I110,0)</f>
        <v>0</v>
      </c>
      <c r="AL110" s="55">
        <f>IF(AN110=21,I110,0)</f>
        <v>0</v>
      </c>
      <c r="AN110" s="55">
        <v>21</v>
      </c>
      <c r="AO110" s="55">
        <f>H110*0</f>
        <v>0</v>
      </c>
      <c r="AP110" s="55">
        <f>H110*(1-0)</f>
        <v>0</v>
      </c>
      <c r="AQ110" s="58" t="s">
        <v>125</v>
      </c>
      <c r="AV110" s="55">
        <f>AW110+AX110</f>
        <v>0</v>
      </c>
      <c r="AW110" s="55">
        <f>G110*AO110</f>
        <v>0</v>
      </c>
      <c r="AX110" s="55">
        <f>G110*AP110</f>
        <v>0</v>
      </c>
      <c r="AY110" s="58" t="s">
        <v>126</v>
      </c>
      <c r="AZ110" s="58" t="s">
        <v>127</v>
      </c>
      <c r="BA110" s="34" t="s">
        <v>128</v>
      </c>
      <c r="BC110" s="55">
        <f>AW110+AX110</f>
        <v>0</v>
      </c>
      <c r="BD110" s="55">
        <f>H110/(100-BE110)*100</f>
        <v>0</v>
      </c>
      <c r="BE110" s="55">
        <v>0</v>
      </c>
      <c r="BF110" s="55">
        <f>K110</f>
        <v>0</v>
      </c>
      <c r="BH110" s="55">
        <f>G110*AO110</f>
        <v>0</v>
      </c>
      <c r="BI110" s="55">
        <f>G110*AP110</f>
        <v>0</v>
      </c>
      <c r="BJ110" s="55">
        <f>G110*H110</f>
        <v>0</v>
      </c>
      <c r="BK110" s="55"/>
      <c r="BL110" s="55"/>
      <c r="BW110" s="55">
        <v>21</v>
      </c>
    </row>
    <row r="111" spans="1:75" ht="13.5" customHeight="1">
      <c r="A111" s="1" t="s">
        <v>280</v>
      </c>
      <c r="B111" s="2" t="s">
        <v>116</v>
      </c>
      <c r="C111" s="2" t="s">
        <v>281</v>
      </c>
      <c r="D111" s="147" t="s">
        <v>282</v>
      </c>
      <c r="E111" s="148"/>
      <c r="F111" s="2" t="s">
        <v>250</v>
      </c>
      <c r="G111" s="55">
        <v>1</v>
      </c>
      <c r="H111" s="56">
        <v>0</v>
      </c>
      <c r="I111" s="55">
        <f>G111*H111</f>
        <v>0</v>
      </c>
      <c r="J111" s="55">
        <v>0</v>
      </c>
      <c r="K111" s="55">
        <f>G111*J111</f>
        <v>0</v>
      </c>
      <c r="L111" s="57" t="s">
        <v>124</v>
      </c>
      <c r="Z111" s="55">
        <f>IF(AQ111="5",BJ111,0)</f>
        <v>0</v>
      </c>
      <c r="AB111" s="55">
        <f>IF(AQ111="1",BH111,0)</f>
        <v>0</v>
      </c>
      <c r="AC111" s="55">
        <f>IF(AQ111="1",BI111,0)</f>
        <v>0</v>
      </c>
      <c r="AD111" s="55">
        <f>IF(AQ111="7",BH111,0)</f>
        <v>0</v>
      </c>
      <c r="AE111" s="55">
        <f>IF(AQ111="7",BI111,0)</f>
        <v>0</v>
      </c>
      <c r="AF111" s="55">
        <f>IF(AQ111="2",BH111,0)</f>
        <v>0</v>
      </c>
      <c r="AG111" s="55">
        <f>IF(AQ111="2",BI111,0)</f>
        <v>0</v>
      </c>
      <c r="AH111" s="55">
        <f>IF(AQ111="0",BJ111,0)</f>
        <v>0</v>
      </c>
      <c r="AI111" s="34" t="s">
        <v>116</v>
      </c>
      <c r="AJ111" s="55">
        <f>IF(AN111=0,I111,0)</f>
        <v>0</v>
      </c>
      <c r="AK111" s="55">
        <f>IF(AN111=12,I111,0)</f>
        <v>0</v>
      </c>
      <c r="AL111" s="55">
        <f>IF(AN111=21,I111,0)</f>
        <v>0</v>
      </c>
      <c r="AN111" s="55">
        <v>21</v>
      </c>
      <c r="AO111" s="55">
        <f>H111*0</f>
        <v>0</v>
      </c>
      <c r="AP111" s="55">
        <f>H111*(1-0)</f>
        <v>0</v>
      </c>
      <c r="AQ111" s="58" t="s">
        <v>125</v>
      </c>
      <c r="AV111" s="55">
        <f>AW111+AX111</f>
        <v>0</v>
      </c>
      <c r="AW111" s="55">
        <f>G111*AO111</f>
        <v>0</v>
      </c>
      <c r="AX111" s="55">
        <f>G111*AP111</f>
        <v>0</v>
      </c>
      <c r="AY111" s="58" t="s">
        <v>126</v>
      </c>
      <c r="AZ111" s="58" t="s">
        <v>127</v>
      </c>
      <c r="BA111" s="34" t="s">
        <v>128</v>
      </c>
      <c r="BC111" s="55">
        <f>AW111+AX111</f>
        <v>0</v>
      </c>
      <c r="BD111" s="55">
        <f>H111/(100-BE111)*100</f>
        <v>0</v>
      </c>
      <c r="BE111" s="55">
        <v>0</v>
      </c>
      <c r="BF111" s="55">
        <f>K111</f>
        <v>0</v>
      </c>
      <c r="BH111" s="55">
        <f>G111*AO111</f>
        <v>0</v>
      </c>
      <c r="BI111" s="55">
        <f>G111*AP111</f>
        <v>0</v>
      </c>
      <c r="BJ111" s="55">
        <f>G111*H111</f>
        <v>0</v>
      </c>
      <c r="BK111" s="55"/>
      <c r="BL111" s="55"/>
      <c r="BW111" s="55">
        <v>21</v>
      </c>
    </row>
    <row r="112" spans="1:75" ht="13.5" customHeight="1">
      <c r="A112" s="1" t="s">
        <v>283</v>
      </c>
      <c r="B112" s="2" t="s">
        <v>116</v>
      </c>
      <c r="C112" s="2" t="s">
        <v>284</v>
      </c>
      <c r="D112" s="147" t="s">
        <v>285</v>
      </c>
      <c r="E112" s="148"/>
      <c r="F112" s="2" t="s">
        <v>250</v>
      </c>
      <c r="G112" s="55">
        <v>1</v>
      </c>
      <c r="H112" s="56">
        <v>0</v>
      </c>
      <c r="I112" s="55">
        <f>G112*H112</f>
        <v>0</v>
      </c>
      <c r="J112" s="55">
        <v>0</v>
      </c>
      <c r="K112" s="55">
        <f>G112*J112</f>
        <v>0</v>
      </c>
      <c r="L112" s="57" t="s">
        <v>124</v>
      </c>
      <c r="Z112" s="55">
        <f>IF(AQ112="5",BJ112,0)</f>
        <v>0</v>
      </c>
      <c r="AB112" s="55">
        <f>IF(AQ112="1",BH112,0)</f>
        <v>0</v>
      </c>
      <c r="AC112" s="55">
        <f>IF(AQ112="1",BI112,0)</f>
        <v>0</v>
      </c>
      <c r="AD112" s="55">
        <f>IF(AQ112="7",BH112,0)</f>
        <v>0</v>
      </c>
      <c r="AE112" s="55">
        <f>IF(AQ112="7",BI112,0)</f>
        <v>0</v>
      </c>
      <c r="AF112" s="55">
        <f>IF(AQ112="2",BH112,0)</f>
        <v>0</v>
      </c>
      <c r="AG112" s="55">
        <f>IF(AQ112="2",BI112,0)</f>
        <v>0</v>
      </c>
      <c r="AH112" s="55">
        <f>IF(AQ112="0",BJ112,0)</f>
        <v>0</v>
      </c>
      <c r="AI112" s="34" t="s">
        <v>116</v>
      </c>
      <c r="AJ112" s="55">
        <f>IF(AN112=0,I112,0)</f>
        <v>0</v>
      </c>
      <c r="AK112" s="55">
        <f>IF(AN112=12,I112,0)</f>
        <v>0</v>
      </c>
      <c r="AL112" s="55">
        <f>IF(AN112=21,I112,0)</f>
        <v>0</v>
      </c>
      <c r="AN112" s="55">
        <v>21</v>
      </c>
      <c r="AO112" s="55">
        <f>H112*0</f>
        <v>0</v>
      </c>
      <c r="AP112" s="55">
        <f>H112*(1-0)</f>
        <v>0</v>
      </c>
      <c r="AQ112" s="58" t="s">
        <v>125</v>
      </c>
      <c r="AV112" s="55">
        <f>AW112+AX112</f>
        <v>0</v>
      </c>
      <c r="AW112" s="55">
        <f>G112*AO112</f>
        <v>0</v>
      </c>
      <c r="AX112" s="55">
        <f>G112*AP112</f>
        <v>0</v>
      </c>
      <c r="AY112" s="58" t="s">
        <v>126</v>
      </c>
      <c r="AZ112" s="58" t="s">
        <v>127</v>
      </c>
      <c r="BA112" s="34" t="s">
        <v>128</v>
      </c>
      <c r="BC112" s="55">
        <f>AW112+AX112</f>
        <v>0</v>
      </c>
      <c r="BD112" s="55">
        <f>H112/(100-BE112)*100</f>
        <v>0</v>
      </c>
      <c r="BE112" s="55">
        <v>0</v>
      </c>
      <c r="BF112" s="55">
        <f>K112</f>
        <v>0</v>
      </c>
      <c r="BH112" s="55">
        <f>G112*AO112</f>
        <v>0</v>
      </c>
      <c r="BI112" s="55">
        <f>G112*AP112</f>
        <v>0</v>
      </c>
      <c r="BJ112" s="55">
        <f>G112*H112</f>
        <v>0</v>
      </c>
      <c r="BK112" s="55"/>
      <c r="BL112" s="55"/>
      <c r="BW112" s="55">
        <v>21</v>
      </c>
    </row>
    <row r="113" spans="1:75" ht="13.5" customHeight="1">
      <c r="A113" s="1" t="s">
        <v>286</v>
      </c>
      <c r="B113" s="2" t="s">
        <v>116</v>
      </c>
      <c r="C113" s="2" t="s">
        <v>287</v>
      </c>
      <c r="D113" s="147" t="s">
        <v>288</v>
      </c>
      <c r="E113" s="148"/>
      <c r="F113" s="2" t="s">
        <v>250</v>
      </c>
      <c r="G113" s="55">
        <v>1</v>
      </c>
      <c r="H113" s="56">
        <v>0</v>
      </c>
      <c r="I113" s="55">
        <f>G113*H113</f>
        <v>0</v>
      </c>
      <c r="J113" s="55">
        <v>0</v>
      </c>
      <c r="K113" s="55">
        <f>G113*J113</f>
        <v>0</v>
      </c>
      <c r="L113" s="57" t="s">
        <v>124</v>
      </c>
      <c r="Z113" s="55">
        <f>IF(AQ113="5",BJ113,0)</f>
        <v>0</v>
      </c>
      <c r="AB113" s="55">
        <f>IF(AQ113="1",BH113,0)</f>
        <v>0</v>
      </c>
      <c r="AC113" s="55">
        <f>IF(AQ113="1",BI113,0)</f>
        <v>0</v>
      </c>
      <c r="AD113" s="55">
        <f>IF(AQ113="7",BH113,0)</f>
        <v>0</v>
      </c>
      <c r="AE113" s="55">
        <f>IF(AQ113="7",BI113,0)</f>
        <v>0</v>
      </c>
      <c r="AF113" s="55">
        <f>IF(AQ113="2",BH113,0)</f>
        <v>0</v>
      </c>
      <c r="AG113" s="55">
        <f>IF(AQ113="2",BI113,0)</f>
        <v>0</v>
      </c>
      <c r="AH113" s="55">
        <f>IF(AQ113="0",BJ113,0)</f>
        <v>0</v>
      </c>
      <c r="AI113" s="34" t="s">
        <v>116</v>
      </c>
      <c r="AJ113" s="55">
        <f>IF(AN113=0,I113,0)</f>
        <v>0</v>
      </c>
      <c r="AK113" s="55">
        <f>IF(AN113=12,I113,0)</f>
        <v>0</v>
      </c>
      <c r="AL113" s="55">
        <f>IF(AN113=21,I113,0)</f>
        <v>0</v>
      </c>
      <c r="AN113" s="55">
        <v>21</v>
      </c>
      <c r="AO113" s="55">
        <f>H113*0</f>
        <v>0</v>
      </c>
      <c r="AP113" s="55">
        <f>H113*(1-0)</f>
        <v>0</v>
      </c>
      <c r="AQ113" s="58" t="s">
        <v>125</v>
      </c>
      <c r="AV113" s="55">
        <f>AW113+AX113</f>
        <v>0</v>
      </c>
      <c r="AW113" s="55">
        <f>G113*AO113</f>
        <v>0</v>
      </c>
      <c r="AX113" s="55">
        <f>G113*AP113</f>
        <v>0</v>
      </c>
      <c r="AY113" s="58" t="s">
        <v>126</v>
      </c>
      <c r="AZ113" s="58" t="s">
        <v>127</v>
      </c>
      <c r="BA113" s="34" t="s">
        <v>128</v>
      </c>
      <c r="BC113" s="55">
        <f>AW113+AX113</f>
        <v>0</v>
      </c>
      <c r="BD113" s="55">
        <f>H113/(100-BE113)*100</f>
        <v>0</v>
      </c>
      <c r="BE113" s="55">
        <v>0</v>
      </c>
      <c r="BF113" s="55">
        <f>K113</f>
        <v>0</v>
      </c>
      <c r="BH113" s="55">
        <f>G113*AO113</f>
        <v>0</v>
      </c>
      <c r="BI113" s="55">
        <f>G113*AP113</f>
        <v>0</v>
      </c>
      <c r="BJ113" s="55">
        <f>G113*H113</f>
        <v>0</v>
      </c>
      <c r="BK113" s="55"/>
      <c r="BL113" s="55"/>
      <c r="BW113" s="55">
        <v>21</v>
      </c>
    </row>
    <row r="114" spans="1:75" ht="27" customHeight="1">
      <c r="A114" s="1" t="s">
        <v>289</v>
      </c>
      <c r="B114" s="2" t="s">
        <v>116</v>
      </c>
      <c r="C114" s="2" t="s">
        <v>290</v>
      </c>
      <c r="D114" s="147" t="s">
        <v>291</v>
      </c>
      <c r="E114" s="148"/>
      <c r="F114" s="2" t="s">
        <v>123</v>
      </c>
      <c r="G114" s="55">
        <v>1</v>
      </c>
      <c r="H114" s="56">
        <v>0</v>
      </c>
      <c r="I114" s="55">
        <f>G114*H114</f>
        <v>0</v>
      </c>
      <c r="J114" s="55">
        <v>0</v>
      </c>
      <c r="K114" s="55">
        <f>G114*J114</f>
        <v>0</v>
      </c>
      <c r="L114" s="57" t="s">
        <v>124</v>
      </c>
      <c r="Z114" s="55">
        <f>IF(AQ114="5",BJ114,0)</f>
        <v>0</v>
      </c>
      <c r="AB114" s="55">
        <f>IF(AQ114="1",BH114,0)</f>
        <v>0</v>
      </c>
      <c r="AC114" s="55">
        <f>IF(AQ114="1",BI114,0)</f>
        <v>0</v>
      </c>
      <c r="AD114" s="55">
        <f>IF(AQ114="7",BH114,0)</f>
        <v>0</v>
      </c>
      <c r="AE114" s="55">
        <f>IF(AQ114="7",BI114,0)</f>
        <v>0</v>
      </c>
      <c r="AF114" s="55">
        <f>IF(AQ114="2",BH114,0)</f>
        <v>0</v>
      </c>
      <c r="AG114" s="55">
        <f>IF(AQ114="2",BI114,0)</f>
        <v>0</v>
      </c>
      <c r="AH114" s="55">
        <f>IF(AQ114="0",BJ114,0)</f>
        <v>0</v>
      </c>
      <c r="AI114" s="34" t="s">
        <v>116</v>
      </c>
      <c r="AJ114" s="55">
        <f>IF(AN114=0,I114,0)</f>
        <v>0</v>
      </c>
      <c r="AK114" s="55">
        <f>IF(AN114=12,I114,0)</f>
        <v>0</v>
      </c>
      <c r="AL114" s="55">
        <f>IF(AN114=21,I114,0)</f>
        <v>0</v>
      </c>
      <c r="AN114" s="55">
        <v>21</v>
      </c>
      <c r="AO114" s="55">
        <f>H114*0.653901037</f>
        <v>0</v>
      </c>
      <c r="AP114" s="55">
        <f>H114*(1-0.653901037)</f>
        <v>0</v>
      </c>
      <c r="AQ114" s="58" t="s">
        <v>125</v>
      </c>
      <c r="AV114" s="55">
        <f>AW114+AX114</f>
        <v>0</v>
      </c>
      <c r="AW114" s="55">
        <f>G114*AO114</f>
        <v>0</v>
      </c>
      <c r="AX114" s="55">
        <f>G114*AP114</f>
        <v>0</v>
      </c>
      <c r="AY114" s="58" t="s">
        <v>126</v>
      </c>
      <c r="AZ114" s="58" t="s">
        <v>127</v>
      </c>
      <c r="BA114" s="34" t="s">
        <v>128</v>
      </c>
      <c r="BC114" s="55">
        <f>AW114+AX114</f>
        <v>0</v>
      </c>
      <c r="BD114" s="55">
        <f>H114/(100-BE114)*100</f>
        <v>0</v>
      </c>
      <c r="BE114" s="55">
        <v>0</v>
      </c>
      <c r="BF114" s="55">
        <f>K114</f>
        <v>0</v>
      </c>
      <c r="BH114" s="55">
        <f>G114*AO114</f>
        <v>0</v>
      </c>
      <c r="BI114" s="55">
        <f>G114*AP114</f>
        <v>0</v>
      </c>
      <c r="BJ114" s="55">
        <f>G114*H114</f>
        <v>0</v>
      </c>
      <c r="BK114" s="55"/>
      <c r="BL114" s="55"/>
      <c r="BW114" s="55">
        <v>21</v>
      </c>
    </row>
    <row r="115" spans="1:12" ht="13.5" customHeight="1">
      <c r="A115" s="59"/>
      <c r="D115" s="218" t="s">
        <v>129</v>
      </c>
      <c r="E115" s="219"/>
      <c r="F115" s="219"/>
      <c r="G115" s="219"/>
      <c r="H115" s="220"/>
      <c r="I115" s="219"/>
      <c r="J115" s="219"/>
      <c r="K115" s="219"/>
      <c r="L115" s="221"/>
    </row>
    <row r="116" spans="1:75" ht="13.5" customHeight="1">
      <c r="A116" s="1" t="s">
        <v>292</v>
      </c>
      <c r="B116" s="2" t="s">
        <v>116</v>
      </c>
      <c r="C116" s="2" t="s">
        <v>293</v>
      </c>
      <c r="D116" s="147" t="s">
        <v>294</v>
      </c>
      <c r="E116" s="148"/>
      <c r="F116" s="2" t="s">
        <v>123</v>
      </c>
      <c r="G116" s="55">
        <v>1</v>
      </c>
      <c r="H116" s="56">
        <v>0</v>
      </c>
      <c r="I116" s="55">
        <f>G116*H116</f>
        <v>0</v>
      </c>
      <c r="J116" s="55">
        <v>0</v>
      </c>
      <c r="K116" s="55">
        <f>G116*J116</f>
        <v>0</v>
      </c>
      <c r="L116" s="57" t="s">
        <v>124</v>
      </c>
      <c r="Z116" s="55">
        <f>IF(AQ116="5",BJ116,0)</f>
        <v>0</v>
      </c>
      <c r="AB116" s="55">
        <f>IF(AQ116="1",BH116,0)</f>
        <v>0</v>
      </c>
      <c r="AC116" s="55">
        <f>IF(AQ116="1",BI116,0)</f>
        <v>0</v>
      </c>
      <c r="AD116" s="55">
        <f>IF(AQ116="7",BH116,0)</f>
        <v>0</v>
      </c>
      <c r="AE116" s="55">
        <f>IF(AQ116="7",BI116,0)</f>
        <v>0</v>
      </c>
      <c r="AF116" s="55">
        <f>IF(AQ116="2",BH116,0)</f>
        <v>0</v>
      </c>
      <c r="AG116" s="55">
        <f>IF(AQ116="2",BI116,0)</f>
        <v>0</v>
      </c>
      <c r="AH116" s="55">
        <f>IF(AQ116="0",BJ116,0)</f>
        <v>0</v>
      </c>
      <c r="AI116" s="34" t="s">
        <v>116</v>
      </c>
      <c r="AJ116" s="55">
        <f>IF(AN116=0,I116,0)</f>
        <v>0</v>
      </c>
      <c r="AK116" s="55">
        <f>IF(AN116=12,I116,0)</f>
        <v>0</v>
      </c>
      <c r="AL116" s="55">
        <f>IF(AN116=21,I116,0)</f>
        <v>0</v>
      </c>
      <c r="AN116" s="55">
        <v>21</v>
      </c>
      <c r="AO116" s="55">
        <f>H116*0.97555472</f>
        <v>0</v>
      </c>
      <c r="AP116" s="55">
        <f>H116*(1-0.97555472)</f>
        <v>0</v>
      </c>
      <c r="AQ116" s="58" t="s">
        <v>125</v>
      </c>
      <c r="AV116" s="55">
        <f>AW116+AX116</f>
        <v>0</v>
      </c>
      <c r="AW116" s="55">
        <f>G116*AO116</f>
        <v>0</v>
      </c>
      <c r="AX116" s="55">
        <f>G116*AP116</f>
        <v>0</v>
      </c>
      <c r="AY116" s="58" t="s">
        <v>126</v>
      </c>
      <c r="AZ116" s="58" t="s">
        <v>127</v>
      </c>
      <c r="BA116" s="34" t="s">
        <v>128</v>
      </c>
      <c r="BC116" s="55">
        <f>AW116+AX116</f>
        <v>0</v>
      </c>
      <c r="BD116" s="55">
        <f>H116/(100-BE116)*100</f>
        <v>0</v>
      </c>
      <c r="BE116" s="55">
        <v>0</v>
      </c>
      <c r="BF116" s="55">
        <f>K116</f>
        <v>0</v>
      </c>
      <c r="BH116" s="55">
        <f>G116*AO116</f>
        <v>0</v>
      </c>
      <c r="BI116" s="55">
        <f>G116*AP116</f>
        <v>0</v>
      </c>
      <c r="BJ116" s="55">
        <f>G116*H116</f>
        <v>0</v>
      </c>
      <c r="BK116" s="55"/>
      <c r="BL116" s="55"/>
      <c r="BW116" s="55">
        <v>21</v>
      </c>
    </row>
    <row r="117" spans="1:12" ht="13.5" customHeight="1">
      <c r="A117" s="59"/>
      <c r="D117" s="218" t="s">
        <v>129</v>
      </c>
      <c r="E117" s="219"/>
      <c r="F117" s="219"/>
      <c r="G117" s="219"/>
      <c r="H117" s="220"/>
      <c r="I117" s="219"/>
      <c r="J117" s="219"/>
      <c r="K117" s="219"/>
      <c r="L117" s="221"/>
    </row>
    <row r="118" spans="1:75" ht="13.5" customHeight="1">
      <c r="A118" s="1" t="s">
        <v>295</v>
      </c>
      <c r="B118" s="2" t="s">
        <v>116</v>
      </c>
      <c r="C118" s="2" t="s">
        <v>296</v>
      </c>
      <c r="D118" s="147" t="s">
        <v>297</v>
      </c>
      <c r="E118" s="148"/>
      <c r="F118" s="2" t="s">
        <v>123</v>
      </c>
      <c r="G118" s="55">
        <v>1</v>
      </c>
      <c r="H118" s="56">
        <v>0</v>
      </c>
      <c r="I118" s="55">
        <f>G118*H118</f>
        <v>0</v>
      </c>
      <c r="J118" s="55">
        <v>0</v>
      </c>
      <c r="K118" s="55">
        <f>G118*J118</f>
        <v>0</v>
      </c>
      <c r="L118" s="57" t="s">
        <v>124</v>
      </c>
      <c r="Z118" s="55">
        <f>IF(AQ118="5",BJ118,0)</f>
        <v>0</v>
      </c>
      <c r="AB118" s="55">
        <f>IF(AQ118="1",BH118,0)</f>
        <v>0</v>
      </c>
      <c r="AC118" s="55">
        <f>IF(AQ118="1",BI118,0)</f>
        <v>0</v>
      </c>
      <c r="AD118" s="55">
        <f>IF(AQ118="7",BH118,0)</f>
        <v>0</v>
      </c>
      <c r="AE118" s="55">
        <f>IF(AQ118="7",BI118,0)</f>
        <v>0</v>
      </c>
      <c r="AF118" s="55">
        <f>IF(AQ118="2",BH118,0)</f>
        <v>0</v>
      </c>
      <c r="AG118" s="55">
        <f>IF(AQ118="2",BI118,0)</f>
        <v>0</v>
      </c>
      <c r="AH118" s="55">
        <f>IF(AQ118="0",BJ118,0)</f>
        <v>0</v>
      </c>
      <c r="AI118" s="34" t="s">
        <v>116</v>
      </c>
      <c r="AJ118" s="55">
        <f>IF(AN118=0,I118,0)</f>
        <v>0</v>
      </c>
      <c r="AK118" s="55">
        <f>IF(AN118=12,I118,0)</f>
        <v>0</v>
      </c>
      <c r="AL118" s="55">
        <f>IF(AN118=21,I118,0)</f>
        <v>0</v>
      </c>
      <c r="AN118" s="55">
        <v>21</v>
      </c>
      <c r="AO118" s="55">
        <f>H118*0.71875</f>
        <v>0</v>
      </c>
      <c r="AP118" s="55">
        <f>H118*(1-0.71875)</f>
        <v>0</v>
      </c>
      <c r="AQ118" s="58" t="s">
        <v>125</v>
      </c>
      <c r="AV118" s="55">
        <f>AW118+AX118</f>
        <v>0</v>
      </c>
      <c r="AW118" s="55">
        <f>G118*AO118</f>
        <v>0</v>
      </c>
      <c r="AX118" s="55">
        <f>G118*AP118</f>
        <v>0</v>
      </c>
      <c r="AY118" s="58" t="s">
        <v>126</v>
      </c>
      <c r="AZ118" s="58" t="s">
        <v>127</v>
      </c>
      <c r="BA118" s="34" t="s">
        <v>128</v>
      </c>
      <c r="BC118" s="55">
        <f>AW118+AX118</f>
        <v>0</v>
      </c>
      <c r="BD118" s="55">
        <f>H118/(100-BE118)*100</f>
        <v>0</v>
      </c>
      <c r="BE118" s="55">
        <v>0</v>
      </c>
      <c r="BF118" s="55">
        <f>K118</f>
        <v>0</v>
      </c>
      <c r="BH118" s="55">
        <f>G118*AO118</f>
        <v>0</v>
      </c>
      <c r="BI118" s="55">
        <f>G118*AP118</f>
        <v>0</v>
      </c>
      <c r="BJ118" s="55">
        <f>G118*H118</f>
        <v>0</v>
      </c>
      <c r="BK118" s="55"/>
      <c r="BL118" s="55"/>
      <c r="BW118" s="55">
        <v>21</v>
      </c>
    </row>
    <row r="119" spans="1:12" ht="13.5" customHeight="1">
      <c r="A119" s="59"/>
      <c r="D119" s="218" t="s">
        <v>129</v>
      </c>
      <c r="E119" s="219"/>
      <c r="F119" s="219"/>
      <c r="G119" s="219"/>
      <c r="H119" s="220"/>
      <c r="I119" s="219"/>
      <c r="J119" s="219"/>
      <c r="K119" s="219"/>
      <c r="L119" s="221"/>
    </row>
    <row r="120" spans="1:75" ht="13.5" customHeight="1">
      <c r="A120" s="1" t="s">
        <v>298</v>
      </c>
      <c r="B120" s="2" t="s">
        <v>116</v>
      </c>
      <c r="C120" s="2" t="s">
        <v>299</v>
      </c>
      <c r="D120" s="147" t="s">
        <v>300</v>
      </c>
      <c r="E120" s="148"/>
      <c r="F120" s="2" t="s">
        <v>123</v>
      </c>
      <c r="G120" s="55">
        <v>1</v>
      </c>
      <c r="H120" s="56">
        <v>0</v>
      </c>
      <c r="I120" s="55">
        <f>G120*H120</f>
        <v>0</v>
      </c>
      <c r="J120" s="55">
        <v>0</v>
      </c>
      <c r="K120" s="55">
        <f>G120*J120</f>
        <v>0</v>
      </c>
      <c r="L120" s="57" t="s">
        <v>124</v>
      </c>
      <c r="Z120" s="55">
        <f>IF(AQ120="5",BJ120,0)</f>
        <v>0</v>
      </c>
      <c r="AB120" s="55">
        <f>IF(AQ120="1",BH120,0)</f>
        <v>0</v>
      </c>
      <c r="AC120" s="55">
        <f>IF(AQ120="1",BI120,0)</f>
        <v>0</v>
      </c>
      <c r="AD120" s="55">
        <f>IF(AQ120="7",BH120,0)</f>
        <v>0</v>
      </c>
      <c r="AE120" s="55">
        <f>IF(AQ120="7",BI120,0)</f>
        <v>0</v>
      </c>
      <c r="AF120" s="55">
        <f>IF(AQ120="2",BH120,0)</f>
        <v>0</v>
      </c>
      <c r="AG120" s="55">
        <f>IF(AQ120="2",BI120,0)</f>
        <v>0</v>
      </c>
      <c r="AH120" s="55">
        <f>IF(AQ120="0",BJ120,0)</f>
        <v>0</v>
      </c>
      <c r="AI120" s="34" t="s">
        <v>116</v>
      </c>
      <c r="AJ120" s="55">
        <f>IF(AN120=0,I120,0)</f>
        <v>0</v>
      </c>
      <c r="AK120" s="55">
        <f>IF(AN120=12,I120,0)</f>
        <v>0</v>
      </c>
      <c r="AL120" s="55">
        <f>IF(AN120=21,I120,0)</f>
        <v>0</v>
      </c>
      <c r="AN120" s="55">
        <v>21</v>
      </c>
      <c r="AO120" s="55">
        <f>H120*0.720930233</f>
        <v>0</v>
      </c>
      <c r="AP120" s="55">
        <f>H120*(1-0.720930233)</f>
        <v>0</v>
      </c>
      <c r="AQ120" s="58" t="s">
        <v>125</v>
      </c>
      <c r="AV120" s="55">
        <f>AW120+AX120</f>
        <v>0</v>
      </c>
      <c r="AW120" s="55">
        <f>G120*AO120</f>
        <v>0</v>
      </c>
      <c r="AX120" s="55">
        <f>G120*AP120</f>
        <v>0</v>
      </c>
      <c r="AY120" s="58" t="s">
        <v>126</v>
      </c>
      <c r="AZ120" s="58" t="s">
        <v>127</v>
      </c>
      <c r="BA120" s="34" t="s">
        <v>128</v>
      </c>
      <c r="BC120" s="55">
        <f>AW120+AX120</f>
        <v>0</v>
      </c>
      <c r="BD120" s="55">
        <f>H120/(100-BE120)*100</f>
        <v>0</v>
      </c>
      <c r="BE120" s="55">
        <v>0</v>
      </c>
      <c r="BF120" s="55">
        <f>K120</f>
        <v>0</v>
      </c>
      <c r="BH120" s="55">
        <f>G120*AO120</f>
        <v>0</v>
      </c>
      <c r="BI120" s="55">
        <f>G120*AP120</f>
        <v>0</v>
      </c>
      <c r="BJ120" s="55">
        <f>G120*H120</f>
        <v>0</v>
      </c>
      <c r="BK120" s="55"/>
      <c r="BL120" s="55"/>
      <c r="BW120" s="55">
        <v>21</v>
      </c>
    </row>
    <row r="121" spans="1:12" ht="13.5" customHeight="1">
      <c r="A121" s="59"/>
      <c r="D121" s="218" t="s">
        <v>129</v>
      </c>
      <c r="E121" s="219"/>
      <c r="F121" s="219"/>
      <c r="G121" s="219"/>
      <c r="H121" s="220"/>
      <c r="I121" s="219"/>
      <c r="J121" s="219"/>
      <c r="K121" s="219"/>
      <c r="L121" s="221"/>
    </row>
    <row r="122" spans="1:75" ht="13.5" customHeight="1">
      <c r="A122" s="1" t="s">
        <v>301</v>
      </c>
      <c r="B122" s="2" t="s">
        <v>116</v>
      </c>
      <c r="C122" s="2" t="s">
        <v>302</v>
      </c>
      <c r="D122" s="147" t="s">
        <v>303</v>
      </c>
      <c r="E122" s="148"/>
      <c r="F122" s="2" t="s">
        <v>123</v>
      </c>
      <c r="G122" s="55">
        <v>6</v>
      </c>
      <c r="H122" s="56">
        <v>0</v>
      </c>
      <c r="I122" s="55">
        <f>G122*H122</f>
        <v>0</v>
      </c>
      <c r="J122" s="55">
        <v>0</v>
      </c>
      <c r="K122" s="55">
        <f>G122*J122</f>
        <v>0</v>
      </c>
      <c r="L122" s="57" t="s">
        <v>124</v>
      </c>
      <c r="Z122" s="55">
        <f>IF(AQ122="5",BJ122,0)</f>
        <v>0</v>
      </c>
      <c r="AB122" s="55">
        <f>IF(AQ122="1",BH122,0)</f>
        <v>0</v>
      </c>
      <c r="AC122" s="55">
        <f>IF(AQ122="1",BI122,0)</f>
        <v>0</v>
      </c>
      <c r="AD122" s="55">
        <f>IF(AQ122="7",BH122,0)</f>
        <v>0</v>
      </c>
      <c r="AE122" s="55">
        <f>IF(AQ122="7",BI122,0)</f>
        <v>0</v>
      </c>
      <c r="AF122" s="55">
        <f>IF(AQ122="2",BH122,0)</f>
        <v>0</v>
      </c>
      <c r="AG122" s="55">
        <f>IF(AQ122="2",BI122,0)</f>
        <v>0</v>
      </c>
      <c r="AH122" s="55">
        <f>IF(AQ122="0",BJ122,0)</f>
        <v>0</v>
      </c>
      <c r="AI122" s="34" t="s">
        <v>116</v>
      </c>
      <c r="AJ122" s="55">
        <f>IF(AN122=0,I122,0)</f>
        <v>0</v>
      </c>
      <c r="AK122" s="55">
        <f>IF(AN122=12,I122,0)</f>
        <v>0</v>
      </c>
      <c r="AL122" s="55">
        <f>IF(AN122=21,I122,0)</f>
        <v>0</v>
      </c>
      <c r="AN122" s="55">
        <v>21</v>
      </c>
      <c r="AO122" s="55">
        <f>H122*0.74912892</f>
        <v>0</v>
      </c>
      <c r="AP122" s="55">
        <f>H122*(1-0.74912892)</f>
        <v>0</v>
      </c>
      <c r="AQ122" s="58" t="s">
        <v>125</v>
      </c>
      <c r="AV122" s="55">
        <f>AW122+AX122</f>
        <v>0</v>
      </c>
      <c r="AW122" s="55">
        <f>G122*AO122</f>
        <v>0</v>
      </c>
      <c r="AX122" s="55">
        <f>G122*AP122</f>
        <v>0</v>
      </c>
      <c r="AY122" s="58" t="s">
        <v>126</v>
      </c>
      <c r="AZ122" s="58" t="s">
        <v>127</v>
      </c>
      <c r="BA122" s="34" t="s">
        <v>128</v>
      </c>
      <c r="BC122" s="55">
        <f>AW122+AX122</f>
        <v>0</v>
      </c>
      <c r="BD122" s="55">
        <f>H122/(100-BE122)*100</f>
        <v>0</v>
      </c>
      <c r="BE122" s="55">
        <v>0</v>
      </c>
      <c r="BF122" s="55">
        <f>K122</f>
        <v>0</v>
      </c>
      <c r="BH122" s="55">
        <f>G122*AO122</f>
        <v>0</v>
      </c>
      <c r="BI122" s="55">
        <f>G122*AP122</f>
        <v>0</v>
      </c>
      <c r="BJ122" s="55">
        <f>G122*H122</f>
        <v>0</v>
      </c>
      <c r="BK122" s="55"/>
      <c r="BL122" s="55"/>
      <c r="BW122" s="55">
        <v>21</v>
      </c>
    </row>
    <row r="123" spans="1:12" ht="13.5" customHeight="1">
      <c r="A123" s="59"/>
      <c r="D123" s="218" t="s">
        <v>129</v>
      </c>
      <c r="E123" s="219"/>
      <c r="F123" s="219"/>
      <c r="G123" s="219"/>
      <c r="H123" s="220"/>
      <c r="I123" s="219"/>
      <c r="J123" s="219"/>
      <c r="K123" s="219"/>
      <c r="L123" s="221"/>
    </row>
    <row r="124" spans="1:75" ht="13.5" customHeight="1">
      <c r="A124" s="1" t="s">
        <v>304</v>
      </c>
      <c r="B124" s="2" t="s">
        <v>116</v>
      </c>
      <c r="C124" s="2" t="s">
        <v>305</v>
      </c>
      <c r="D124" s="147" t="s">
        <v>306</v>
      </c>
      <c r="E124" s="148"/>
      <c r="F124" s="2" t="s">
        <v>123</v>
      </c>
      <c r="G124" s="55">
        <v>1</v>
      </c>
      <c r="H124" s="56">
        <v>0</v>
      </c>
      <c r="I124" s="55">
        <f>G124*H124</f>
        <v>0</v>
      </c>
      <c r="J124" s="55">
        <v>0</v>
      </c>
      <c r="K124" s="55">
        <f>G124*J124</f>
        <v>0</v>
      </c>
      <c r="L124" s="57" t="s">
        <v>124</v>
      </c>
      <c r="Z124" s="55">
        <f>IF(AQ124="5",BJ124,0)</f>
        <v>0</v>
      </c>
      <c r="AB124" s="55">
        <f>IF(AQ124="1",BH124,0)</f>
        <v>0</v>
      </c>
      <c r="AC124" s="55">
        <f>IF(AQ124="1",BI124,0)</f>
        <v>0</v>
      </c>
      <c r="AD124" s="55">
        <f>IF(AQ124="7",BH124,0)</f>
        <v>0</v>
      </c>
      <c r="AE124" s="55">
        <f>IF(AQ124="7",BI124,0)</f>
        <v>0</v>
      </c>
      <c r="AF124" s="55">
        <f>IF(AQ124="2",BH124,0)</f>
        <v>0</v>
      </c>
      <c r="AG124" s="55">
        <f>IF(AQ124="2",BI124,0)</f>
        <v>0</v>
      </c>
      <c r="AH124" s="55">
        <f>IF(AQ124="0",BJ124,0)</f>
        <v>0</v>
      </c>
      <c r="AI124" s="34" t="s">
        <v>116</v>
      </c>
      <c r="AJ124" s="55">
        <f>IF(AN124=0,I124,0)</f>
        <v>0</v>
      </c>
      <c r="AK124" s="55">
        <f>IF(AN124=12,I124,0)</f>
        <v>0</v>
      </c>
      <c r="AL124" s="55">
        <f>IF(AN124=21,I124,0)</f>
        <v>0</v>
      </c>
      <c r="AN124" s="55">
        <v>21</v>
      </c>
      <c r="AO124" s="55">
        <f>H124*0.74912892</f>
        <v>0</v>
      </c>
      <c r="AP124" s="55">
        <f>H124*(1-0.74912892)</f>
        <v>0</v>
      </c>
      <c r="AQ124" s="58" t="s">
        <v>125</v>
      </c>
      <c r="AV124" s="55">
        <f>AW124+AX124</f>
        <v>0</v>
      </c>
      <c r="AW124" s="55">
        <f>G124*AO124</f>
        <v>0</v>
      </c>
      <c r="AX124" s="55">
        <f>G124*AP124</f>
        <v>0</v>
      </c>
      <c r="AY124" s="58" t="s">
        <v>126</v>
      </c>
      <c r="AZ124" s="58" t="s">
        <v>127</v>
      </c>
      <c r="BA124" s="34" t="s">
        <v>128</v>
      </c>
      <c r="BC124" s="55">
        <f>AW124+AX124</f>
        <v>0</v>
      </c>
      <c r="BD124" s="55">
        <f>H124/(100-BE124)*100</f>
        <v>0</v>
      </c>
      <c r="BE124" s="55">
        <v>0</v>
      </c>
      <c r="BF124" s="55">
        <f>K124</f>
        <v>0</v>
      </c>
      <c r="BH124" s="55">
        <f>G124*AO124</f>
        <v>0</v>
      </c>
      <c r="BI124" s="55">
        <f>G124*AP124</f>
        <v>0</v>
      </c>
      <c r="BJ124" s="55">
        <f>G124*H124</f>
        <v>0</v>
      </c>
      <c r="BK124" s="55"/>
      <c r="BL124" s="55"/>
      <c r="BW124" s="55">
        <v>21</v>
      </c>
    </row>
    <row r="125" spans="1:12" ht="13.5" customHeight="1">
      <c r="A125" s="59"/>
      <c r="D125" s="218" t="s">
        <v>129</v>
      </c>
      <c r="E125" s="219"/>
      <c r="F125" s="219"/>
      <c r="G125" s="219"/>
      <c r="H125" s="220"/>
      <c r="I125" s="219"/>
      <c r="J125" s="219"/>
      <c r="K125" s="219"/>
      <c r="L125" s="221"/>
    </row>
    <row r="126" spans="1:75" ht="13.5" customHeight="1">
      <c r="A126" s="1" t="s">
        <v>307</v>
      </c>
      <c r="B126" s="2" t="s">
        <v>116</v>
      </c>
      <c r="C126" s="2" t="s">
        <v>308</v>
      </c>
      <c r="D126" s="147" t="s">
        <v>309</v>
      </c>
      <c r="E126" s="148"/>
      <c r="F126" s="2" t="s">
        <v>123</v>
      </c>
      <c r="G126" s="55">
        <v>2</v>
      </c>
      <c r="H126" s="56">
        <v>0</v>
      </c>
      <c r="I126" s="55">
        <f>G126*H126</f>
        <v>0</v>
      </c>
      <c r="J126" s="55">
        <v>0</v>
      </c>
      <c r="K126" s="55">
        <f>G126*J126</f>
        <v>0</v>
      </c>
      <c r="L126" s="57" t="s">
        <v>124</v>
      </c>
      <c r="Z126" s="55">
        <f>IF(AQ126="5",BJ126,0)</f>
        <v>0</v>
      </c>
      <c r="AB126" s="55">
        <f>IF(AQ126="1",BH126,0)</f>
        <v>0</v>
      </c>
      <c r="AC126" s="55">
        <f>IF(AQ126="1",BI126,0)</f>
        <v>0</v>
      </c>
      <c r="AD126" s="55">
        <f>IF(AQ126="7",BH126,0)</f>
        <v>0</v>
      </c>
      <c r="AE126" s="55">
        <f>IF(AQ126="7",BI126,0)</f>
        <v>0</v>
      </c>
      <c r="AF126" s="55">
        <f>IF(AQ126="2",BH126,0)</f>
        <v>0</v>
      </c>
      <c r="AG126" s="55">
        <f>IF(AQ126="2",BI126,0)</f>
        <v>0</v>
      </c>
      <c r="AH126" s="55">
        <f>IF(AQ126="0",BJ126,0)</f>
        <v>0</v>
      </c>
      <c r="AI126" s="34" t="s">
        <v>116</v>
      </c>
      <c r="AJ126" s="55">
        <f>IF(AN126=0,I126,0)</f>
        <v>0</v>
      </c>
      <c r="AK126" s="55">
        <f>IF(AN126=12,I126,0)</f>
        <v>0</v>
      </c>
      <c r="AL126" s="55">
        <f>IF(AN126=21,I126,0)</f>
        <v>0</v>
      </c>
      <c r="AN126" s="55">
        <v>21</v>
      </c>
      <c r="AO126" s="55">
        <f>H126*0.952586207</f>
        <v>0</v>
      </c>
      <c r="AP126" s="55">
        <f>H126*(1-0.952586207)</f>
        <v>0</v>
      </c>
      <c r="AQ126" s="58" t="s">
        <v>125</v>
      </c>
      <c r="AV126" s="55">
        <f>AW126+AX126</f>
        <v>0</v>
      </c>
      <c r="AW126" s="55">
        <f>G126*AO126</f>
        <v>0</v>
      </c>
      <c r="AX126" s="55">
        <f>G126*AP126</f>
        <v>0</v>
      </c>
      <c r="AY126" s="58" t="s">
        <v>126</v>
      </c>
      <c r="AZ126" s="58" t="s">
        <v>127</v>
      </c>
      <c r="BA126" s="34" t="s">
        <v>128</v>
      </c>
      <c r="BC126" s="55">
        <f>AW126+AX126</f>
        <v>0</v>
      </c>
      <c r="BD126" s="55">
        <f>H126/(100-BE126)*100</f>
        <v>0</v>
      </c>
      <c r="BE126" s="55">
        <v>0</v>
      </c>
      <c r="BF126" s="55">
        <f>K126</f>
        <v>0</v>
      </c>
      <c r="BH126" s="55">
        <f>G126*AO126</f>
        <v>0</v>
      </c>
      <c r="BI126" s="55">
        <f>G126*AP126</f>
        <v>0</v>
      </c>
      <c r="BJ126" s="55">
        <f>G126*H126</f>
        <v>0</v>
      </c>
      <c r="BK126" s="55"/>
      <c r="BL126" s="55"/>
      <c r="BW126" s="55">
        <v>21</v>
      </c>
    </row>
    <row r="127" spans="1:12" ht="13.5" customHeight="1">
      <c r="A127" s="59"/>
      <c r="D127" s="218" t="s">
        <v>129</v>
      </c>
      <c r="E127" s="219"/>
      <c r="F127" s="219"/>
      <c r="G127" s="219"/>
      <c r="H127" s="220"/>
      <c r="I127" s="219"/>
      <c r="J127" s="219"/>
      <c r="K127" s="219"/>
      <c r="L127" s="221"/>
    </row>
    <row r="128" spans="1:75" ht="13.5" customHeight="1">
      <c r="A128" s="1" t="s">
        <v>310</v>
      </c>
      <c r="B128" s="2" t="s">
        <v>116</v>
      </c>
      <c r="C128" s="2" t="s">
        <v>311</v>
      </c>
      <c r="D128" s="147" t="s">
        <v>312</v>
      </c>
      <c r="E128" s="148"/>
      <c r="F128" s="2" t="s">
        <v>123</v>
      </c>
      <c r="G128" s="55">
        <v>22</v>
      </c>
      <c r="H128" s="56">
        <v>0</v>
      </c>
      <c r="I128" s="55">
        <f>G128*H128</f>
        <v>0</v>
      </c>
      <c r="J128" s="55">
        <v>0</v>
      </c>
      <c r="K128" s="55">
        <f>G128*J128</f>
        <v>0</v>
      </c>
      <c r="L128" s="57" t="s">
        <v>124</v>
      </c>
      <c r="Z128" s="55">
        <f>IF(AQ128="5",BJ128,0)</f>
        <v>0</v>
      </c>
      <c r="AB128" s="55">
        <f>IF(AQ128="1",BH128,0)</f>
        <v>0</v>
      </c>
      <c r="AC128" s="55">
        <f>IF(AQ128="1",BI128,0)</f>
        <v>0</v>
      </c>
      <c r="AD128" s="55">
        <f>IF(AQ128="7",BH128,0)</f>
        <v>0</v>
      </c>
      <c r="AE128" s="55">
        <f>IF(AQ128="7",BI128,0)</f>
        <v>0</v>
      </c>
      <c r="AF128" s="55">
        <f>IF(AQ128="2",BH128,0)</f>
        <v>0</v>
      </c>
      <c r="AG128" s="55">
        <f>IF(AQ128="2",BI128,0)</f>
        <v>0</v>
      </c>
      <c r="AH128" s="55">
        <f>IF(AQ128="0",BJ128,0)</f>
        <v>0</v>
      </c>
      <c r="AI128" s="34" t="s">
        <v>116</v>
      </c>
      <c r="AJ128" s="55">
        <f>IF(AN128=0,I128,0)</f>
        <v>0</v>
      </c>
      <c r="AK128" s="55">
        <f>IF(AN128=12,I128,0)</f>
        <v>0</v>
      </c>
      <c r="AL128" s="55">
        <f>IF(AN128=21,I128,0)</f>
        <v>0</v>
      </c>
      <c r="AN128" s="55">
        <v>21</v>
      </c>
      <c r="AO128" s="55">
        <f>H128*0.943078913</f>
        <v>0</v>
      </c>
      <c r="AP128" s="55">
        <f>H128*(1-0.943078913)</f>
        <v>0</v>
      </c>
      <c r="AQ128" s="58" t="s">
        <v>125</v>
      </c>
      <c r="AV128" s="55">
        <f>AW128+AX128</f>
        <v>0</v>
      </c>
      <c r="AW128" s="55">
        <f>G128*AO128</f>
        <v>0</v>
      </c>
      <c r="AX128" s="55">
        <f>G128*AP128</f>
        <v>0</v>
      </c>
      <c r="AY128" s="58" t="s">
        <v>126</v>
      </c>
      <c r="AZ128" s="58" t="s">
        <v>127</v>
      </c>
      <c r="BA128" s="34" t="s">
        <v>128</v>
      </c>
      <c r="BC128" s="55">
        <f>AW128+AX128</f>
        <v>0</v>
      </c>
      <c r="BD128" s="55">
        <f>H128/(100-BE128)*100</f>
        <v>0</v>
      </c>
      <c r="BE128" s="55">
        <v>0</v>
      </c>
      <c r="BF128" s="55">
        <f>K128</f>
        <v>0</v>
      </c>
      <c r="BH128" s="55">
        <f>G128*AO128</f>
        <v>0</v>
      </c>
      <c r="BI128" s="55">
        <f>G128*AP128</f>
        <v>0</v>
      </c>
      <c r="BJ128" s="55">
        <f>G128*H128</f>
        <v>0</v>
      </c>
      <c r="BK128" s="55"/>
      <c r="BL128" s="55"/>
      <c r="BW128" s="55">
        <v>21</v>
      </c>
    </row>
    <row r="129" spans="1:12" ht="13.5" customHeight="1">
      <c r="A129" s="59"/>
      <c r="D129" s="218" t="s">
        <v>129</v>
      </c>
      <c r="E129" s="219"/>
      <c r="F129" s="219"/>
      <c r="G129" s="219"/>
      <c r="H129" s="220"/>
      <c r="I129" s="219"/>
      <c r="J129" s="219"/>
      <c r="K129" s="219"/>
      <c r="L129" s="221"/>
    </row>
    <row r="130" spans="1:75" ht="13.5" customHeight="1">
      <c r="A130" s="1" t="s">
        <v>313</v>
      </c>
      <c r="B130" s="2" t="s">
        <v>116</v>
      </c>
      <c r="C130" s="2" t="s">
        <v>314</v>
      </c>
      <c r="D130" s="147" t="s">
        <v>315</v>
      </c>
      <c r="E130" s="148"/>
      <c r="F130" s="2" t="s">
        <v>123</v>
      </c>
      <c r="G130" s="55">
        <v>13</v>
      </c>
      <c r="H130" s="56">
        <v>0</v>
      </c>
      <c r="I130" s="55">
        <f>G130*H130</f>
        <v>0</v>
      </c>
      <c r="J130" s="55">
        <v>0</v>
      </c>
      <c r="K130" s="55">
        <f>G130*J130</f>
        <v>0</v>
      </c>
      <c r="L130" s="57" t="s">
        <v>124</v>
      </c>
      <c r="Z130" s="55">
        <f>IF(AQ130="5",BJ130,0)</f>
        <v>0</v>
      </c>
      <c r="AB130" s="55">
        <f>IF(AQ130="1",BH130,0)</f>
        <v>0</v>
      </c>
      <c r="AC130" s="55">
        <f>IF(AQ130="1",BI130,0)</f>
        <v>0</v>
      </c>
      <c r="AD130" s="55">
        <f>IF(AQ130="7",BH130,0)</f>
        <v>0</v>
      </c>
      <c r="AE130" s="55">
        <f>IF(AQ130="7",BI130,0)</f>
        <v>0</v>
      </c>
      <c r="AF130" s="55">
        <f>IF(AQ130="2",BH130,0)</f>
        <v>0</v>
      </c>
      <c r="AG130" s="55">
        <f>IF(AQ130="2",BI130,0)</f>
        <v>0</v>
      </c>
      <c r="AH130" s="55">
        <f>IF(AQ130="0",BJ130,0)</f>
        <v>0</v>
      </c>
      <c r="AI130" s="34" t="s">
        <v>116</v>
      </c>
      <c r="AJ130" s="55">
        <f>IF(AN130=0,I130,0)</f>
        <v>0</v>
      </c>
      <c r="AK130" s="55">
        <f>IF(AN130=12,I130,0)</f>
        <v>0</v>
      </c>
      <c r="AL130" s="55">
        <f>IF(AN130=21,I130,0)</f>
        <v>0</v>
      </c>
      <c r="AN130" s="55">
        <v>21</v>
      </c>
      <c r="AO130" s="55">
        <f>H130*0.952586207</f>
        <v>0</v>
      </c>
      <c r="AP130" s="55">
        <f>H130*(1-0.952586207)</f>
        <v>0</v>
      </c>
      <c r="AQ130" s="58" t="s">
        <v>125</v>
      </c>
      <c r="AV130" s="55">
        <f>AW130+AX130</f>
        <v>0</v>
      </c>
      <c r="AW130" s="55">
        <f>G130*AO130</f>
        <v>0</v>
      </c>
      <c r="AX130" s="55">
        <f>G130*AP130</f>
        <v>0</v>
      </c>
      <c r="AY130" s="58" t="s">
        <v>126</v>
      </c>
      <c r="AZ130" s="58" t="s">
        <v>127</v>
      </c>
      <c r="BA130" s="34" t="s">
        <v>128</v>
      </c>
      <c r="BC130" s="55">
        <f>AW130+AX130</f>
        <v>0</v>
      </c>
      <c r="BD130" s="55">
        <f>H130/(100-BE130)*100</f>
        <v>0</v>
      </c>
      <c r="BE130" s="55">
        <v>0</v>
      </c>
      <c r="BF130" s="55">
        <f>K130</f>
        <v>0</v>
      </c>
      <c r="BH130" s="55">
        <f>G130*AO130</f>
        <v>0</v>
      </c>
      <c r="BI130" s="55">
        <f>G130*AP130</f>
        <v>0</v>
      </c>
      <c r="BJ130" s="55">
        <f>G130*H130</f>
        <v>0</v>
      </c>
      <c r="BK130" s="55"/>
      <c r="BL130" s="55"/>
      <c r="BW130" s="55">
        <v>21</v>
      </c>
    </row>
    <row r="131" spans="1:12" ht="13.5" customHeight="1">
      <c r="A131" s="59"/>
      <c r="D131" s="218" t="s">
        <v>129</v>
      </c>
      <c r="E131" s="219"/>
      <c r="F131" s="219"/>
      <c r="G131" s="219"/>
      <c r="H131" s="220"/>
      <c r="I131" s="219"/>
      <c r="J131" s="219"/>
      <c r="K131" s="219"/>
      <c r="L131" s="221"/>
    </row>
    <row r="132" spans="1:75" ht="13.5" customHeight="1">
      <c r="A132" s="1" t="s">
        <v>316</v>
      </c>
      <c r="B132" s="2" t="s">
        <v>116</v>
      </c>
      <c r="C132" s="2" t="s">
        <v>317</v>
      </c>
      <c r="D132" s="147" t="s">
        <v>318</v>
      </c>
      <c r="E132" s="148"/>
      <c r="F132" s="2" t="s">
        <v>123</v>
      </c>
      <c r="G132" s="55">
        <v>4</v>
      </c>
      <c r="H132" s="56">
        <v>0</v>
      </c>
      <c r="I132" s="55">
        <f>G132*H132</f>
        <v>0</v>
      </c>
      <c r="J132" s="55">
        <v>0</v>
      </c>
      <c r="K132" s="55">
        <f>G132*J132</f>
        <v>0</v>
      </c>
      <c r="L132" s="57" t="s">
        <v>124</v>
      </c>
      <c r="Z132" s="55">
        <f>IF(AQ132="5",BJ132,0)</f>
        <v>0</v>
      </c>
      <c r="AB132" s="55">
        <f>IF(AQ132="1",BH132,0)</f>
        <v>0</v>
      </c>
      <c r="AC132" s="55">
        <f>IF(AQ132="1",BI132,0)</f>
        <v>0</v>
      </c>
      <c r="AD132" s="55">
        <f>IF(AQ132="7",BH132,0)</f>
        <v>0</v>
      </c>
      <c r="AE132" s="55">
        <f>IF(AQ132="7",BI132,0)</f>
        <v>0</v>
      </c>
      <c r="AF132" s="55">
        <f>IF(AQ132="2",BH132,0)</f>
        <v>0</v>
      </c>
      <c r="AG132" s="55">
        <f>IF(AQ132="2",BI132,0)</f>
        <v>0</v>
      </c>
      <c r="AH132" s="55">
        <f>IF(AQ132="0",BJ132,0)</f>
        <v>0</v>
      </c>
      <c r="AI132" s="34" t="s">
        <v>116</v>
      </c>
      <c r="AJ132" s="55">
        <f>IF(AN132=0,I132,0)</f>
        <v>0</v>
      </c>
      <c r="AK132" s="55">
        <f>IF(AN132=12,I132,0)</f>
        <v>0</v>
      </c>
      <c r="AL132" s="55">
        <f>IF(AN132=21,I132,0)</f>
        <v>0</v>
      </c>
      <c r="AN132" s="55">
        <v>21</v>
      </c>
      <c r="AO132" s="55">
        <f>H132*0.590690209</f>
        <v>0</v>
      </c>
      <c r="AP132" s="55">
        <f>H132*(1-0.590690209)</f>
        <v>0</v>
      </c>
      <c r="AQ132" s="58" t="s">
        <v>125</v>
      </c>
      <c r="AV132" s="55">
        <f>AW132+AX132</f>
        <v>0</v>
      </c>
      <c r="AW132" s="55">
        <f>G132*AO132</f>
        <v>0</v>
      </c>
      <c r="AX132" s="55">
        <f>G132*AP132</f>
        <v>0</v>
      </c>
      <c r="AY132" s="58" t="s">
        <v>126</v>
      </c>
      <c r="AZ132" s="58" t="s">
        <v>127</v>
      </c>
      <c r="BA132" s="34" t="s">
        <v>128</v>
      </c>
      <c r="BC132" s="55">
        <f>AW132+AX132</f>
        <v>0</v>
      </c>
      <c r="BD132" s="55">
        <f>H132/(100-BE132)*100</f>
        <v>0</v>
      </c>
      <c r="BE132" s="55">
        <v>0</v>
      </c>
      <c r="BF132" s="55">
        <f>K132</f>
        <v>0</v>
      </c>
      <c r="BH132" s="55">
        <f>G132*AO132</f>
        <v>0</v>
      </c>
      <c r="BI132" s="55">
        <f>G132*AP132</f>
        <v>0</v>
      </c>
      <c r="BJ132" s="55">
        <f>G132*H132</f>
        <v>0</v>
      </c>
      <c r="BK132" s="55"/>
      <c r="BL132" s="55"/>
      <c r="BW132" s="55">
        <v>21</v>
      </c>
    </row>
    <row r="133" spans="1:12" ht="13.5" customHeight="1">
      <c r="A133" s="59"/>
      <c r="D133" s="218" t="s">
        <v>129</v>
      </c>
      <c r="E133" s="219"/>
      <c r="F133" s="219"/>
      <c r="G133" s="219"/>
      <c r="H133" s="220"/>
      <c r="I133" s="219"/>
      <c r="J133" s="219"/>
      <c r="K133" s="219"/>
      <c r="L133" s="221"/>
    </row>
    <row r="134" spans="1:75" ht="13.5" customHeight="1">
      <c r="A134" s="1" t="s">
        <v>319</v>
      </c>
      <c r="B134" s="2" t="s">
        <v>116</v>
      </c>
      <c r="C134" s="2" t="s">
        <v>320</v>
      </c>
      <c r="D134" s="147" t="s">
        <v>321</v>
      </c>
      <c r="E134" s="148"/>
      <c r="F134" s="2" t="s">
        <v>123</v>
      </c>
      <c r="G134" s="55">
        <v>2</v>
      </c>
      <c r="H134" s="56">
        <v>0</v>
      </c>
      <c r="I134" s="55">
        <f>G134*H134</f>
        <v>0</v>
      </c>
      <c r="J134" s="55">
        <v>0</v>
      </c>
      <c r="K134" s="55">
        <f>G134*J134</f>
        <v>0</v>
      </c>
      <c r="L134" s="57" t="s">
        <v>124</v>
      </c>
      <c r="Z134" s="55">
        <f>IF(AQ134="5",BJ134,0)</f>
        <v>0</v>
      </c>
      <c r="AB134" s="55">
        <f>IF(AQ134="1",BH134,0)</f>
        <v>0</v>
      </c>
      <c r="AC134" s="55">
        <f>IF(AQ134="1",BI134,0)</f>
        <v>0</v>
      </c>
      <c r="AD134" s="55">
        <f>IF(AQ134="7",BH134,0)</f>
        <v>0</v>
      </c>
      <c r="AE134" s="55">
        <f>IF(AQ134="7",BI134,0)</f>
        <v>0</v>
      </c>
      <c r="AF134" s="55">
        <f>IF(AQ134="2",BH134,0)</f>
        <v>0</v>
      </c>
      <c r="AG134" s="55">
        <f>IF(AQ134="2",BI134,0)</f>
        <v>0</v>
      </c>
      <c r="AH134" s="55">
        <f>IF(AQ134="0",BJ134,0)</f>
        <v>0</v>
      </c>
      <c r="AI134" s="34" t="s">
        <v>116</v>
      </c>
      <c r="AJ134" s="55">
        <f>IF(AN134=0,I134,0)</f>
        <v>0</v>
      </c>
      <c r="AK134" s="55">
        <f>IF(AN134=12,I134,0)</f>
        <v>0</v>
      </c>
      <c r="AL134" s="55">
        <f>IF(AN134=21,I134,0)</f>
        <v>0</v>
      </c>
      <c r="AN134" s="55">
        <v>21</v>
      </c>
      <c r="AO134" s="55">
        <f>H134*0.627054362</f>
        <v>0</v>
      </c>
      <c r="AP134" s="55">
        <f>H134*(1-0.627054362)</f>
        <v>0</v>
      </c>
      <c r="AQ134" s="58" t="s">
        <v>125</v>
      </c>
      <c r="AV134" s="55">
        <f>AW134+AX134</f>
        <v>0</v>
      </c>
      <c r="AW134" s="55">
        <f>G134*AO134</f>
        <v>0</v>
      </c>
      <c r="AX134" s="55">
        <f>G134*AP134</f>
        <v>0</v>
      </c>
      <c r="AY134" s="58" t="s">
        <v>126</v>
      </c>
      <c r="AZ134" s="58" t="s">
        <v>127</v>
      </c>
      <c r="BA134" s="34" t="s">
        <v>128</v>
      </c>
      <c r="BC134" s="55">
        <f>AW134+AX134</f>
        <v>0</v>
      </c>
      <c r="BD134" s="55">
        <f>H134/(100-BE134)*100</f>
        <v>0</v>
      </c>
      <c r="BE134" s="55">
        <v>0</v>
      </c>
      <c r="BF134" s="55">
        <f>K134</f>
        <v>0</v>
      </c>
      <c r="BH134" s="55">
        <f>G134*AO134</f>
        <v>0</v>
      </c>
      <c r="BI134" s="55">
        <f>G134*AP134</f>
        <v>0</v>
      </c>
      <c r="BJ134" s="55">
        <f>G134*H134</f>
        <v>0</v>
      </c>
      <c r="BK134" s="55"/>
      <c r="BL134" s="55"/>
      <c r="BW134" s="55">
        <v>21</v>
      </c>
    </row>
    <row r="135" spans="1:12" ht="13.5" customHeight="1">
      <c r="A135" s="59"/>
      <c r="D135" s="218" t="s">
        <v>129</v>
      </c>
      <c r="E135" s="219"/>
      <c r="F135" s="219"/>
      <c r="G135" s="219"/>
      <c r="H135" s="220"/>
      <c r="I135" s="219"/>
      <c r="J135" s="219"/>
      <c r="K135" s="219"/>
      <c r="L135" s="221"/>
    </row>
    <row r="136" spans="1:75" ht="13.5" customHeight="1">
      <c r="A136" s="1" t="s">
        <v>322</v>
      </c>
      <c r="B136" s="2" t="s">
        <v>116</v>
      </c>
      <c r="C136" s="2" t="s">
        <v>323</v>
      </c>
      <c r="D136" s="147" t="s">
        <v>324</v>
      </c>
      <c r="E136" s="148"/>
      <c r="F136" s="2" t="s">
        <v>123</v>
      </c>
      <c r="G136" s="55">
        <v>1</v>
      </c>
      <c r="H136" s="56">
        <v>0</v>
      </c>
      <c r="I136" s="55">
        <f>G136*H136</f>
        <v>0</v>
      </c>
      <c r="J136" s="55">
        <v>0</v>
      </c>
      <c r="K136" s="55">
        <f>G136*J136</f>
        <v>0</v>
      </c>
      <c r="L136" s="57" t="s">
        <v>124</v>
      </c>
      <c r="Z136" s="55">
        <f>IF(AQ136="5",BJ136,0)</f>
        <v>0</v>
      </c>
      <c r="AB136" s="55">
        <f>IF(AQ136="1",BH136,0)</f>
        <v>0</v>
      </c>
      <c r="AC136" s="55">
        <f>IF(AQ136="1",BI136,0)</f>
        <v>0</v>
      </c>
      <c r="AD136" s="55">
        <f>IF(AQ136="7",BH136,0)</f>
        <v>0</v>
      </c>
      <c r="AE136" s="55">
        <f>IF(AQ136="7",BI136,0)</f>
        <v>0</v>
      </c>
      <c r="AF136" s="55">
        <f>IF(AQ136="2",BH136,0)</f>
        <v>0</v>
      </c>
      <c r="AG136" s="55">
        <f>IF(AQ136="2",BI136,0)</f>
        <v>0</v>
      </c>
      <c r="AH136" s="55">
        <f>IF(AQ136="0",BJ136,0)</f>
        <v>0</v>
      </c>
      <c r="AI136" s="34" t="s">
        <v>116</v>
      </c>
      <c r="AJ136" s="55">
        <f>IF(AN136=0,I136,0)</f>
        <v>0</v>
      </c>
      <c r="AK136" s="55">
        <f>IF(AN136=12,I136,0)</f>
        <v>0</v>
      </c>
      <c r="AL136" s="55">
        <f>IF(AN136=21,I136,0)</f>
        <v>0</v>
      </c>
      <c r="AN136" s="55">
        <v>21</v>
      </c>
      <c r="AO136" s="55">
        <f>H136*0.650473934</f>
        <v>0</v>
      </c>
      <c r="AP136" s="55">
        <f>H136*(1-0.650473934)</f>
        <v>0</v>
      </c>
      <c r="AQ136" s="58" t="s">
        <v>125</v>
      </c>
      <c r="AV136" s="55">
        <f>AW136+AX136</f>
        <v>0</v>
      </c>
      <c r="AW136" s="55">
        <f>G136*AO136</f>
        <v>0</v>
      </c>
      <c r="AX136" s="55">
        <f>G136*AP136</f>
        <v>0</v>
      </c>
      <c r="AY136" s="58" t="s">
        <v>126</v>
      </c>
      <c r="AZ136" s="58" t="s">
        <v>127</v>
      </c>
      <c r="BA136" s="34" t="s">
        <v>128</v>
      </c>
      <c r="BC136" s="55">
        <f>AW136+AX136</f>
        <v>0</v>
      </c>
      <c r="BD136" s="55">
        <f>H136/(100-BE136)*100</f>
        <v>0</v>
      </c>
      <c r="BE136" s="55">
        <v>0</v>
      </c>
      <c r="BF136" s="55">
        <f>K136</f>
        <v>0</v>
      </c>
      <c r="BH136" s="55">
        <f>G136*AO136</f>
        <v>0</v>
      </c>
      <c r="BI136" s="55">
        <f>G136*AP136</f>
        <v>0</v>
      </c>
      <c r="BJ136" s="55">
        <f>G136*H136</f>
        <v>0</v>
      </c>
      <c r="BK136" s="55"/>
      <c r="BL136" s="55"/>
      <c r="BW136" s="55">
        <v>21</v>
      </c>
    </row>
    <row r="137" spans="1:12" ht="13.5" customHeight="1">
      <c r="A137" s="59"/>
      <c r="D137" s="218" t="s">
        <v>129</v>
      </c>
      <c r="E137" s="219"/>
      <c r="F137" s="219"/>
      <c r="G137" s="219"/>
      <c r="H137" s="220"/>
      <c r="I137" s="219"/>
      <c r="J137" s="219"/>
      <c r="K137" s="219"/>
      <c r="L137" s="221"/>
    </row>
    <row r="138" spans="1:75" ht="13.5" customHeight="1">
      <c r="A138" s="1" t="s">
        <v>325</v>
      </c>
      <c r="B138" s="2" t="s">
        <v>116</v>
      </c>
      <c r="C138" s="2" t="s">
        <v>326</v>
      </c>
      <c r="D138" s="147" t="s">
        <v>327</v>
      </c>
      <c r="E138" s="148"/>
      <c r="F138" s="2" t="s">
        <v>123</v>
      </c>
      <c r="G138" s="55">
        <v>1</v>
      </c>
      <c r="H138" s="56">
        <v>0</v>
      </c>
      <c r="I138" s="55">
        <f>G138*H138</f>
        <v>0</v>
      </c>
      <c r="J138" s="55">
        <v>0</v>
      </c>
      <c r="K138" s="55">
        <f>G138*J138</f>
        <v>0</v>
      </c>
      <c r="L138" s="57" t="s">
        <v>124</v>
      </c>
      <c r="Z138" s="55">
        <f>IF(AQ138="5",BJ138,0)</f>
        <v>0</v>
      </c>
      <c r="AB138" s="55">
        <f>IF(AQ138="1",BH138,0)</f>
        <v>0</v>
      </c>
      <c r="AC138" s="55">
        <f>IF(AQ138="1",BI138,0)</f>
        <v>0</v>
      </c>
      <c r="AD138" s="55">
        <f>IF(AQ138="7",BH138,0)</f>
        <v>0</v>
      </c>
      <c r="AE138" s="55">
        <f>IF(AQ138="7",BI138,0)</f>
        <v>0</v>
      </c>
      <c r="AF138" s="55">
        <f>IF(AQ138="2",BH138,0)</f>
        <v>0</v>
      </c>
      <c r="AG138" s="55">
        <f>IF(AQ138="2",BI138,0)</f>
        <v>0</v>
      </c>
      <c r="AH138" s="55">
        <f>IF(AQ138="0",BJ138,0)</f>
        <v>0</v>
      </c>
      <c r="AI138" s="34" t="s">
        <v>116</v>
      </c>
      <c r="AJ138" s="55">
        <f>IF(AN138=0,I138,0)</f>
        <v>0</v>
      </c>
      <c r="AK138" s="55">
        <f>IF(AN138=12,I138,0)</f>
        <v>0</v>
      </c>
      <c r="AL138" s="55">
        <f>IF(AN138=21,I138,0)</f>
        <v>0</v>
      </c>
      <c r="AN138" s="55">
        <v>21</v>
      </c>
      <c r="AO138" s="55">
        <f>H138*0.665911665</f>
        <v>0</v>
      </c>
      <c r="AP138" s="55">
        <f>H138*(1-0.665911665)</f>
        <v>0</v>
      </c>
      <c r="AQ138" s="58" t="s">
        <v>125</v>
      </c>
      <c r="AV138" s="55">
        <f>AW138+AX138</f>
        <v>0</v>
      </c>
      <c r="AW138" s="55">
        <f>G138*AO138</f>
        <v>0</v>
      </c>
      <c r="AX138" s="55">
        <f>G138*AP138</f>
        <v>0</v>
      </c>
      <c r="AY138" s="58" t="s">
        <v>126</v>
      </c>
      <c r="AZ138" s="58" t="s">
        <v>127</v>
      </c>
      <c r="BA138" s="34" t="s">
        <v>128</v>
      </c>
      <c r="BC138" s="55">
        <f>AW138+AX138</f>
        <v>0</v>
      </c>
      <c r="BD138" s="55">
        <f>H138/(100-BE138)*100</f>
        <v>0</v>
      </c>
      <c r="BE138" s="55">
        <v>0</v>
      </c>
      <c r="BF138" s="55">
        <f>K138</f>
        <v>0</v>
      </c>
      <c r="BH138" s="55">
        <f>G138*AO138</f>
        <v>0</v>
      </c>
      <c r="BI138" s="55">
        <f>G138*AP138</f>
        <v>0</v>
      </c>
      <c r="BJ138" s="55">
        <f>G138*H138</f>
        <v>0</v>
      </c>
      <c r="BK138" s="55"/>
      <c r="BL138" s="55"/>
      <c r="BW138" s="55">
        <v>21</v>
      </c>
    </row>
    <row r="139" spans="1:12" ht="13.5" customHeight="1">
      <c r="A139" s="59"/>
      <c r="D139" s="218" t="s">
        <v>129</v>
      </c>
      <c r="E139" s="219"/>
      <c r="F139" s="219"/>
      <c r="G139" s="219"/>
      <c r="H139" s="220"/>
      <c r="I139" s="219"/>
      <c r="J139" s="219"/>
      <c r="K139" s="219"/>
      <c r="L139" s="221"/>
    </row>
    <row r="140" spans="1:75" ht="13.5" customHeight="1">
      <c r="A140" s="1" t="s">
        <v>328</v>
      </c>
      <c r="B140" s="2" t="s">
        <v>116</v>
      </c>
      <c r="C140" s="2" t="s">
        <v>329</v>
      </c>
      <c r="D140" s="147" t="s">
        <v>330</v>
      </c>
      <c r="E140" s="148"/>
      <c r="F140" s="2" t="s">
        <v>123</v>
      </c>
      <c r="G140" s="55">
        <v>1</v>
      </c>
      <c r="H140" s="56">
        <v>0</v>
      </c>
      <c r="I140" s="55">
        <f>G140*H140</f>
        <v>0</v>
      </c>
      <c r="J140" s="55">
        <v>0</v>
      </c>
      <c r="K140" s="55">
        <f>G140*J140</f>
        <v>0</v>
      </c>
      <c r="L140" s="57" t="s">
        <v>124</v>
      </c>
      <c r="Z140" s="55">
        <f>IF(AQ140="5",BJ140,0)</f>
        <v>0</v>
      </c>
      <c r="AB140" s="55">
        <f>IF(AQ140="1",BH140,0)</f>
        <v>0</v>
      </c>
      <c r="AC140" s="55">
        <f>IF(AQ140="1",BI140,0)</f>
        <v>0</v>
      </c>
      <c r="AD140" s="55">
        <f>IF(AQ140="7",BH140,0)</f>
        <v>0</v>
      </c>
      <c r="AE140" s="55">
        <f>IF(AQ140="7",BI140,0)</f>
        <v>0</v>
      </c>
      <c r="AF140" s="55">
        <f>IF(AQ140="2",BH140,0)</f>
        <v>0</v>
      </c>
      <c r="AG140" s="55">
        <f>IF(AQ140="2",BI140,0)</f>
        <v>0</v>
      </c>
      <c r="AH140" s="55">
        <f>IF(AQ140="0",BJ140,0)</f>
        <v>0</v>
      </c>
      <c r="AI140" s="34" t="s">
        <v>116</v>
      </c>
      <c r="AJ140" s="55">
        <f>IF(AN140=0,I140,0)</f>
        <v>0</v>
      </c>
      <c r="AK140" s="55">
        <f>IF(AN140=12,I140,0)</f>
        <v>0</v>
      </c>
      <c r="AL140" s="55">
        <f>IF(AN140=21,I140,0)</f>
        <v>0</v>
      </c>
      <c r="AN140" s="55">
        <v>21</v>
      </c>
      <c r="AO140" s="55">
        <f>H140*0.825923942</f>
        <v>0</v>
      </c>
      <c r="AP140" s="55">
        <f>H140*(1-0.825923942)</f>
        <v>0</v>
      </c>
      <c r="AQ140" s="58" t="s">
        <v>125</v>
      </c>
      <c r="AV140" s="55">
        <f>AW140+AX140</f>
        <v>0</v>
      </c>
      <c r="AW140" s="55">
        <f>G140*AO140</f>
        <v>0</v>
      </c>
      <c r="AX140" s="55">
        <f>G140*AP140</f>
        <v>0</v>
      </c>
      <c r="AY140" s="58" t="s">
        <v>126</v>
      </c>
      <c r="AZ140" s="58" t="s">
        <v>127</v>
      </c>
      <c r="BA140" s="34" t="s">
        <v>128</v>
      </c>
      <c r="BC140" s="55">
        <f>AW140+AX140</f>
        <v>0</v>
      </c>
      <c r="BD140" s="55">
        <f>H140/(100-BE140)*100</f>
        <v>0</v>
      </c>
      <c r="BE140" s="55">
        <v>0</v>
      </c>
      <c r="BF140" s="55">
        <f>K140</f>
        <v>0</v>
      </c>
      <c r="BH140" s="55">
        <f>G140*AO140</f>
        <v>0</v>
      </c>
      <c r="BI140" s="55">
        <f>G140*AP140</f>
        <v>0</v>
      </c>
      <c r="BJ140" s="55">
        <f>G140*H140</f>
        <v>0</v>
      </c>
      <c r="BK140" s="55"/>
      <c r="BL140" s="55"/>
      <c r="BW140" s="55">
        <v>21</v>
      </c>
    </row>
    <row r="141" spans="1:12" ht="13.5" customHeight="1">
      <c r="A141" s="59"/>
      <c r="D141" s="218" t="s">
        <v>129</v>
      </c>
      <c r="E141" s="219"/>
      <c r="F141" s="219"/>
      <c r="G141" s="219"/>
      <c r="H141" s="220"/>
      <c r="I141" s="219"/>
      <c r="J141" s="219"/>
      <c r="K141" s="219"/>
      <c r="L141" s="221"/>
    </row>
    <row r="142" spans="1:75" ht="13.5" customHeight="1">
      <c r="A142" s="1" t="s">
        <v>331</v>
      </c>
      <c r="B142" s="2" t="s">
        <v>116</v>
      </c>
      <c r="C142" s="2" t="s">
        <v>332</v>
      </c>
      <c r="D142" s="147" t="s">
        <v>333</v>
      </c>
      <c r="E142" s="148"/>
      <c r="F142" s="2" t="s">
        <v>123</v>
      </c>
      <c r="G142" s="55">
        <v>1</v>
      </c>
      <c r="H142" s="56">
        <v>0</v>
      </c>
      <c r="I142" s="55">
        <f>G142*H142</f>
        <v>0</v>
      </c>
      <c r="J142" s="55">
        <v>0</v>
      </c>
      <c r="K142" s="55">
        <f>G142*J142</f>
        <v>0</v>
      </c>
      <c r="L142" s="57" t="s">
        <v>124</v>
      </c>
      <c r="Z142" s="55">
        <f>IF(AQ142="5",BJ142,0)</f>
        <v>0</v>
      </c>
      <c r="AB142" s="55">
        <f>IF(AQ142="1",BH142,0)</f>
        <v>0</v>
      </c>
      <c r="AC142" s="55">
        <f>IF(AQ142="1",BI142,0)</f>
        <v>0</v>
      </c>
      <c r="AD142" s="55">
        <f>IF(AQ142="7",BH142,0)</f>
        <v>0</v>
      </c>
      <c r="AE142" s="55">
        <f>IF(AQ142="7",BI142,0)</f>
        <v>0</v>
      </c>
      <c r="AF142" s="55">
        <f>IF(AQ142="2",BH142,0)</f>
        <v>0</v>
      </c>
      <c r="AG142" s="55">
        <f>IF(AQ142="2",BI142,0)</f>
        <v>0</v>
      </c>
      <c r="AH142" s="55">
        <f>IF(AQ142="0",BJ142,0)</f>
        <v>0</v>
      </c>
      <c r="AI142" s="34" t="s">
        <v>116</v>
      </c>
      <c r="AJ142" s="55">
        <f>IF(AN142=0,I142,0)</f>
        <v>0</v>
      </c>
      <c r="AK142" s="55">
        <f>IF(AN142=12,I142,0)</f>
        <v>0</v>
      </c>
      <c r="AL142" s="55">
        <f>IF(AN142=21,I142,0)</f>
        <v>0</v>
      </c>
      <c r="AN142" s="55">
        <v>21</v>
      </c>
      <c r="AO142" s="55">
        <f>H142*0.069767442</f>
        <v>0</v>
      </c>
      <c r="AP142" s="55">
        <f>H142*(1-0.069767442)</f>
        <v>0</v>
      </c>
      <c r="AQ142" s="58" t="s">
        <v>125</v>
      </c>
      <c r="AV142" s="55">
        <f>AW142+AX142</f>
        <v>0</v>
      </c>
      <c r="AW142" s="55">
        <f>G142*AO142</f>
        <v>0</v>
      </c>
      <c r="AX142" s="55">
        <f>G142*AP142</f>
        <v>0</v>
      </c>
      <c r="AY142" s="58" t="s">
        <v>126</v>
      </c>
      <c r="AZ142" s="58" t="s">
        <v>127</v>
      </c>
      <c r="BA142" s="34" t="s">
        <v>128</v>
      </c>
      <c r="BC142" s="55">
        <f>AW142+AX142</f>
        <v>0</v>
      </c>
      <c r="BD142" s="55">
        <f>H142/(100-BE142)*100</f>
        <v>0</v>
      </c>
      <c r="BE142" s="55">
        <v>0</v>
      </c>
      <c r="BF142" s="55">
        <f>K142</f>
        <v>0</v>
      </c>
      <c r="BH142" s="55">
        <f>G142*AO142</f>
        <v>0</v>
      </c>
      <c r="BI142" s="55">
        <f>G142*AP142</f>
        <v>0</v>
      </c>
      <c r="BJ142" s="55">
        <f>G142*H142</f>
        <v>0</v>
      </c>
      <c r="BK142" s="55"/>
      <c r="BL142" s="55"/>
      <c r="BW142" s="55">
        <v>21</v>
      </c>
    </row>
    <row r="143" spans="1:12" ht="13.5" customHeight="1">
      <c r="A143" s="59"/>
      <c r="D143" s="218" t="s">
        <v>129</v>
      </c>
      <c r="E143" s="219"/>
      <c r="F143" s="219"/>
      <c r="G143" s="219"/>
      <c r="H143" s="220"/>
      <c r="I143" s="219"/>
      <c r="J143" s="219"/>
      <c r="K143" s="219"/>
      <c r="L143" s="221"/>
    </row>
    <row r="144" spans="1:75" ht="13.5" customHeight="1">
      <c r="A144" s="1" t="s">
        <v>334</v>
      </c>
      <c r="B144" s="2" t="s">
        <v>116</v>
      </c>
      <c r="C144" s="2" t="s">
        <v>335</v>
      </c>
      <c r="D144" s="147" t="s">
        <v>336</v>
      </c>
      <c r="E144" s="148"/>
      <c r="F144" s="2" t="s">
        <v>123</v>
      </c>
      <c r="G144" s="55">
        <v>1</v>
      </c>
      <c r="H144" s="56">
        <v>0</v>
      </c>
      <c r="I144" s="55">
        <f>G144*H144</f>
        <v>0</v>
      </c>
      <c r="J144" s="55">
        <v>0</v>
      </c>
      <c r="K144" s="55">
        <f>G144*J144</f>
        <v>0</v>
      </c>
      <c r="L144" s="57" t="s">
        <v>124</v>
      </c>
      <c r="Z144" s="55">
        <f>IF(AQ144="5",BJ144,0)</f>
        <v>0</v>
      </c>
      <c r="AB144" s="55">
        <f>IF(AQ144="1",BH144,0)</f>
        <v>0</v>
      </c>
      <c r="AC144" s="55">
        <f>IF(AQ144="1",BI144,0)</f>
        <v>0</v>
      </c>
      <c r="AD144" s="55">
        <f>IF(AQ144="7",BH144,0)</f>
        <v>0</v>
      </c>
      <c r="AE144" s="55">
        <f>IF(AQ144="7",BI144,0)</f>
        <v>0</v>
      </c>
      <c r="AF144" s="55">
        <f>IF(AQ144="2",BH144,0)</f>
        <v>0</v>
      </c>
      <c r="AG144" s="55">
        <f>IF(AQ144="2",BI144,0)</f>
        <v>0</v>
      </c>
      <c r="AH144" s="55">
        <f>IF(AQ144="0",BJ144,0)</f>
        <v>0</v>
      </c>
      <c r="AI144" s="34" t="s">
        <v>116</v>
      </c>
      <c r="AJ144" s="55">
        <f>IF(AN144=0,I144,0)</f>
        <v>0</v>
      </c>
      <c r="AK144" s="55">
        <f>IF(AN144=12,I144,0)</f>
        <v>0</v>
      </c>
      <c r="AL144" s="55">
        <f>IF(AN144=21,I144,0)</f>
        <v>0</v>
      </c>
      <c r="AN144" s="55">
        <v>21</v>
      </c>
      <c r="AO144" s="55">
        <f>H144*0.972396487</f>
        <v>0</v>
      </c>
      <c r="AP144" s="55">
        <f>H144*(1-0.972396487)</f>
        <v>0</v>
      </c>
      <c r="AQ144" s="58" t="s">
        <v>125</v>
      </c>
      <c r="AV144" s="55">
        <f>AW144+AX144</f>
        <v>0</v>
      </c>
      <c r="AW144" s="55">
        <f>G144*AO144</f>
        <v>0</v>
      </c>
      <c r="AX144" s="55">
        <f>G144*AP144</f>
        <v>0</v>
      </c>
      <c r="AY144" s="58" t="s">
        <v>126</v>
      </c>
      <c r="AZ144" s="58" t="s">
        <v>127</v>
      </c>
      <c r="BA144" s="34" t="s">
        <v>128</v>
      </c>
      <c r="BC144" s="55">
        <f>AW144+AX144</f>
        <v>0</v>
      </c>
      <c r="BD144" s="55">
        <f>H144/(100-BE144)*100</f>
        <v>0</v>
      </c>
      <c r="BE144" s="55">
        <v>0</v>
      </c>
      <c r="BF144" s="55">
        <f>K144</f>
        <v>0</v>
      </c>
      <c r="BH144" s="55">
        <f>G144*AO144</f>
        <v>0</v>
      </c>
      <c r="BI144" s="55">
        <f>G144*AP144</f>
        <v>0</v>
      </c>
      <c r="BJ144" s="55">
        <f>G144*H144</f>
        <v>0</v>
      </c>
      <c r="BK144" s="55"/>
      <c r="BL144" s="55"/>
      <c r="BW144" s="55">
        <v>21</v>
      </c>
    </row>
    <row r="145" spans="1:12" ht="13.5" customHeight="1">
      <c r="A145" s="59"/>
      <c r="D145" s="218" t="s">
        <v>129</v>
      </c>
      <c r="E145" s="219"/>
      <c r="F145" s="219"/>
      <c r="G145" s="219"/>
      <c r="H145" s="220"/>
      <c r="I145" s="219"/>
      <c r="J145" s="219"/>
      <c r="K145" s="219"/>
      <c r="L145" s="221"/>
    </row>
    <row r="146" spans="1:75" ht="13.5" customHeight="1">
      <c r="A146" s="1" t="s">
        <v>337</v>
      </c>
      <c r="B146" s="2" t="s">
        <v>116</v>
      </c>
      <c r="C146" s="2" t="s">
        <v>338</v>
      </c>
      <c r="D146" s="147" t="s">
        <v>339</v>
      </c>
      <c r="E146" s="148"/>
      <c r="F146" s="2" t="s">
        <v>123</v>
      </c>
      <c r="G146" s="55">
        <v>1</v>
      </c>
      <c r="H146" s="56">
        <v>0</v>
      </c>
      <c r="I146" s="55">
        <f>G146*H146</f>
        <v>0</v>
      </c>
      <c r="J146" s="55">
        <v>0</v>
      </c>
      <c r="K146" s="55">
        <f>G146*J146</f>
        <v>0</v>
      </c>
      <c r="L146" s="57" t="s">
        <v>124</v>
      </c>
      <c r="Z146" s="55">
        <f>IF(AQ146="5",BJ146,0)</f>
        <v>0</v>
      </c>
      <c r="AB146" s="55">
        <f>IF(AQ146="1",BH146,0)</f>
        <v>0</v>
      </c>
      <c r="AC146" s="55">
        <f>IF(AQ146="1",BI146,0)</f>
        <v>0</v>
      </c>
      <c r="AD146" s="55">
        <f>IF(AQ146="7",BH146,0)</f>
        <v>0</v>
      </c>
      <c r="AE146" s="55">
        <f>IF(AQ146="7",BI146,0)</f>
        <v>0</v>
      </c>
      <c r="AF146" s="55">
        <f>IF(AQ146="2",BH146,0)</f>
        <v>0</v>
      </c>
      <c r="AG146" s="55">
        <f>IF(AQ146="2",BI146,0)</f>
        <v>0</v>
      </c>
      <c r="AH146" s="55">
        <f>IF(AQ146="0",BJ146,0)</f>
        <v>0</v>
      </c>
      <c r="AI146" s="34" t="s">
        <v>116</v>
      </c>
      <c r="AJ146" s="55">
        <f>IF(AN146=0,I146,0)</f>
        <v>0</v>
      </c>
      <c r="AK146" s="55">
        <f>IF(AN146=12,I146,0)</f>
        <v>0</v>
      </c>
      <c r="AL146" s="55">
        <f>IF(AN146=21,I146,0)</f>
        <v>0</v>
      </c>
      <c r="AN146" s="55">
        <v>21</v>
      </c>
      <c r="AO146" s="55">
        <f>H146*0.893723431</f>
        <v>0</v>
      </c>
      <c r="AP146" s="55">
        <f>H146*(1-0.893723431)</f>
        <v>0</v>
      </c>
      <c r="AQ146" s="58" t="s">
        <v>125</v>
      </c>
      <c r="AV146" s="55">
        <f>AW146+AX146</f>
        <v>0</v>
      </c>
      <c r="AW146" s="55">
        <f>G146*AO146</f>
        <v>0</v>
      </c>
      <c r="AX146" s="55">
        <f>G146*AP146</f>
        <v>0</v>
      </c>
      <c r="AY146" s="58" t="s">
        <v>126</v>
      </c>
      <c r="AZ146" s="58" t="s">
        <v>127</v>
      </c>
      <c r="BA146" s="34" t="s">
        <v>128</v>
      </c>
      <c r="BC146" s="55">
        <f>AW146+AX146</f>
        <v>0</v>
      </c>
      <c r="BD146" s="55">
        <f>H146/(100-BE146)*100</f>
        <v>0</v>
      </c>
      <c r="BE146" s="55">
        <v>0</v>
      </c>
      <c r="BF146" s="55">
        <f>K146</f>
        <v>0</v>
      </c>
      <c r="BH146" s="55">
        <f>G146*AO146</f>
        <v>0</v>
      </c>
      <c r="BI146" s="55">
        <f>G146*AP146</f>
        <v>0</v>
      </c>
      <c r="BJ146" s="55">
        <f>G146*H146</f>
        <v>0</v>
      </c>
      <c r="BK146" s="55"/>
      <c r="BL146" s="55"/>
      <c r="BW146" s="55">
        <v>21</v>
      </c>
    </row>
    <row r="147" spans="1:12" ht="13.5" customHeight="1">
      <c r="A147" s="59"/>
      <c r="D147" s="218" t="s">
        <v>129</v>
      </c>
      <c r="E147" s="219"/>
      <c r="F147" s="219"/>
      <c r="G147" s="219"/>
      <c r="H147" s="220"/>
      <c r="I147" s="219"/>
      <c r="J147" s="219"/>
      <c r="K147" s="219"/>
      <c r="L147" s="221"/>
    </row>
    <row r="148" spans="1:75" ht="13.5" customHeight="1">
      <c r="A148" s="1" t="s">
        <v>340</v>
      </c>
      <c r="B148" s="2" t="s">
        <v>116</v>
      </c>
      <c r="C148" s="2" t="s">
        <v>341</v>
      </c>
      <c r="D148" s="147" t="s">
        <v>342</v>
      </c>
      <c r="E148" s="148"/>
      <c r="F148" s="2" t="s">
        <v>123</v>
      </c>
      <c r="G148" s="55">
        <v>1</v>
      </c>
      <c r="H148" s="56">
        <v>0</v>
      </c>
      <c r="I148" s="55">
        <f>G148*H148</f>
        <v>0</v>
      </c>
      <c r="J148" s="55">
        <v>0</v>
      </c>
      <c r="K148" s="55">
        <f>G148*J148</f>
        <v>0</v>
      </c>
      <c r="L148" s="57" t="s">
        <v>124</v>
      </c>
      <c r="Z148" s="55">
        <f>IF(AQ148="5",BJ148,0)</f>
        <v>0</v>
      </c>
      <c r="AB148" s="55">
        <f>IF(AQ148="1",BH148,0)</f>
        <v>0</v>
      </c>
      <c r="AC148" s="55">
        <f>IF(AQ148="1",BI148,0)</f>
        <v>0</v>
      </c>
      <c r="AD148" s="55">
        <f>IF(AQ148="7",BH148,0)</f>
        <v>0</v>
      </c>
      <c r="AE148" s="55">
        <f>IF(AQ148="7",BI148,0)</f>
        <v>0</v>
      </c>
      <c r="AF148" s="55">
        <f>IF(AQ148="2",BH148,0)</f>
        <v>0</v>
      </c>
      <c r="AG148" s="55">
        <f>IF(AQ148="2",BI148,0)</f>
        <v>0</v>
      </c>
      <c r="AH148" s="55">
        <f>IF(AQ148="0",BJ148,0)</f>
        <v>0</v>
      </c>
      <c r="AI148" s="34" t="s">
        <v>116</v>
      </c>
      <c r="AJ148" s="55">
        <f>IF(AN148=0,I148,0)</f>
        <v>0</v>
      </c>
      <c r="AK148" s="55">
        <f>IF(AN148=12,I148,0)</f>
        <v>0</v>
      </c>
      <c r="AL148" s="55">
        <f>IF(AN148=21,I148,0)</f>
        <v>0</v>
      </c>
      <c r="AN148" s="55">
        <v>21</v>
      </c>
      <c r="AO148" s="55">
        <f>H148*0</f>
        <v>0</v>
      </c>
      <c r="AP148" s="55">
        <f>H148*(1-0)</f>
        <v>0</v>
      </c>
      <c r="AQ148" s="58" t="s">
        <v>125</v>
      </c>
      <c r="AV148" s="55">
        <f>AW148+AX148</f>
        <v>0</v>
      </c>
      <c r="AW148" s="55">
        <f>G148*AO148</f>
        <v>0</v>
      </c>
      <c r="AX148" s="55">
        <f>G148*AP148</f>
        <v>0</v>
      </c>
      <c r="AY148" s="58" t="s">
        <v>126</v>
      </c>
      <c r="AZ148" s="58" t="s">
        <v>127</v>
      </c>
      <c r="BA148" s="34" t="s">
        <v>128</v>
      </c>
      <c r="BC148" s="55">
        <f>AW148+AX148</f>
        <v>0</v>
      </c>
      <c r="BD148" s="55">
        <f>H148/(100-BE148)*100</f>
        <v>0</v>
      </c>
      <c r="BE148" s="55">
        <v>0</v>
      </c>
      <c r="BF148" s="55">
        <f>K148</f>
        <v>0</v>
      </c>
      <c r="BH148" s="55">
        <f>G148*AO148</f>
        <v>0</v>
      </c>
      <c r="BI148" s="55">
        <f>G148*AP148</f>
        <v>0</v>
      </c>
      <c r="BJ148" s="55">
        <f>G148*H148</f>
        <v>0</v>
      </c>
      <c r="BK148" s="55"/>
      <c r="BL148" s="55"/>
      <c r="BW148" s="55">
        <v>21</v>
      </c>
    </row>
    <row r="149" spans="1:75" ht="13.5" customHeight="1">
      <c r="A149" s="1" t="s">
        <v>343</v>
      </c>
      <c r="B149" s="2" t="s">
        <v>116</v>
      </c>
      <c r="C149" s="2" t="s">
        <v>344</v>
      </c>
      <c r="D149" s="147" t="s">
        <v>345</v>
      </c>
      <c r="E149" s="148"/>
      <c r="F149" s="2" t="s">
        <v>123</v>
      </c>
      <c r="G149" s="55">
        <v>1</v>
      </c>
      <c r="H149" s="56">
        <v>0</v>
      </c>
      <c r="I149" s="55">
        <f>G149*H149</f>
        <v>0</v>
      </c>
      <c r="J149" s="55">
        <v>0</v>
      </c>
      <c r="K149" s="55">
        <f>G149*J149</f>
        <v>0</v>
      </c>
      <c r="L149" s="57" t="s">
        <v>124</v>
      </c>
      <c r="Z149" s="55">
        <f>IF(AQ149="5",BJ149,0)</f>
        <v>0</v>
      </c>
      <c r="AB149" s="55">
        <f>IF(AQ149="1",BH149,0)</f>
        <v>0</v>
      </c>
      <c r="AC149" s="55">
        <f>IF(AQ149="1",BI149,0)</f>
        <v>0</v>
      </c>
      <c r="AD149" s="55">
        <f>IF(AQ149="7",BH149,0)</f>
        <v>0</v>
      </c>
      <c r="AE149" s="55">
        <f>IF(AQ149="7",BI149,0)</f>
        <v>0</v>
      </c>
      <c r="AF149" s="55">
        <f>IF(AQ149="2",BH149,0)</f>
        <v>0</v>
      </c>
      <c r="AG149" s="55">
        <f>IF(AQ149="2",BI149,0)</f>
        <v>0</v>
      </c>
      <c r="AH149" s="55">
        <f>IF(AQ149="0",BJ149,0)</f>
        <v>0</v>
      </c>
      <c r="AI149" s="34" t="s">
        <v>116</v>
      </c>
      <c r="AJ149" s="55">
        <f>IF(AN149=0,I149,0)</f>
        <v>0</v>
      </c>
      <c r="AK149" s="55">
        <f>IF(AN149=12,I149,0)</f>
        <v>0</v>
      </c>
      <c r="AL149" s="55">
        <f>IF(AN149=21,I149,0)</f>
        <v>0</v>
      </c>
      <c r="AN149" s="55">
        <v>21</v>
      </c>
      <c r="AO149" s="55">
        <f>H149*0</f>
        <v>0</v>
      </c>
      <c r="AP149" s="55">
        <f>H149*(1-0)</f>
        <v>0</v>
      </c>
      <c r="AQ149" s="58" t="s">
        <v>125</v>
      </c>
      <c r="AV149" s="55">
        <f>AW149+AX149</f>
        <v>0</v>
      </c>
      <c r="AW149" s="55">
        <f>G149*AO149</f>
        <v>0</v>
      </c>
      <c r="AX149" s="55">
        <f>G149*AP149</f>
        <v>0</v>
      </c>
      <c r="AY149" s="58" t="s">
        <v>126</v>
      </c>
      <c r="AZ149" s="58" t="s">
        <v>127</v>
      </c>
      <c r="BA149" s="34" t="s">
        <v>128</v>
      </c>
      <c r="BC149" s="55">
        <f>AW149+AX149</f>
        <v>0</v>
      </c>
      <c r="BD149" s="55">
        <f>H149/(100-BE149)*100</f>
        <v>0</v>
      </c>
      <c r="BE149" s="55">
        <v>0</v>
      </c>
      <c r="BF149" s="55">
        <f>K149</f>
        <v>0</v>
      </c>
      <c r="BH149" s="55">
        <f>G149*AO149</f>
        <v>0</v>
      </c>
      <c r="BI149" s="55">
        <f>G149*AP149</f>
        <v>0</v>
      </c>
      <c r="BJ149" s="55">
        <f>G149*H149</f>
        <v>0</v>
      </c>
      <c r="BK149" s="55"/>
      <c r="BL149" s="55"/>
      <c r="BW149" s="55">
        <v>21</v>
      </c>
    </row>
    <row r="150" spans="1:75" ht="13.5" customHeight="1">
      <c r="A150" s="1" t="s">
        <v>346</v>
      </c>
      <c r="B150" s="2" t="s">
        <v>116</v>
      </c>
      <c r="C150" s="2" t="s">
        <v>347</v>
      </c>
      <c r="D150" s="147" t="s">
        <v>348</v>
      </c>
      <c r="E150" s="148"/>
      <c r="F150" s="2" t="s">
        <v>123</v>
      </c>
      <c r="G150" s="55">
        <v>1</v>
      </c>
      <c r="H150" s="56">
        <v>0</v>
      </c>
      <c r="I150" s="55">
        <f>G150*H150</f>
        <v>0</v>
      </c>
      <c r="J150" s="55">
        <v>0</v>
      </c>
      <c r="K150" s="55">
        <f>G150*J150</f>
        <v>0</v>
      </c>
      <c r="L150" s="57" t="s">
        <v>124</v>
      </c>
      <c r="Z150" s="55">
        <f>IF(AQ150="5",BJ150,0)</f>
        <v>0</v>
      </c>
      <c r="AB150" s="55">
        <f>IF(AQ150="1",BH150,0)</f>
        <v>0</v>
      </c>
      <c r="AC150" s="55">
        <f>IF(AQ150="1",BI150,0)</f>
        <v>0</v>
      </c>
      <c r="AD150" s="55">
        <f>IF(AQ150="7",BH150,0)</f>
        <v>0</v>
      </c>
      <c r="AE150" s="55">
        <f>IF(AQ150="7",BI150,0)</f>
        <v>0</v>
      </c>
      <c r="AF150" s="55">
        <f>IF(AQ150="2",BH150,0)</f>
        <v>0</v>
      </c>
      <c r="AG150" s="55">
        <f>IF(AQ150="2",BI150,0)</f>
        <v>0</v>
      </c>
      <c r="AH150" s="55">
        <f>IF(AQ150="0",BJ150,0)</f>
        <v>0</v>
      </c>
      <c r="AI150" s="34" t="s">
        <v>116</v>
      </c>
      <c r="AJ150" s="55">
        <f>IF(AN150=0,I150,0)</f>
        <v>0</v>
      </c>
      <c r="AK150" s="55">
        <f>IF(AN150=12,I150,0)</f>
        <v>0</v>
      </c>
      <c r="AL150" s="55">
        <f>IF(AN150=21,I150,0)</f>
        <v>0</v>
      </c>
      <c r="AN150" s="55">
        <v>21</v>
      </c>
      <c r="AO150" s="55">
        <f>H150*0</f>
        <v>0</v>
      </c>
      <c r="AP150" s="55">
        <f>H150*(1-0)</f>
        <v>0</v>
      </c>
      <c r="AQ150" s="58" t="s">
        <v>125</v>
      </c>
      <c r="AV150" s="55">
        <f>AW150+AX150</f>
        <v>0</v>
      </c>
      <c r="AW150" s="55">
        <f>G150*AO150</f>
        <v>0</v>
      </c>
      <c r="AX150" s="55">
        <f>G150*AP150</f>
        <v>0</v>
      </c>
      <c r="AY150" s="58" t="s">
        <v>126</v>
      </c>
      <c r="AZ150" s="58" t="s">
        <v>127</v>
      </c>
      <c r="BA150" s="34" t="s">
        <v>128</v>
      </c>
      <c r="BC150" s="55">
        <f>AW150+AX150</f>
        <v>0</v>
      </c>
      <c r="BD150" s="55">
        <f>H150/(100-BE150)*100</f>
        <v>0</v>
      </c>
      <c r="BE150" s="55">
        <v>0</v>
      </c>
      <c r="BF150" s="55">
        <f>K150</f>
        <v>0</v>
      </c>
      <c r="BH150" s="55">
        <f>G150*AO150</f>
        <v>0</v>
      </c>
      <c r="BI150" s="55">
        <f>G150*AP150</f>
        <v>0</v>
      </c>
      <c r="BJ150" s="55">
        <f>G150*H150</f>
        <v>0</v>
      </c>
      <c r="BK150" s="55"/>
      <c r="BL150" s="55"/>
      <c r="BW150" s="55">
        <v>21</v>
      </c>
    </row>
    <row r="151" spans="1:75" ht="13.5" customHeight="1">
      <c r="A151" s="1" t="s">
        <v>349</v>
      </c>
      <c r="B151" s="2" t="s">
        <v>116</v>
      </c>
      <c r="C151" s="2" t="s">
        <v>350</v>
      </c>
      <c r="D151" s="147" t="s">
        <v>351</v>
      </c>
      <c r="E151" s="148"/>
      <c r="F151" s="2" t="s">
        <v>123</v>
      </c>
      <c r="G151" s="55">
        <v>1</v>
      </c>
      <c r="H151" s="56">
        <v>0</v>
      </c>
      <c r="I151" s="55">
        <f>G151*H151</f>
        <v>0</v>
      </c>
      <c r="J151" s="55">
        <v>0</v>
      </c>
      <c r="K151" s="55">
        <f>G151*J151</f>
        <v>0</v>
      </c>
      <c r="L151" s="57" t="s">
        <v>124</v>
      </c>
      <c r="Z151" s="55">
        <f>IF(AQ151="5",BJ151,0)</f>
        <v>0</v>
      </c>
      <c r="AB151" s="55">
        <f>IF(AQ151="1",BH151,0)</f>
        <v>0</v>
      </c>
      <c r="AC151" s="55">
        <f>IF(AQ151="1",BI151,0)</f>
        <v>0</v>
      </c>
      <c r="AD151" s="55">
        <f>IF(AQ151="7",BH151,0)</f>
        <v>0</v>
      </c>
      <c r="AE151" s="55">
        <f>IF(AQ151="7",BI151,0)</f>
        <v>0</v>
      </c>
      <c r="AF151" s="55">
        <f>IF(AQ151="2",BH151,0)</f>
        <v>0</v>
      </c>
      <c r="AG151" s="55">
        <f>IF(AQ151="2",BI151,0)</f>
        <v>0</v>
      </c>
      <c r="AH151" s="55">
        <f>IF(AQ151="0",BJ151,0)</f>
        <v>0</v>
      </c>
      <c r="AI151" s="34" t="s">
        <v>116</v>
      </c>
      <c r="AJ151" s="55">
        <f>IF(AN151=0,I151,0)</f>
        <v>0</v>
      </c>
      <c r="AK151" s="55">
        <f>IF(AN151=12,I151,0)</f>
        <v>0</v>
      </c>
      <c r="AL151" s="55">
        <f>IF(AN151=21,I151,0)</f>
        <v>0</v>
      </c>
      <c r="AN151" s="55">
        <v>21</v>
      </c>
      <c r="AO151" s="55">
        <f>H151*0</f>
        <v>0</v>
      </c>
      <c r="AP151" s="55">
        <f>H151*(1-0)</f>
        <v>0</v>
      </c>
      <c r="AQ151" s="58" t="s">
        <v>125</v>
      </c>
      <c r="AV151" s="55">
        <f>AW151+AX151</f>
        <v>0</v>
      </c>
      <c r="AW151" s="55">
        <f>G151*AO151</f>
        <v>0</v>
      </c>
      <c r="AX151" s="55">
        <f>G151*AP151</f>
        <v>0</v>
      </c>
      <c r="AY151" s="58" t="s">
        <v>126</v>
      </c>
      <c r="AZ151" s="58" t="s">
        <v>127</v>
      </c>
      <c r="BA151" s="34" t="s">
        <v>128</v>
      </c>
      <c r="BC151" s="55">
        <f>AW151+AX151</f>
        <v>0</v>
      </c>
      <c r="BD151" s="55">
        <f>H151/(100-BE151)*100</f>
        <v>0</v>
      </c>
      <c r="BE151" s="55">
        <v>0</v>
      </c>
      <c r="BF151" s="55">
        <f>K151</f>
        <v>0</v>
      </c>
      <c r="BH151" s="55">
        <f>G151*AO151</f>
        <v>0</v>
      </c>
      <c r="BI151" s="55">
        <f>G151*AP151</f>
        <v>0</v>
      </c>
      <c r="BJ151" s="55">
        <f>G151*H151</f>
        <v>0</v>
      </c>
      <c r="BK151" s="55"/>
      <c r="BL151" s="55"/>
      <c r="BW151" s="55">
        <v>21</v>
      </c>
    </row>
    <row r="152" spans="1:75" ht="13.5" customHeight="1">
      <c r="A152" s="1" t="s">
        <v>352</v>
      </c>
      <c r="B152" s="2" t="s">
        <v>116</v>
      </c>
      <c r="C152" s="2" t="s">
        <v>353</v>
      </c>
      <c r="D152" s="147" t="s">
        <v>354</v>
      </c>
      <c r="E152" s="148"/>
      <c r="F152" s="2" t="s">
        <v>250</v>
      </c>
      <c r="G152" s="55">
        <v>1</v>
      </c>
      <c r="H152" s="56">
        <v>0</v>
      </c>
      <c r="I152" s="55">
        <f>G152*H152</f>
        <v>0</v>
      </c>
      <c r="J152" s="55">
        <v>0</v>
      </c>
      <c r="K152" s="55">
        <f>G152*J152</f>
        <v>0</v>
      </c>
      <c r="L152" s="57" t="s">
        <v>124</v>
      </c>
      <c r="Z152" s="55">
        <f>IF(AQ152="5",BJ152,0)</f>
        <v>0</v>
      </c>
      <c r="AB152" s="55">
        <f>IF(AQ152="1",BH152,0)</f>
        <v>0</v>
      </c>
      <c r="AC152" s="55">
        <f>IF(AQ152="1",BI152,0)</f>
        <v>0</v>
      </c>
      <c r="AD152" s="55">
        <f>IF(AQ152="7",BH152,0)</f>
        <v>0</v>
      </c>
      <c r="AE152" s="55">
        <f>IF(AQ152="7",BI152,0)</f>
        <v>0</v>
      </c>
      <c r="AF152" s="55">
        <f>IF(AQ152="2",BH152,0)</f>
        <v>0</v>
      </c>
      <c r="AG152" s="55">
        <f>IF(AQ152="2",BI152,0)</f>
        <v>0</v>
      </c>
      <c r="AH152" s="55">
        <f>IF(AQ152="0",BJ152,0)</f>
        <v>0</v>
      </c>
      <c r="AI152" s="34" t="s">
        <v>116</v>
      </c>
      <c r="AJ152" s="55">
        <f>IF(AN152=0,I152,0)</f>
        <v>0</v>
      </c>
      <c r="AK152" s="55">
        <f>IF(AN152=12,I152,0)</f>
        <v>0</v>
      </c>
      <c r="AL152" s="55">
        <f>IF(AN152=21,I152,0)</f>
        <v>0</v>
      </c>
      <c r="AN152" s="55">
        <v>21</v>
      </c>
      <c r="AO152" s="55">
        <f>H152*0</f>
        <v>0</v>
      </c>
      <c r="AP152" s="55">
        <f>H152*(1-0)</f>
        <v>0</v>
      </c>
      <c r="AQ152" s="58" t="s">
        <v>125</v>
      </c>
      <c r="AV152" s="55">
        <f>AW152+AX152</f>
        <v>0</v>
      </c>
      <c r="AW152" s="55">
        <f>G152*AO152</f>
        <v>0</v>
      </c>
      <c r="AX152" s="55">
        <f>G152*AP152</f>
        <v>0</v>
      </c>
      <c r="AY152" s="58" t="s">
        <v>126</v>
      </c>
      <c r="AZ152" s="58" t="s">
        <v>127</v>
      </c>
      <c r="BA152" s="34" t="s">
        <v>128</v>
      </c>
      <c r="BC152" s="55">
        <f>AW152+AX152</f>
        <v>0</v>
      </c>
      <c r="BD152" s="55">
        <f>H152/(100-BE152)*100</f>
        <v>0</v>
      </c>
      <c r="BE152" s="55">
        <v>0</v>
      </c>
      <c r="BF152" s="55">
        <f>K152</f>
        <v>0</v>
      </c>
      <c r="BH152" s="55">
        <f>G152*AO152</f>
        <v>0</v>
      </c>
      <c r="BI152" s="55">
        <f>G152*AP152</f>
        <v>0</v>
      </c>
      <c r="BJ152" s="55">
        <f>G152*H152</f>
        <v>0</v>
      </c>
      <c r="BK152" s="55"/>
      <c r="BL152" s="55"/>
      <c r="BW152" s="55">
        <v>21</v>
      </c>
    </row>
    <row r="153" spans="1:47" ht="14.4">
      <c r="A153" s="50" t="s">
        <v>4</v>
      </c>
      <c r="B153" s="51" t="s">
        <v>116</v>
      </c>
      <c r="C153" s="51" t="s">
        <v>355</v>
      </c>
      <c r="D153" s="222" t="s">
        <v>356</v>
      </c>
      <c r="E153" s="223"/>
      <c r="F153" s="52" t="s">
        <v>79</v>
      </c>
      <c r="G153" s="52" t="s">
        <v>79</v>
      </c>
      <c r="H153" s="53" t="s">
        <v>79</v>
      </c>
      <c r="I153" s="27">
        <f>SUM(I154:I156)</f>
        <v>0</v>
      </c>
      <c r="J153" s="34" t="s">
        <v>4</v>
      </c>
      <c r="K153" s="27">
        <f>SUM(K154:K156)</f>
        <v>0</v>
      </c>
      <c r="L153" s="54" t="s">
        <v>4</v>
      </c>
      <c r="AI153" s="34" t="s">
        <v>116</v>
      </c>
      <c r="AS153" s="27">
        <f>SUM(AJ154:AJ156)</f>
        <v>0</v>
      </c>
      <c r="AT153" s="27">
        <f>SUM(AK154:AK156)</f>
        <v>0</v>
      </c>
      <c r="AU153" s="27">
        <f>SUM(AL154:AL156)</f>
        <v>0</v>
      </c>
    </row>
    <row r="154" spans="1:75" ht="13.5" customHeight="1">
      <c r="A154" s="1" t="s">
        <v>357</v>
      </c>
      <c r="B154" s="2" t="s">
        <v>116</v>
      </c>
      <c r="C154" s="2" t="s">
        <v>358</v>
      </c>
      <c r="D154" s="147" t="s">
        <v>359</v>
      </c>
      <c r="E154" s="148"/>
      <c r="F154" s="2" t="s">
        <v>360</v>
      </c>
      <c r="G154" s="55">
        <v>16</v>
      </c>
      <c r="H154" s="56">
        <v>0</v>
      </c>
      <c r="I154" s="55">
        <f>G154*H154</f>
        <v>0</v>
      </c>
      <c r="J154" s="55">
        <v>0</v>
      </c>
      <c r="K154" s="55">
        <f>G154*J154</f>
        <v>0</v>
      </c>
      <c r="L154" s="57" t="s">
        <v>124</v>
      </c>
      <c r="Z154" s="55">
        <f>IF(AQ154="5",BJ154,0)</f>
        <v>0</v>
      </c>
      <c r="AB154" s="55">
        <f>IF(AQ154="1",BH154,0)</f>
        <v>0</v>
      </c>
      <c r="AC154" s="55">
        <f>IF(AQ154="1",BI154,0)</f>
        <v>0</v>
      </c>
      <c r="AD154" s="55">
        <f>IF(AQ154="7",BH154,0)</f>
        <v>0</v>
      </c>
      <c r="AE154" s="55">
        <f>IF(AQ154="7",BI154,0)</f>
        <v>0</v>
      </c>
      <c r="AF154" s="55">
        <f>IF(AQ154="2",BH154,0)</f>
        <v>0</v>
      </c>
      <c r="AG154" s="55">
        <f>IF(AQ154="2",BI154,0)</f>
        <v>0</v>
      </c>
      <c r="AH154" s="55">
        <f>IF(AQ154="0",BJ154,0)</f>
        <v>0</v>
      </c>
      <c r="AI154" s="34" t="s">
        <v>116</v>
      </c>
      <c r="AJ154" s="55">
        <f>IF(AN154=0,I154,0)</f>
        <v>0</v>
      </c>
      <c r="AK154" s="55">
        <f>IF(AN154=12,I154,0)</f>
        <v>0</v>
      </c>
      <c r="AL154" s="55">
        <f>IF(AN154=21,I154,0)</f>
        <v>0</v>
      </c>
      <c r="AN154" s="55">
        <v>21</v>
      </c>
      <c r="AO154" s="55">
        <f>H154*0</f>
        <v>0</v>
      </c>
      <c r="AP154" s="55">
        <f>H154*(1-0)</f>
        <v>0</v>
      </c>
      <c r="AQ154" s="58" t="s">
        <v>125</v>
      </c>
      <c r="AV154" s="55">
        <f>AW154+AX154</f>
        <v>0</v>
      </c>
      <c r="AW154" s="55">
        <f>G154*AO154</f>
        <v>0</v>
      </c>
      <c r="AX154" s="55">
        <f>G154*AP154</f>
        <v>0</v>
      </c>
      <c r="AY154" s="58" t="s">
        <v>361</v>
      </c>
      <c r="AZ154" s="58" t="s">
        <v>362</v>
      </c>
      <c r="BA154" s="34" t="s">
        <v>128</v>
      </c>
      <c r="BC154" s="55">
        <f>AW154+AX154</f>
        <v>0</v>
      </c>
      <c r="BD154" s="55">
        <f>H154/(100-BE154)*100</f>
        <v>0</v>
      </c>
      <c r="BE154" s="55">
        <v>0</v>
      </c>
      <c r="BF154" s="55">
        <f>K154</f>
        <v>0</v>
      </c>
      <c r="BH154" s="55">
        <f>G154*AO154</f>
        <v>0</v>
      </c>
      <c r="BI154" s="55">
        <f>G154*AP154</f>
        <v>0</v>
      </c>
      <c r="BJ154" s="55">
        <f>G154*H154</f>
        <v>0</v>
      </c>
      <c r="BK154" s="55"/>
      <c r="BL154" s="55">
        <v>750</v>
      </c>
      <c r="BW154" s="55">
        <v>21</v>
      </c>
    </row>
    <row r="155" spans="1:75" ht="13.5" customHeight="1">
      <c r="A155" s="1" t="s">
        <v>363</v>
      </c>
      <c r="B155" s="2" t="s">
        <v>116</v>
      </c>
      <c r="C155" s="2" t="s">
        <v>364</v>
      </c>
      <c r="D155" s="147" t="s">
        <v>365</v>
      </c>
      <c r="E155" s="148"/>
      <c r="F155" s="2" t="s">
        <v>360</v>
      </c>
      <c r="G155" s="55">
        <v>12</v>
      </c>
      <c r="H155" s="56">
        <v>0</v>
      </c>
      <c r="I155" s="55">
        <f>G155*H155</f>
        <v>0</v>
      </c>
      <c r="J155" s="55">
        <v>0</v>
      </c>
      <c r="K155" s="55">
        <f>G155*J155</f>
        <v>0</v>
      </c>
      <c r="L155" s="57" t="s">
        <v>124</v>
      </c>
      <c r="Z155" s="55">
        <f>IF(AQ155="5",BJ155,0)</f>
        <v>0</v>
      </c>
      <c r="AB155" s="55">
        <f>IF(AQ155="1",BH155,0)</f>
        <v>0</v>
      </c>
      <c r="AC155" s="55">
        <f>IF(AQ155="1",BI155,0)</f>
        <v>0</v>
      </c>
      <c r="AD155" s="55">
        <f>IF(AQ155="7",BH155,0)</f>
        <v>0</v>
      </c>
      <c r="AE155" s="55">
        <f>IF(AQ155="7",BI155,0)</f>
        <v>0</v>
      </c>
      <c r="AF155" s="55">
        <f>IF(AQ155="2",BH155,0)</f>
        <v>0</v>
      </c>
      <c r="AG155" s="55">
        <f>IF(AQ155="2",BI155,0)</f>
        <v>0</v>
      </c>
      <c r="AH155" s="55">
        <f>IF(AQ155="0",BJ155,0)</f>
        <v>0</v>
      </c>
      <c r="AI155" s="34" t="s">
        <v>116</v>
      </c>
      <c r="AJ155" s="55">
        <f>IF(AN155=0,I155,0)</f>
        <v>0</v>
      </c>
      <c r="AK155" s="55">
        <f>IF(AN155=12,I155,0)</f>
        <v>0</v>
      </c>
      <c r="AL155" s="55">
        <f>IF(AN155=21,I155,0)</f>
        <v>0</v>
      </c>
      <c r="AN155" s="55">
        <v>21</v>
      </c>
      <c r="AO155" s="55">
        <f>H155*0</f>
        <v>0</v>
      </c>
      <c r="AP155" s="55">
        <f>H155*(1-0)</f>
        <v>0</v>
      </c>
      <c r="AQ155" s="58" t="s">
        <v>125</v>
      </c>
      <c r="AV155" s="55">
        <f>AW155+AX155</f>
        <v>0</v>
      </c>
      <c r="AW155" s="55">
        <f>G155*AO155</f>
        <v>0</v>
      </c>
      <c r="AX155" s="55">
        <f>G155*AP155</f>
        <v>0</v>
      </c>
      <c r="AY155" s="58" t="s">
        <v>361</v>
      </c>
      <c r="AZ155" s="58" t="s">
        <v>362</v>
      </c>
      <c r="BA155" s="34" t="s">
        <v>128</v>
      </c>
      <c r="BC155" s="55">
        <f>AW155+AX155</f>
        <v>0</v>
      </c>
      <c r="BD155" s="55">
        <f>H155/(100-BE155)*100</f>
        <v>0</v>
      </c>
      <c r="BE155" s="55">
        <v>0</v>
      </c>
      <c r="BF155" s="55">
        <f>K155</f>
        <v>0</v>
      </c>
      <c r="BH155" s="55">
        <f>G155*AO155</f>
        <v>0</v>
      </c>
      <c r="BI155" s="55">
        <f>G155*AP155</f>
        <v>0</v>
      </c>
      <c r="BJ155" s="55">
        <f>G155*H155</f>
        <v>0</v>
      </c>
      <c r="BK155" s="55"/>
      <c r="BL155" s="55">
        <v>750</v>
      </c>
      <c r="BW155" s="55">
        <v>21</v>
      </c>
    </row>
    <row r="156" spans="1:75" ht="13.5" customHeight="1">
      <c r="A156" s="1" t="s">
        <v>366</v>
      </c>
      <c r="B156" s="2" t="s">
        <v>116</v>
      </c>
      <c r="C156" s="2" t="s">
        <v>367</v>
      </c>
      <c r="D156" s="147" t="s">
        <v>368</v>
      </c>
      <c r="E156" s="148"/>
      <c r="F156" s="2" t="s">
        <v>360</v>
      </c>
      <c r="G156" s="55">
        <v>12</v>
      </c>
      <c r="H156" s="56">
        <v>0</v>
      </c>
      <c r="I156" s="55">
        <f>G156*H156</f>
        <v>0</v>
      </c>
      <c r="J156" s="55">
        <v>0</v>
      </c>
      <c r="K156" s="55">
        <f>G156*J156</f>
        <v>0</v>
      </c>
      <c r="L156" s="57" t="s">
        <v>124</v>
      </c>
      <c r="Z156" s="55">
        <f>IF(AQ156="5",BJ156,0)</f>
        <v>0</v>
      </c>
      <c r="AB156" s="55">
        <f>IF(AQ156="1",BH156,0)</f>
        <v>0</v>
      </c>
      <c r="AC156" s="55">
        <f>IF(AQ156="1",BI156,0)</f>
        <v>0</v>
      </c>
      <c r="AD156" s="55">
        <f>IF(AQ156="7",BH156,0)</f>
        <v>0</v>
      </c>
      <c r="AE156" s="55">
        <f>IF(AQ156="7",BI156,0)</f>
        <v>0</v>
      </c>
      <c r="AF156" s="55">
        <f>IF(AQ156="2",BH156,0)</f>
        <v>0</v>
      </c>
      <c r="AG156" s="55">
        <f>IF(AQ156="2",BI156,0)</f>
        <v>0</v>
      </c>
      <c r="AH156" s="55">
        <f>IF(AQ156="0",BJ156,0)</f>
        <v>0</v>
      </c>
      <c r="AI156" s="34" t="s">
        <v>116</v>
      </c>
      <c r="AJ156" s="55">
        <f>IF(AN156=0,I156,0)</f>
        <v>0</v>
      </c>
      <c r="AK156" s="55">
        <f>IF(AN156=12,I156,0)</f>
        <v>0</v>
      </c>
      <c r="AL156" s="55">
        <f>IF(AN156=21,I156,0)</f>
        <v>0</v>
      </c>
      <c r="AN156" s="55">
        <v>21</v>
      </c>
      <c r="AO156" s="55">
        <f>H156*0</f>
        <v>0</v>
      </c>
      <c r="AP156" s="55">
        <f>H156*(1-0)</f>
        <v>0</v>
      </c>
      <c r="AQ156" s="58" t="s">
        <v>125</v>
      </c>
      <c r="AV156" s="55">
        <f>AW156+AX156</f>
        <v>0</v>
      </c>
      <c r="AW156" s="55">
        <f>G156*AO156</f>
        <v>0</v>
      </c>
      <c r="AX156" s="55">
        <f>G156*AP156</f>
        <v>0</v>
      </c>
      <c r="AY156" s="58" t="s">
        <v>361</v>
      </c>
      <c r="AZ156" s="58" t="s">
        <v>362</v>
      </c>
      <c r="BA156" s="34" t="s">
        <v>128</v>
      </c>
      <c r="BC156" s="55">
        <f>AW156+AX156</f>
        <v>0</v>
      </c>
      <c r="BD156" s="55">
        <f>H156/(100-BE156)*100</f>
        <v>0</v>
      </c>
      <c r="BE156" s="55">
        <v>0</v>
      </c>
      <c r="BF156" s="55">
        <f>K156</f>
        <v>0</v>
      </c>
      <c r="BH156" s="55">
        <f>G156*AO156</f>
        <v>0</v>
      </c>
      <c r="BI156" s="55">
        <f>G156*AP156</f>
        <v>0</v>
      </c>
      <c r="BJ156" s="55">
        <f>G156*H156</f>
        <v>0</v>
      </c>
      <c r="BK156" s="55"/>
      <c r="BL156" s="55">
        <v>750</v>
      </c>
      <c r="BW156" s="55">
        <v>21</v>
      </c>
    </row>
    <row r="157" spans="1:47" ht="14.4">
      <c r="A157" s="50" t="s">
        <v>4</v>
      </c>
      <c r="B157" s="51" t="s">
        <v>116</v>
      </c>
      <c r="C157" s="51" t="s">
        <v>369</v>
      </c>
      <c r="D157" s="222" t="s">
        <v>370</v>
      </c>
      <c r="E157" s="223"/>
      <c r="F157" s="52" t="s">
        <v>79</v>
      </c>
      <c r="G157" s="52" t="s">
        <v>79</v>
      </c>
      <c r="H157" s="53" t="s">
        <v>79</v>
      </c>
      <c r="I157" s="27">
        <f>SUM(I158:I178)</f>
        <v>0</v>
      </c>
      <c r="J157" s="34" t="s">
        <v>4</v>
      </c>
      <c r="K157" s="27">
        <f>SUM(K158:K178)</f>
        <v>0</v>
      </c>
      <c r="L157" s="54" t="s">
        <v>4</v>
      </c>
      <c r="AI157" s="34" t="s">
        <v>116</v>
      </c>
      <c r="AS157" s="27">
        <f>SUM(AJ158:AJ178)</f>
        <v>0</v>
      </c>
      <c r="AT157" s="27">
        <f>SUM(AK158:AK178)</f>
        <v>0</v>
      </c>
      <c r="AU157" s="27">
        <f>SUM(AL158:AL178)</f>
        <v>0</v>
      </c>
    </row>
    <row r="158" spans="1:75" ht="13.5" customHeight="1">
      <c r="A158" s="1" t="s">
        <v>371</v>
      </c>
      <c r="B158" s="2" t="s">
        <v>116</v>
      </c>
      <c r="C158" s="2" t="s">
        <v>372</v>
      </c>
      <c r="D158" s="147" t="s">
        <v>373</v>
      </c>
      <c r="E158" s="148"/>
      <c r="F158" s="2" t="s">
        <v>374</v>
      </c>
      <c r="G158" s="55">
        <v>2</v>
      </c>
      <c r="H158" s="56">
        <v>0</v>
      </c>
      <c r="I158" s="55">
        <f aca="true" t="shared" si="0" ref="I158:I178">G158*H158</f>
        <v>0</v>
      </c>
      <c r="J158" s="55">
        <v>0</v>
      </c>
      <c r="K158" s="55">
        <f aca="true" t="shared" si="1" ref="K158:K178">G158*J158</f>
        <v>0</v>
      </c>
      <c r="L158" s="57" t="s">
        <v>124</v>
      </c>
      <c r="Z158" s="55">
        <f aca="true" t="shared" si="2" ref="Z158:Z178">IF(AQ158="5",BJ158,0)</f>
        <v>0</v>
      </c>
      <c r="AB158" s="55">
        <f aca="true" t="shared" si="3" ref="AB158:AB178">IF(AQ158="1",BH158,0)</f>
        <v>0</v>
      </c>
      <c r="AC158" s="55">
        <f aca="true" t="shared" si="4" ref="AC158:AC178">IF(AQ158="1",BI158,0)</f>
        <v>0</v>
      </c>
      <c r="AD158" s="55">
        <f aca="true" t="shared" si="5" ref="AD158:AD178">IF(AQ158="7",BH158,0)</f>
        <v>0</v>
      </c>
      <c r="AE158" s="55">
        <f aca="true" t="shared" si="6" ref="AE158:AE178">IF(AQ158="7",BI158,0)</f>
        <v>0</v>
      </c>
      <c r="AF158" s="55">
        <f aca="true" t="shared" si="7" ref="AF158:AF178">IF(AQ158="2",BH158,0)</f>
        <v>0</v>
      </c>
      <c r="AG158" s="55">
        <f aca="true" t="shared" si="8" ref="AG158:AG178">IF(AQ158="2",BI158,0)</f>
        <v>0</v>
      </c>
      <c r="AH158" s="55">
        <f aca="true" t="shared" si="9" ref="AH158:AH178">IF(AQ158="0",BJ158,0)</f>
        <v>0</v>
      </c>
      <c r="AI158" s="34" t="s">
        <v>116</v>
      </c>
      <c r="AJ158" s="55">
        <f aca="true" t="shared" si="10" ref="AJ158:AJ178">IF(AN158=0,I158,0)</f>
        <v>0</v>
      </c>
      <c r="AK158" s="55">
        <f aca="true" t="shared" si="11" ref="AK158:AK178">IF(AN158=12,I158,0)</f>
        <v>0</v>
      </c>
      <c r="AL158" s="55">
        <f aca="true" t="shared" si="12" ref="AL158:AL178">IF(AN158=21,I158,0)</f>
        <v>0</v>
      </c>
      <c r="AN158" s="55">
        <v>21</v>
      </c>
      <c r="AO158" s="55">
        <f>H158*0</f>
        <v>0</v>
      </c>
      <c r="AP158" s="55">
        <f>H158*(1-0)</f>
        <v>0</v>
      </c>
      <c r="AQ158" s="58" t="s">
        <v>125</v>
      </c>
      <c r="AV158" s="55">
        <f aca="true" t="shared" si="13" ref="AV158:AV178">AW158+AX158</f>
        <v>0</v>
      </c>
      <c r="AW158" s="55">
        <f aca="true" t="shared" si="14" ref="AW158:AW178">G158*AO158</f>
        <v>0</v>
      </c>
      <c r="AX158" s="55">
        <f aca="true" t="shared" si="15" ref="AX158:AX178">G158*AP158</f>
        <v>0</v>
      </c>
      <c r="AY158" s="58" t="s">
        <v>375</v>
      </c>
      <c r="AZ158" s="58" t="s">
        <v>362</v>
      </c>
      <c r="BA158" s="34" t="s">
        <v>128</v>
      </c>
      <c r="BC158" s="55">
        <f aca="true" t="shared" si="16" ref="BC158:BC178">AW158+AX158</f>
        <v>0</v>
      </c>
      <c r="BD158" s="55">
        <f aca="true" t="shared" si="17" ref="BD158:BD178">H158/(100-BE158)*100</f>
        <v>0</v>
      </c>
      <c r="BE158" s="55">
        <v>0</v>
      </c>
      <c r="BF158" s="55">
        <f aca="true" t="shared" si="18" ref="BF158:BF178">K158</f>
        <v>0</v>
      </c>
      <c r="BH158" s="55">
        <f aca="true" t="shared" si="19" ref="BH158:BH178">G158*AO158</f>
        <v>0</v>
      </c>
      <c r="BI158" s="55">
        <f aca="true" t="shared" si="20" ref="BI158:BI178">G158*AP158</f>
        <v>0</v>
      </c>
      <c r="BJ158" s="55">
        <f aca="true" t="shared" si="21" ref="BJ158:BJ178">G158*H158</f>
        <v>0</v>
      </c>
      <c r="BK158" s="55"/>
      <c r="BL158" s="55">
        <v>751</v>
      </c>
      <c r="BW158" s="55">
        <v>21</v>
      </c>
    </row>
    <row r="159" spans="1:75" ht="13.5" customHeight="1">
      <c r="A159" s="61" t="s">
        <v>376</v>
      </c>
      <c r="B159" s="62" t="s">
        <v>116</v>
      </c>
      <c r="C159" s="62" t="s">
        <v>377</v>
      </c>
      <c r="D159" s="224" t="s">
        <v>378</v>
      </c>
      <c r="E159" s="225"/>
      <c r="F159" s="62" t="s">
        <v>374</v>
      </c>
      <c r="G159" s="63">
        <v>2</v>
      </c>
      <c r="H159" s="64">
        <v>0</v>
      </c>
      <c r="I159" s="63">
        <f t="shared" si="0"/>
        <v>0</v>
      </c>
      <c r="J159" s="63">
        <v>0</v>
      </c>
      <c r="K159" s="63">
        <f t="shared" si="1"/>
        <v>0</v>
      </c>
      <c r="L159" s="65" t="s">
        <v>124</v>
      </c>
      <c r="Z159" s="55">
        <f t="shared" si="2"/>
        <v>0</v>
      </c>
      <c r="AB159" s="55">
        <f t="shared" si="3"/>
        <v>0</v>
      </c>
      <c r="AC159" s="55">
        <f t="shared" si="4"/>
        <v>0</v>
      </c>
      <c r="AD159" s="55">
        <f t="shared" si="5"/>
        <v>0</v>
      </c>
      <c r="AE159" s="55">
        <f t="shared" si="6"/>
        <v>0</v>
      </c>
      <c r="AF159" s="55">
        <f t="shared" si="7"/>
        <v>0</v>
      </c>
      <c r="AG159" s="55">
        <f t="shared" si="8"/>
        <v>0</v>
      </c>
      <c r="AH159" s="55">
        <f t="shared" si="9"/>
        <v>0</v>
      </c>
      <c r="AI159" s="34" t="s">
        <v>116</v>
      </c>
      <c r="AJ159" s="63">
        <f t="shared" si="10"/>
        <v>0</v>
      </c>
      <c r="AK159" s="63">
        <f t="shared" si="11"/>
        <v>0</v>
      </c>
      <c r="AL159" s="63">
        <f t="shared" si="12"/>
        <v>0</v>
      </c>
      <c r="AN159" s="55">
        <v>21</v>
      </c>
      <c r="AO159" s="55">
        <f>H159*1</f>
        <v>0</v>
      </c>
      <c r="AP159" s="55">
        <f>H159*(1-1)</f>
        <v>0</v>
      </c>
      <c r="AQ159" s="66" t="s">
        <v>125</v>
      </c>
      <c r="AV159" s="55">
        <f t="shared" si="13"/>
        <v>0</v>
      </c>
      <c r="AW159" s="55">
        <f t="shared" si="14"/>
        <v>0</v>
      </c>
      <c r="AX159" s="55">
        <f t="shared" si="15"/>
        <v>0</v>
      </c>
      <c r="AY159" s="58" t="s">
        <v>375</v>
      </c>
      <c r="AZ159" s="58" t="s">
        <v>362</v>
      </c>
      <c r="BA159" s="34" t="s">
        <v>128</v>
      </c>
      <c r="BC159" s="55">
        <f t="shared" si="16"/>
        <v>0</v>
      </c>
      <c r="BD159" s="55">
        <f t="shared" si="17"/>
        <v>0</v>
      </c>
      <c r="BE159" s="55">
        <v>0</v>
      </c>
      <c r="BF159" s="55">
        <f t="shared" si="18"/>
        <v>0</v>
      </c>
      <c r="BH159" s="63">
        <f t="shared" si="19"/>
        <v>0</v>
      </c>
      <c r="BI159" s="63">
        <f t="shared" si="20"/>
        <v>0</v>
      </c>
      <c r="BJ159" s="63">
        <f t="shared" si="21"/>
        <v>0</v>
      </c>
      <c r="BK159" s="63"/>
      <c r="BL159" s="55">
        <v>751</v>
      </c>
      <c r="BW159" s="55">
        <v>21</v>
      </c>
    </row>
    <row r="160" spans="1:75" ht="13.5" customHeight="1">
      <c r="A160" s="1" t="s">
        <v>379</v>
      </c>
      <c r="B160" s="2" t="s">
        <v>116</v>
      </c>
      <c r="C160" s="2" t="s">
        <v>380</v>
      </c>
      <c r="D160" s="147" t="s">
        <v>381</v>
      </c>
      <c r="E160" s="148"/>
      <c r="F160" s="2" t="s">
        <v>374</v>
      </c>
      <c r="G160" s="55">
        <v>9</v>
      </c>
      <c r="H160" s="56">
        <v>0</v>
      </c>
      <c r="I160" s="55">
        <f t="shared" si="0"/>
        <v>0</v>
      </c>
      <c r="J160" s="55">
        <v>0</v>
      </c>
      <c r="K160" s="55">
        <f t="shared" si="1"/>
        <v>0</v>
      </c>
      <c r="L160" s="57" t="s">
        <v>124</v>
      </c>
      <c r="Z160" s="55">
        <f t="shared" si="2"/>
        <v>0</v>
      </c>
      <c r="AB160" s="55">
        <f t="shared" si="3"/>
        <v>0</v>
      </c>
      <c r="AC160" s="55">
        <f t="shared" si="4"/>
        <v>0</v>
      </c>
      <c r="AD160" s="55">
        <f t="shared" si="5"/>
        <v>0</v>
      </c>
      <c r="AE160" s="55">
        <f t="shared" si="6"/>
        <v>0</v>
      </c>
      <c r="AF160" s="55">
        <f t="shared" si="7"/>
        <v>0</v>
      </c>
      <c r="AG160" s="55">
        <f t="shared" si="8"/>
        <v>0</v>
      </c>
      <c r="AH160" s="55">
        <f t="shared" si="9"/>
        <v>0</v>
      </c>
      <c r="AI160" s="34" t="s">
        <v>116</v>
      </c>
      <c r="AJ160" s="55">
        <f t="shared" si="10"/>
        <v>0</v>
      </c>
      <c r="AK160" s="55">
        <f t="shared" si="11"/>
        <v>0</v>
      </c>
      <c r="AL160" s="55">
        <f t="shared" si="12"/>
        <v>0</v>
      </c>
      <c r="AN160" s="55">
        <v>21</v>
      </c>
      <c r="AO160" s="55">
        <f>H160*0</f>
        <v>0</v>
      </c>
      <c r="AP160" s="55">
        <f>H160*(1-0)</f>
        <v>0</v>
      </c>
      <c r="AQ160" s="58" t="s">
        <v>125</v>
      </c>
      <c r="AV160" s="55">
        <f t="shared" si="13"/>
        <v>0</v>
      </c>
      <c r="AW160" s="55">
        <f t="shared" si="14"/>
        <v>0</v>
      </c>
      <c r="AX160" s="55">
        <f t="shared" si="15"/>
        <v>0</v>
      </c>
      <c r="AY160" s="58" t="s">
        <v>375</v>
      </c>
      <c r="AZ160" s="58" t="s">
        <v>362</v>
      </c>
      <c r="BA160" s="34" t="s">
        <v>128</v>
      </c>
      <c r="BC160" s="55">
        <f t="shared" si="16"/>
        <v>0</v>
      </c>
      <c r="BD160" s="55">
        <f t="shared" si="17"/>
        <v>0</v>
      </c>
      <c r="BE160" s="55">
        <v>0</v>
      </c>
      <c r="BF160" s="55">
        <f t="shared" si="18"/>
        <v>0</v>
      </c>
      <c r="BH160" s="55">
        <f t="shared" si="19"/>
        <v>0</v>
      </c>
      <c r="BI160" s="55">
        <f t="shared" si="20"/>
        <v>0</v>
      </c>
      <c r="BJ160" s="55">
        <f t="shared" si="21"/>
        <v>0</v>
      </c>
      <c r="BK160" s="55"/>
      <c r="BL160" s="55">
        <v>751</v>
      </c>
      <c r="BW160" s="55">
        <v>21</v>
      </c>
    </row>
    <row r="161" spans="1:75" ht="13.5" customHeight="1">
      <c r="A161" s="61" t="s">
        <v>382</v>
      </c>
      <c r="B161" s="62" t="s">
        <v>116</v>
      </c>
      <c r="C161" s="62" t="s">
        <v>383</v>
      </c>
      <c r="D161" s="224" t="s">
        <v>384</v>
      </c>
      <c r="E161" s="225"/>
      <c r="F161" s="62" t="s">
        <v>374</v>
      </c>
      <c r="G161" s="63">
        <v>9</v>
      </c>
      <c r="H161" s="64">
        <v>0</v>
      </c>
      <c r="I161" s="63">
        <f t="shared" si="0"/>
        <v>0</v>
      </c>
      <c r="J161" s="63">
        <v>0</v>
      </c>
      <c r="K161" s="63">
        <f t="shared" si="1"/>
        <v>0</v>
      </c>
      <c r="L161" s="65" t="s">
        <v>124</v>
      </c>
      <c r="Z161" s="55">
        <f t="shared" si="2"/>
        <v>0</v>
      </c>
      <c r="AB161" s="55">
        <f t="shared" si="3"/>
        <v>0</v>
      </c>
      <c r="AC161" s="55">
        <f t="shared" si="4"/>
        <v>0</v>
      </c>
      <c r="AD161" s="55">
        <f t="shared" si="5"/>
        <v>0</v>
      </c>
      <c r="AE161" s="55">
        <f t="shared" si="6"/>
        <v>0</v>
      </c>
      <c r="AF161" s="55">
        <f t="shared" si="7"/>
        <v>0</v>
      </c>
      <c r="AG161" s="55">
        <f t="shared" si="8"/>
        <v>0</v>
      </c>
      <c r="AH161" s="55">
        <f t="shared" si="9"/>
        <v>0</v>
      </c>
      <c r="AI161" s="34" t="s">
        <v>116</v>
      </c>
      <c r="AJ161" s="63">
        <f t="shared" si="10"/>
        <v>0</v>
      </c>
      <c r="AK161" s="63">
        <f t="shared" si="11"/>
        <v>0</v>
      </c>
      <c r="AL161" s="63">
        <f t="shared" si="12"/>
        <v>0</v>
      </c>
      <c r="AN161" s="55">
        <v>21</v>
      </c>
      <c r="AO161" s="55">
        <f>H161*1</f>
        <v>0</v>
      </c>
      <c r="AP161" s="55">
        <f>H161*(1-1)</f>
        <v>0</v>
      </c>
      <c r="AQ161" s="66" t="s">
        <v>125</v>
      </c>
      <c r="AV161" s="55">
        <f t="shared" si="13"/>
        <v>0</v>
      </c>
      <c r="AW161" s="55">
        <f t="shared" si="14"/>
        <v>0</v>
      </c>
      <c r="AX161" s="55">
        <f t="shared" si="15"/>
        <v>0</v>
      </c>
      <c r="AY161" s="58" t="s">
        <v>375</v>
      </c>
      <c r="AZ161" s="58" t="s">
        <v>362</v>
      </c>
      <c r="BA161" s="34" t="s">
        <v>128</v>
      </c>
      <c r="BC161" s="55">
        <f t="shared" si="16"/>
        <v>0</v>
      </c>
      <c r="BD161" s="55">
        <f t="shared" si="17"/>
        <v>0</v>
      </c>
      <c r="BE161" s="55">
        <v>0</v>
      </c>
      <c r="BF161" s="55">
        <f t="shared" si="18"/>
        <v>0</v>
      </c>
      <c r="BH161" s="63">
        <f t="shared" si="19"/>
        <v>0</v>
      </c>
      <c r="BI161" s="63">
        <f t="shared" si="20"/>
        <v>0</v>
      </c>
      <c r="BJ161" s="63">
        <f t="shared" si="21"/>
        <v>0</v>
      </c>
      <c r="BK161" s="63"/>
      <c r="BL161" s="55">
        <v>751</v>
      </c>
      <c r="BW161" s="55">
        <v>21</v>
      </c>
    </row>
    <row r="162" spans="1:75" ht="13.5" customHeight="1">
      <c r="A162" s="1" t="s">
        <v>385</v>
      </c>
      <c r="B162" s="2" t="s">
        <v>116</v>
      </c>
      <c r="C162" s="2" t="s">
        <v>386</v>
      </c>
      <c r="D162" s="147" t="s">
        <v>387</v>
      </c>
      <c r="E162" s="148"/>
      <c r="F162" s="2" t="s">
        <v>374</v>
      </c>
      <c r="G162" s="55">
        <v>4</v>
      </c>
      <c r="H162" s="56">
        <v>0</v>
      </c>
      <c r="I162" s="55">
        <f t="shared" si="0"/>
        <v>0</v>
      </c>
      <c r="J162" s="55">
        <v>0</v>
      </c>
      <c r="K162" s="55">
        <f t="shared" si="1"/>
        <v>0</v>
      </c>
      <c r="L162" s="57" t="s">
        <v>124</v>
      </c>
      <c r="Z162" s="55">
        <f t="shared" si="2"/>
        <v>0</v>
      </c>
      <c r="AB162" s="55">
        <f t="shared" si="3"/>
        <v>0</v>
      </c>
      <c r="AC162" s="55">
        <f t="shared" si="4"/>
        <v>0</v>
      </c>
      <c r="AD162" s="55">
        <f t="shared" si="5"/>
        <v>0</v>
      </c>
      <c r="AE162" s="55">
        <f t="shared" si="6"/>
        <v>0</v>
      </c>
      <c r="AF162" s="55">
        <f t="shared" si="7"/>
        <v>0</v>
      </c>
      <c r="AG162" s="55">
        <f t="shared" si="8"/>
        <v>0</v>
      </c>
      <c r="AH162" s="55">
        <f t="shared" si="9"/>
        <v>0</v>
      </c>
      <c r="AI162" s="34" t="s">
        <v>116</v>
      </c>
      <c r="AJ162" s="55">
        <f t="shared" si="10"/>
        <v>0</v>
      </c>
      <c r="AK162" s="55">
        <f t="shared" si="11"/>
        <v>0</v>
      </c>
      <c r="AL162" s="55">
        <f t="shared" si="12"/>
        <v>0</v>
      </c>
      <c r="AN162" s="55">
        <v>21</v>
      </c>
      <c r="AO162" s="55">
        <f>H162*0</f>
        <v>0</v>
      </c>
      <c r="AP162" s="55">
        <f>H162*(1-0)</f>
        <v>0</v>
      </c>
      <c r="AQ162" s="58" t="s">
        <v>125</v>
      </c>
      <c r="AV162" s="55">
        <f t="shared" si="13"/>
        <v>0</v>
      </c>
      <c r="AW162" s="55">
        <f t="shared" si="14"/>
        <v>0</v>
      </c>
      <c r="AX162" s="55">
        <f t="shared" si="15"/>
        <v>0</v>
      </c>
      <c r="AY162" s="58" t="s">
        <v>375</v>
      </c>
      <c r="AZ162" s="58" t="s">
        <v>362</v>
      </c>
      <c r="BA162" s="34" t="s">
        <v>128</v>
      </c>
      <c r="BC162" s="55">
        <f t="shared" si="16"/>
        <v>0</v>
      </c>
      <c r="BD162" s="55">
        <f t="shared" si="17"/>
        <v>0</v>
      </c>
      <c r="BE162" s="55">
        <v>0</v>
      </c>
      <c r="BF162" s="55">
        <f t="shared" si="18"/>
        <v>0</v>
      </c>
      <c r="BH162" s="55">
        <f t="shared" si="19"/>
        <v>0</v>
      </c>
      <c r="BI162" s="55">
        <f t="shared" si="20"/>
        <v>0</v>
      </c>
      <c r="BJ162" s="55">
        <f t="shared" si="21"/>
        <v>0</v>
      </c>
      <c r="BK162" s="55"/>
      <c r="BL162" s="55">
        <v>751</v>
      </c>
      <c r="BW162" s="55">
        <v>21</v>
      </c>
    </row>
    <row r="163" spans="1:75" ht="13.5" customHeight="1">
      <c r="A163" s="61" t="s">
        <v>388</v>
      </c>
      <c r="B163" s="62" t="s">
        <v>116</v>
      </c>
      <c r="C163" s="62" t="s">
        <v>389</v>
      </c>
      <c r="D163" s="224" t="s">
        <v>390</v>
      </c>
      <c r="E163" s="225"/>
      <c r="F163" s="62" t="s">
        <v>374</v>
      </c>
      <c r="G163" s="63">
        <v>2</v>
      </c>
      <c r="H163" s="64">
        <v>0</v>
      </c>
      <c r="I163" s="63">
        <f t="shared" si="0"/>
        <v>0</v>
      </c>
      <c r="J163" s="63">
        <v>0</v>
      </c>
      <c r="K163" s="63">
        <f t="shared" si="1"/>
        <v>0</v>
      </c>
      <c r="L163" s="65" t="s">
        <v>124</v>
      </c>
      <c r="Z163" s="55">
        <f t="shared" si="2"/>
        <v>0</v>
      </c>
      <c r="AB163" s="55">
        <f t="shared" si="3"/>
        <v>0</v>
      </c>
      <c r="AC163" s="55">
        <f t="shared" si="4"/>
        <v>0</v>
      </c>
      <c r="AD163" s="55">
        <f t="shared" si="5"/>
        <v>0</v>
      </c>
      <c r="AE163" s="55">
        <f t="shared" si="6"/>
        <v>0</v>
      </c>
      <c r="AF163" s="55">
        <f t="shared" si="7"/>
        <v>0</v>
      </c>
      <c r="AG163" s="55">
        <f t="shared" si="8"/>
        <v>0</v>
      </c>
      <c r="AH163" s="55">
        <f t="shared" si="9"/>
        <v>0</v>
      </c>
      <c r="AI163" s="34" t="s">
        <v>116</v>
      </c>
      <c r="AJ163" s="63">
        <f t="shared" si="10"/>
        <v>0</v>
      </c>
      <c r="AK163" s="63">
        <f t="shared" si="11"/>
        <v>0</v>
      </c>
      <c r="AL163" s="63">
        <f t="shared" si="12"/>
        <v>0</v>
      </c>
      <c r="AN163" s="55">
        <v>21</v>
      </c>
      <c r="AO163" s="55">
        <f>H163*1</f>
        <v>0</v>
      </c>
      <c r="AP163" s="55">
        <f>H163*(1-1)</f>
        <v>0</v>
      </c>
      <c r="AQ163" s="66" t="s">
        <v>125</v>
      </c>
      <c r="AV163" s="55">
        <f t="shared" si="13"/>
        <v>0</v>
      </c>
      <c r="AW163" s="55">
        <f t="shared" si="14"/>
        <v>0</v>
      </c>
      <c r="AX163" s="55">
        <f t="shared" si="15"/>
        <v>0</v>
      </c>
      <c r="AY163" s="58" t="s">
        <v>375</v>
      </c>
      <c r="AZ163" s="58" t="s">
        <v>362</v>
      </c>
      <c r="BA163" s="34" t="s">
        <v>128</v>
      </c>
      <c r="BC163" s="55">
        <f t="shared" si="16"/>
        <v>0</v>
      </c>
      <c r="BD163" s="55">
        <f t="shared" si="17"/>
        <v>0</v>
      </c>
      <c r="BE163" s="55">
        <v>0</v>
      </c>
      <c r="BF163" s="55">
        <f t="shared" si="18"/>
        <v>0</v>
      </c>
      <c r="BH163" s="63">
        <f t="shared" si="19"/>
        <v>0</v>
      </c>
      <c r="BI163" s="63">
        <f t="shared" si="20"/>
        <v>0</v>
      </c>
      <c r="BJ163" s="63">
        <f t="shared" si="21"/>
        <v>0</v>
      </c>
      <c r="BK163" s="63"/>
      <c r="BL163" s="55">
        <v>751</v>
      </c>
      <c r="BW163" s="55">
        <v>21</v>
      </c>
    </row>
    <row r="164" spans="1:75" ht="13.5" customHeight="1">
      <c r="A164" s="61" t="s">
        <v>391</v>
      </c>
      <c r="B164" s="62" t="s">
        <v>116</v>
      </c>
      <c r="C164" s="62" t="s">
        <v>392</v>
      </c>
      <c r="D164" s="224" t="s">
        <v>393</v>
      </c>
      <c r="E164" s="225"/>
      <c r="F164" s="62" t="s">
        <v>374</v>
      </c>
      <c r="G164" s="63">
        <v>2</v>
      </c>
      <c r="H164" s="64">
        <v>0</v>
      </c>
      <c r="I164" s="63">
        <f t="shared" si="0"/>
        <v>0</v>
      </c>
      <c r="J164" s="63">
        <v>0</v>
      </c>
      <c r="K164" s="63">
        <f t="shared" si="1"/>
        <v>0</v>
      </c>
      <c r="L164" s="65" t="s">
        <v>124</v>
      </c>
      <c r="Z164" s="55">
        <f t="shared" si="2"/>
        <v>0</v>
      </c>
      <c r="AB164" s="55">
        <f t="shared" si="3"/>
        <v>0</v>
      </c>
      <c r="AC164" s="55">
        <f t="shared" si="4"/>
        <v>0</v>
      </c>
      <c r="AD164" s="55">
        <f t="shared" si="5"/>
        <v>0</v>
      </c>
      <c r="AE164" s="55">
        <f t="shared" si="6"/>
        <v>0</v>
      </c>
      <c r="AF164" s="55">
        <f t="shared" si="7"/>
        <v>0</v>
      </c>
      <c r="AG164" s="55">
        <f t="shared" si="8"/>
        <v>0</v>
      </c>
      <c r="AH164" s="55">
        <f t="shared" si="9"/>
        <v>0</v>
      </c>
      <c r="AI164" s="34" t="s">
        <v>116</v>
      </c>
      <c r="AJ164" s="63">
        <f t="shared" si="10"/>
        <v>0</v>
      </c>
      <c r="AK164" s="63">
        <f t="shared" si="11"/>
        <v>0</v>
      </c>
      <c r="AL164" s="63">
        <f t="shared" si="12"/>
        <v>0</v>
      </c>
      <c r="AN164" s="55">
        <v>21</v>
      </c>
      <c r="AO164" s="55">
        <f>H164*1</f>
        <v>0</v>
      </c>
      <c r="AP164" s="55">
        <f>H164*(1-1)</f>
        <v>0</v>
      </c>
      <c r="AQ164" s="66" t="s">
        <v>125</v>
      </c>
      <c r="AV164" s="55">
        <f t="shared" si="13"/>
        <v>0</v>
      </c>
      <c r="AW164" s="55">
        <f t="shared" si="14"/>
        <v>0</v>
      </c>
      <c r="AX164" s="55">
        <f t="shared" si="15"/>
        <v>0</v>
      </c>
      <c r="AY164" s="58" t="s">
        <v>375</v>
      </c>
      <c r="AZ164" s="58" t="s">
        <v>362</v>
      </c>
      <c r="BA164" s="34" t="s">
        <v>128</v>
      </c>
      <c r="BC164" s="55">
        <f t="shared" si="16"/>
        <v>0</v>
      </c>
      <c r="BD164" s="55">
        <f t="shared" si="17"/>
        <v>0</v>
      </c>
      <c r="BE164" s="55">
        <v>0</v>
      </c>
      <c r="BF164" s="55">
        <f t="shared" si="18"/>
        <v>0</v>
      </c>
      <c r="BH164" s="63">
        <f t="shared" si="19"/>
        <v>0</v>
      </c>
      <c r="BI164" s="63">
        <f t="shared" si="20"/>
        <v>0</v>
      </c>
      <c r="BJ164" s="63">
        <f t="shared" si="21"/>
        <v>0</v>
      </c>
      <c r="BK164" s="63"/>
      <c r="BL164" s="55">
        <v>751</v>
      </c>
      <c r="BW164" s="55">
        <v>21</v>
      </c>
    </row>
    <row r="165" spans="1:75" ht="13.5" customHeight="1">
      <c r="A165" s="1" t="s">
        <v>394</v>
      </c>
      <c r="B165" s="2" t="s">
        <v>116</v>
      </c>
      <c r="C165" s="2" t="s">
        <v>395</v>
      </c>
      <c r="D165" s="147" t="s">
        <v>396</v>
      </c>
      <c r="E165" s="148"/>
      <c r="F165" s="2" t="s">
        <v>174</v>
      </c>
      <c r="G165" s="55">
        <v>65</v>
      </c>
      <c r="H165" s="56">
        <v>0</v>
      </c>
      <c r="I165" s="55">
        <f t="shared" si="0"/>
        <v>0</v>
      </c>
      <c r="J165" s="55">
        <v>0</v>
      </c>
      <c r="K165" s="55">
        <f t="shared" si="1"/>
        <v>0</v>
      </c>
      <c r="L165" s="57" t="s">
        <v>124</v>
      </c>
      <c r="Z165" s="55">
        <f t="shared" si="2"/>
        <v>0</v>
      </c>
      <c r="AB165" s="55">
        <f t="shared" si="3"/>
        <v>0</v>
      </c>
      <c r="AC165" s="55">
        <f t="shared" si="4"/>
        <v>0</v>
      </c>
      <c r="AD165" s="55">
        <f t="shared" si="5"/>
        <v>0</v>
      </c>
      <c r="AE165" s="55">
        <f t="shared" si="6"/>
        <v>0</v>
      </c>
      <c r="AF165" s="55">
        <f t="shared" si="7"/>
        <v>0</v>
      </c>
      <c r="AG165" s="55">
        <f t="shared" si="8"/>
        <v>0</v>
      </c>
      <c r="AH165" s="55">
        <f t="shared" si="9"/>
        <v>0</v>
      </c>
      <c r="AI165" s="34" t="s">
        <v>116</v>
      </c>
      <c r="AJ165" s="55">
        <f t="shared" si="10"/>
        <v>0</v>
      </c>
      <c r="AK165" s="55">
        <f t="shared" si="11"/>
        <v>0</v>
      </c>
      <c r="AL165" s="55">
        <f t="shared" si="12"/>
        <v>0</v>
      </c>
      <c r="AN165" s="55">
        <v>21</v>
      </c>
      <c r="AO165" s="55">
        <f>H165*0</f>
        <v>0</v>
      </c>
      <c r="AP165" s="55">
        <f>H165*(1-0)</f>
        <v>0</v>
      </c>
      <c r="AQ165" s="58" t="s">
        <v>125</v>
      </c>
      <c r="AV165" s="55">
        <f t="shared" si="13"/>
        <v>0</v>
      </c>
      <c r="AW165" s="55">
        <f t="shared" si="14"/>
        <v>0</v>
      </c>
      <c r="AX165" s="55">
        <f t="shared" si="15"/>
        <v>0</v>
      </c>
      <c r="AY165" s="58" t="s">
        <v>375</v>
      </c>
      <c r="AZ165" s="58" t="s">
        <v>362</v>
      </c>
      <c r="BA165" s="34" t="s">
        <v>128</v>
      </c>
      <c r="BC165" s="55">
        <f t="shared" si="16"/>
        <v>0</v>
      </c>
      <c r="BD165" s="55">
        <f t="shared" si="17"/>
        <v>0</v>
      </c>
      <c r="BE165" s="55">
        <v>0</v>
      </c>
      <c r="BF165" s="55">
        <f t="shared" si="18"/>
        <v>0</v>
      </c>
      <c r="BH165" s="55">
        <f t="shared" si="19"/>
        <v>0</v>
      </c>
      <c r="BI165" s="55">
        <f t="shared" si="20"/>
        <v>0</v>
      </c>
      <c r="BJ165" s="55">
        <f t="shared" si="21"/>
        <v>0</v>
      </c>
      <c r="BK165" s="55"/>
      <c r="BL165" s="55">
        <v>751</v>
      </c>
      <c r="BW165" s="55">
        <v>21</v>
      </c>
    </row>
    <row r="166" spans="1:75" ht="13.5" customHeight="1">
      <c r="A166" s="61" t="s">
        <v>397</v>
      </c>
      <c r="B166" s="62" t="s">
        <v>116</v>
      </c>
      <c r="C166" s="62" t="s">
        <v>398</v>
      </c>
      <c r="D166" s="224" t="s">
        <v>399</v>
      </c>
      <c r="E166" s="225"/>
      <c r="F166" s="62" t="s">
        <v>400</v>
      </c>
      <c r="G166" s="63">
        <v>4</v>
      </c>
      <c r="H166" s="64">
        <v>0</v>
      </c>
      <c r="I166" s="63">
        <f t="shared" si="0"/>
        <v>0</v>
      </c>
      <c r="J166" s="63">
        <v>0</v>
      </c>
      <c r="K166" s="63">
        <f t="shared" si="1"/>
        <v>0</v>
      </c>
      <c r="L166" s="65" t="s">
        <v>124</v>
      </c>
      <c r="Z166" s="55">
        <f t="shared" si="2"/>
        <v>0</v>
      </c>
      <c r="AB166" s="55">
        <f t="shared" si="3"/>
        <v>0</v>
      </c>
      <c r="AC166" s="55">
        <f t="shared" si="4"/>
        <v>0</v>
      </c>
      <c r="AD166" s="55">
        <f t="shared" si="5"/>
        <v>0</v>
      </c>
      <c r="AE166" s="55">
        <f t="shared" si="6"/>
        <v>0</v>
      </c>
      <c r="AF166" s="55">
        <f t="shared" si="7"/>
        <v>0</v>
      </c>
      <c r="AG166" s="55">
        <f t="shared" si="8"/>
        <v>0</v>
      </c>
      <c r="AH166" s="55">
        <f t="shared" si="9"/>
        <v>0</v>
      </c>
      <c r="AI166" s="34" t="s">
        <v>116</v>
      </c>
      <c r="AJ166" s="63">
        <f t="shared" si="10"/>
        <v>0</v>
      </c>
      <c r="AK166" s="63">
        <f t="shared" si="11"/>
        <v>0</v>
      </c>
      <c r="AL166" s="63">
        <f t="shared" si="12"/>
        <v>0</v>
      </c>
      <c r="AN166" s="55">
        <v>21</v>
      </c>
      <c r="AO166" s="55">
        <f>H166*1</f>
        <v>0</v>
      </c>
      <c r="AP166" s="55">
        <f>H166*(1-1)</f>
        <v>0</v>
      </c>
      <c r="AQ166" s="66" t="s">
        <v>125</v>
      </c>
      <c r="AV166" s="55">
        <f t="shared" si="13"/>
        <v>0</v>
      </c>
      <c r="AW166" s="55">
        <f t="shared" si="14"/>
        <v>0</v>
      </c>
      <c r="AX166" s="55">
        <f t="shared" si="15"/>
        <v>0</v>
      </c>
      <c r="AY166" s="58" t="s">
        <v>375</v>
      </c>
      <c r="AZ166" s="58" t="s">
        <v>362</v>
      </c>
      <c r="BA166" s="34" t="s">
        <v>128</v>
      </c>
      <c r="BC166" s="55">
        <f t="shared" si="16"/>
        <v>0</v>
      </c>
      <c r="BD166" s="55">
        <f t="shared" si="17"/>
        <v>0</v>
      </c>
      <c r="BE166" s="55">
        <v>0</v>
      </c>
      <c r="BF166" s="55">
        <f t="shared" si="18"/>
        <v>0</v>
      </c>
      <c r="BH166" s="63">
        <f t="shared" si="19"/>
        <v>0</v>
      </c>
      <c r="BI166" s="63">
        <f t="shared" si="20"/>
        <v>0</v>
      </c>
      <c r="BJ166" s="63">
        <f t="shared" si="21"/>
        <v>0</v>
      </c>
      <c r="BK166" s="63"/>
      <c r="BL166" s="55">
        <v>751</v>
      </c>
      <c r="BW166" s="55">
        <v>21</v>
      </c>
    </row>
    <row r="167" spans="1:75" ht="13.5" customHeight="1">
      <c r="A167" s="1" t="s">
        <v>401</v>
      </c>
      <c r="B167" s="2" t="s">
        <v>116</v>
      </c>
      <c r="C167" s="2" t="s">
        <v>402</v>
      </c>
      <c r="D167" s="147" t="s">
        <v>403</v>
      </c>
      <c r="E167" s="148"/>
      <c r="F167" s="2" t="s">
        <v>174</v>
      </c>
      <c r="G167" s="55">
        <v>10</v>
      </c>
      <c r="H167" s="56">
        <v>0</v>
      </c>
      <c r="I167" s="55">
        <f t="shared" si="0"/>
        <v>0</v>
      </c>
      <c r="J167" s="55">
        <v>0</v>
      </c>
      <c r="K167" s="55">
        <f t="shared" si="1"/>
        <v>0</v>
      </c>
      <c r="L167" s="57" t="s">
        <v>124</v>
      </c>
      <c r="Z167" s="55">
        <f t="shared" si="2"/>
        <v>0</v>
      </c>
      <c r="AB167" s="55">
        <f t="shared" si="3"/>
        <v>0</v>
      </c>
      <c r="AC167" s="55">
        <f t="shared" si="4"/>
        <v>0</v>
      </c>
      <c r="AD167" s="55">
        <f t="shared" si="5"/>
        <v>0</v>
      </c>
      <c r="AE167" s="55">
        <f t="shared" si="6"/>
        <v>0</v>
      </c>
      <c r="AF167" s="55">
        <f t="shared" si="7"/>
        <v>0</v>
      </c>
      <c r="AG167" s="55">
        <f t="shared" si="8"/>
        <v>0</v>
      </c>
      <c r="AH167" s="55">
        <f t="shared" si="9"/>
        <v>0</v>
      </c>
      <c r="AI167" s="34" t="s">
        <v>116</v>
      </c>
      <c r="AJ167" s="55">
        <f t="shared" si="10"/>
        <v>0</v>
      </c>
      <c r="AK167" s="55">
        <f t="shared" si="11"/>
        <v>0</v>
      </c>
      <c r="AL167" s="55">
        <f t="shared" si="12"/>
        <v>0</v>
      </c>
      <c r="AN167" s="55">
        <v>21</v>
      </c>
      <c r="AO167" s="55">
        <f>H167*0</f>
        <v>0</v>
      </c>
      <c r="AP167" s="55">
        <f>H167*(1-0)</f>
        <v>0</v>
      </c>
      <c r="AQ167" s="58" t="s">
        <v>125</v>
      </c>
      <c r="AV167" s="55">
        <f t="shared" si="13"/>
        <v>0</v>
      </c>
      <c r="AW167" s="55">
        <f t="shared" si="14"/>
        <v>0</v>
      </c>
      <c r="AX167" s="55">
        <f t="shared" si="15"/>
        <v>0</v>
      </c>
      <c r="AY167" s="58" t="s">
        <v>375</v>
      </c>
      <c r="AZ167" s="58" t="s">
        <v>362</v>
      </c>
      <c r="BA167" s="34" t="s">
        <v>128</v>
      </c>
      <c r="BC167" s="55">
        <f t="shared" si="16"/>
        <v>0</v>
      </c>
      <c r="BD167" s="55">
        <f t="shared" si="17"/>
        <v>0</v>
      </c>
      <c r="BE167" s="55">
        <v>0</v>
      </c>
      <c r="BF167" s="55">
        <f t="shared" si="18"/>
        <v>0</v>
      </c>
      <c r="BH167" s="55">
        <f t="shared" si="19"/>
        <v>0</v>
      </c>
      <c r="BI167" s="55">
        <f t="shared" si="20"/>
        <v>0</v>
      </c>
      <c r="BJ167" s="55">
        <f t="shared" si="21"/>
        <v>0</v>
      </c>
      <c r="BK167" s="55"/>
      <c r="BL167" s="55">
        <v>751</v>
      </c>
      <c r="BW167" s="55">
        <v>21</v>
      </c>
    </row>
    <row r="168" spans="1:75" ht="27" customHeight="1">
      <c r="A168" s="61" t="s">
        <v>404</v>
      </c>
      <c r="B168" s="62" t="s">
        <v>116</v>
      </c>
      <c r="C168" s="62" t="s">
        <v>405</v>
      </c>
      <c r="D168" s="224" t="s">
        <v>406</v>
      </c>
      <c r="E168" s="225"/>
      <c r="F168" s="62" t="s">
        <v>174</v>
      </c>
      <c r="G168" s="63">
        <v>12</v>
      </c>
      <c r="H168" s="64">
        <v>0</v>
      </c>
      <c r="I168" s="63">
        <f t="shared" si="0"/>
        <v>0</v>
      </c>
      <c r="J168" s="63">
        <v>0</v>
      </c>
      <c r="K168" s="63">
        <f t="shared" si="1"/>
        <v>0</v>
      </c>
      <c r="L168" s="65" t="s">
        <v>124</v>
      </c>
      <c r="Z168" s="55">
        <f t="shared" si="2"/>
        <v>0</v>
      </c>
      <c r="AB168" s="55">
        <f t="shared" si="3"/>
        <v>0</v>
      </c>
      <c r="AC168" s="55">
        <f t="shared" si="4"/>
        <v>0</v>
      </c>
      <c r="AD168" s="55">
        <f t="shared" si="5"/>
        <v>0</v>
      </c>
      <c r="AE168" s="55">
        <f t="shared" si="6"/>
        <v>0</v>
      </c>
      <c r="AF168" s="55">
        <f t="shared" si="7"/>
        <v>0</v>
      </c>
      <c r="AG168" s="55">
        <f t="shared" si="8"/>
        <v>0</v>
      </c>
      <c r="AH168" s="55">
        <f t="shared" si="9"/>
        <v>0</v>
      </c>
      <c r="AI168" s="34" t="s">
        <v>116</v>
      </c>
      <c r="AJ168" s="63">
        <f t="shared" si="10"/>
        <v>0</v>
      </c>
      <c r="AK168" s="63">
        <f t="shared" si="11"/>
        <v>0</v>
      </c>
      <c r="AL168" s="63">
        <f t="shared" si="12"/>
        <v>0</v>
      </c>
      <c r="AN168" s="55">
        <v>21</v>
      </c>
      <c r="AO168" s="55">
        <f>H168*1</f>
        <v>0</v>
      </c>
      <c r="AP168" s="55">
        <f>H168*(1-1)</f>
        <v>0</v>
      </c>
      <c r="AQ168" s="66" t="s">
        <v>125</v>
      </c>
      <c r="AV168" s="55">
        <f t="shared" si="13"/>
        <v>0</v>
      </c>
      <c r="AW168" s="55">
        <f t="shared" si="14"/>
        <v>0</v>
      </c>
      <c r="AX168" s="55">
        <f t="shared" si="15"/>
        <v>0</v>
      </c>
      <c r="AY168" s="58" t="s">
        <v>375</v>
      </c>
      <c r="AZ168" s="58" t="s">
        <v>362</v>
      </c>
      <c r="BA168" s="34" t="s">
        <v>128</v>
      </c>
      <c r="BC168" s="55">
        <f t="shared" si="16"/>
        <v>0</v>
      </c>
      <c r="BD168" s="55">
        <f t="shared" si="17"/>
        <v>0</v>
      </c>
      <c r="BE168" s="55">
        <v>0</v>
      </c>
      <c r="BF168" s="55">
        <f t="shared" si="18"/>
        <v>0</v>
      </c>
      <c r="BH168" s="63">
        <f t="shared" si="19"/>
        <v>0</v>
      </c>
      <c r="BI168" s="63">
        <f t="shared" si="20"/>
        <v>0</v>
      </c>
      <c r="BJ168" s="63">
        <f t="shared" si="21"/>
        <v>0</v>
      </c>
      <c r="BK168" s="63"/>
      <c r="BL168" s="55">
        <v>751</v>
      </c>
      <c r="BW168" s="55">
        <v>21</v>
      </c>
    </row>
    <row r="169" spans="1:75" ht="27" customHeight="1">
      <c r="A169" s="1" t="s">
        <v>407</v>
      </c>
      <c r="B169" s="2" t="s">
        <v>116</v>
      </c>
      <c r="C169" s="2" t="s">
        <v>408</v>
      </c>
      <c r="D169" s="147" t="s">
        <v>409</v>
      </c>
      <c r="E169" s="148"/>
      <c r="F169" s="2" t="s">
        <v>174</v>
      </c>
      <c r="G169" s="55">
        <v>7</v>
      </c>
      <c r="H169" s="56">
        <v>0</v>
      </c>
      <c r="I169" s="55">
        <f t="shared" si="0"/>
        <v>0</v>
      </c>
      <c r="J169" s="55">
        <v>0</v>
      </c>
      <c r="K169" s="55">
        <f t="shared" si="1"/>
        <v>0</v>
      </c>
      <c r="L169" s="57" t="s">
        <v>124</v>
      </c>
      <c r="Z169" s="55">
        <f t="shared" si="2"/>
        <v>0</v>
      </c>
      <c r="AB169" s="55">
        <f t="shared" si="3"/>
        <v>0</v>
      </c>
      <c r="AC169" s="55">
        <f t="shared" si="4"/>
        <v>0</v>
      </c>
      <c r="AD169" s="55">
        <f t="shared" si="5"/>
        <v>0</v>
      </c>
      <c r="AE169" s="55">
        <f t="shared" si="6"/>
        <v>0</v>
      </c>
      <c r="AF169" s="55">
        <f t="shared" si="7"/>
        <v>0</v>
      </c>
      <c r="AG169" s="55">
        <f t="shared" si="8"/>
        <v>0</v>
      </c>
      <c r="AH169" s="55">
        <f t="shared" si="9"/>
        <v>0</v>
      </c>
      <c r="AI169" s="34" t="s">
        <v>116</v>
      </c>
      <c r="AJ169" s="55">
        <f t="shared" si="10"/>
        <v>0</v>
      </c>
      <c r="AK169" s="55">
        <f t="shared" si="11"/>
        <v>0</v>
      </c>
      <c r="AL169" s="55">
        <f t="shared" si="12"/>
        <v>0</v>
      </c>
      <c r="AN169" s="55">
        <v>21</v>
      </c>
      <c r="AO169" s="55">
        <f>H169*0</f>
        <v>0</v>
      </c>
      <c r="AP169" s="55">
        <f>H169*(1-0)</f>
        <v>0</v>
      </c>
      <c r="AQ169" s="58" t="s">
        <v>125</v>
      </c>
      <c r="AV169" s="55">
        <f t="shared" si="13"/>
        <v>0</v>
      </c>
      <c r="AW169" s="55">
        <f t="shared" si="14"/>
        <v>0</v>
      </c>
      <c r="AX169" s="55">
        <f t="shared" si="15"/>
        <v>0</v>
      </c>
      <c r="AY169" s="58" t="s">
        <v>375</v>
      </c>
      <c r="AZ169" s="58" t="s">
        <v>362</v>
      </c>
      <c r="BA169" s="34" t="s">
        <v>128</v>
      </c>
      <c r="BC169" s="55">
        <f t="shared" si="16"/>
        <v>0</v>
      </c>
      <c r="BD169" s="55">
        <f t="shared" si="17"/>
        <v>0</v>
      </c>
      <c r="BE169" s="55">
        <v>0</v>
      </c>
      <c r="BF169" s="55">
        <f t="shared" si="18"/>
        <v>0</v>
      </c>
      <c r="BH169" s="55">
        <f t="shared" si="19"/>
        <v>0</v>
      </c>
      <c r="BI169" s="55">
        <f t="shared" si="20"/>
        <v>0</v>
      </c>
      <c r="BJ169" s="55">
        <f t="shared" si="21"/>
        <v>0</v>
      </c>
      <c r="BK169" s="55"/>
      <c r="BL169" s="55">
        <v>751</v>
      </c>
      <c r="BW169" s="55">
        <v>21</v>
      </c>
    </row>
    <row r="170" spans="1:75" ht="27" customHeight="1">
      <c r="A170" s="61" t="s">
        <v>410</v>
      </c>
      <c r="B170" s="62" t="s">
        <v>116</v>
      </c>
      <c r="C170" s="62" t="s">
        <v>411</v>
      </c>
      <c r="D170" s="224" t="s">
        <v>412</v>
      </c>
      <c r="E170" s="225"/>
      <c r="F170" s="62" t="s">
        <v>174</v>
      </c>
      <c r="G170" s="63">
        <v>3.6</v>
      </c>
      <c r="H170" s="64">
        <v>0</v>
      </c>
      <c r="I170" s="63">
        <f t="shared" si="0"/>
        <v>0</v>
      </c>
      <c r="J170" s="63">
        <v>0</v>
      </c>
      <c r="K170" s="63">
        <f t="shared" si="1"/>
        <v>0</v>
      </c>
      <c r="L170" s="65" t="s">
        <v>124</v>
      </c>
      <c r="Z170" s="55">
        <f t="shared" si="2"/>
        <v>0</v>
      </c>
      <c r="AB170" s="55">
        <f t="shared" si="3"/>
        <v>0</v>
      </c>
      <c r="AC170" s="55">
        <f t="shared" si="4"/>
        <v>0</v>
      </c>
      <c r="AD170" s="55">
        <f t="shared" si="5"/>
        <v>0</v>
      </c>
      <c r="AE170" s="55">
        <f t="shared" si="6"/>
        <v>0</v>
      </c>
      <c r="AF170" s="55">
        <f t="shared" si="7"/>
        <v>0</v>
      </c>
      <c r="AG170" s="55">
        <f t="shared" si="8"/>
        <v>0</v>
      </c>
      <c r="AH170" s="55">
        <f t="shared" si="9"/>
        <v>0</v>
      </c>
      <c r="AI170" s="34" t="s">
        <v>116</v>
      </c>
      <c r="AJ170" s="63">
        <f t="shared" si="10"/>
        <v>0</v>
      </c>
      <c r="AK170" s="63">
        <f t="shared" si="11"/>
        <v>0</v>
      </c>
      <c r="AL170" s="63">
        <f t="shared" si="12"/>
        <v>0</v>
      </c>
      <c r="AN170" s="55">
        <v>21</v>
      </c>
      <c r="AO170" s="55">
        <f>H170*1</f>
        <v>0</v>
      </c>
      <c r="AP170" s="55">
        <f>H170*(1-1)</f>
        <v>0</v>
      </c>
      <c r="AQ170" s="66" t="s">
        <v>125</v>
      </c>
      <c r="AV170" s="55">
        <f t="shared" si="13"/>
        <v>0</v>
      </c>
      <c r="AW170" s="55">
        <f t="shared" si="14"/>
        <v>0</v>
      </c>
      <c r="AX170" s="55">
        <f t="shared" si="15"/>
        <v>0</v>
      </c>
      <c r="AY170" s="58" t="s">
        <v>375</v>
      </c>
      <c r="AZ170" s="58" t="s">
        <v>362</v>
      </c>
      <c r="BA170" s="34" t="s">
        <v>128</v>
      </c>
      <c r="BC170" s="55">
        <f t="shared" si="16"/>
        <v>0</v>
      </c>
      <c r="BD170" s="55">
        <f t="shared" si="17"/>
        <v>0</v>
      </c>
      <c r="BE170" s="55">
        <v>0</v>
      </c>
      <c r="BF170" s="55">
        <f t="shared" si="18"/>
        <v>0</v>
      </c>
      <c r="BH170" s="63">
        <f t="shared" si="19"/>
        <v>0</v>
      </c>
      <c r="BI170" s="63">
        <f t="shared" si="20"/>
        <v>0</v>
      </c>
      <c r="BJ170" s="63">
        <f t="shared" si="21"/>
        <v>0</v>
      </c>
      <c r="BK170" s="63"/>
      <c r="BL170" s="55">
        <v>751</v>
      </c>
      <c r="BW170" s="55">
        <v>21</v>
      </c>
    </row>
    <row r="171" spans="1:75" ht="27" customHeight="1">
      <c r="A171" s="61" t="s">
        <v>413</v>
      </c>
      <c r="B171" s="62" t="s">
        <v>116</v>
      </c>
      <c r="C171" s="62" t="s">
        <v>414</v>
      </c>
      <c r="D171" s="224" t="s">
        <v>415</v>
      </c>
      <c r="E171" s="225"/>
      <c r="F171" s="62" t="s">
        <v>174</v>
      </c>
      <c r="G171" s="63">
        <v>5</v>
      </c>
      <c r="H171" s="64">
        <v>0</v>
      </c>
      <c r="I171" s="63">
        <f t="shared" si="0"/>
        <v>0</v>
      </c>
      <c r="J171" s="63">
        <v>0</v>
      </c>
      <c r="K171" s="63">
        <f t="shared" si="1"/>
        <v>0</v>
      </c>
      <c r="L171" s="65" t="s">
        <v>124</v>
      </c>
      <c r="Z171" s="55">
        <f t="shared" si="2"/>
        <v>0</v>
      </c>
      <c r="AB171" s="55">
        <f t="shared" si="3"/>
        <v>0</v>
      </c>
      <c r="AC171" s="55">
        <f t="shared" si="4"/>
        <v>0</v>
      </c>
      <c r="AD171" s="55">
        <f t="shared" si="5"/>
        <v>0</v>
      </c>
      <c r="AE171" s="55">
        <f t="shared" si="6"/>
        <v>0</v>
      </c>
      <c r="AF171" s="55">
        <f t="shared" si="7"/>
        <v>0</v>
      </c>
      <c r="AG171" s="55">
        <f t="shared" si="8"/>
        <v>0</v>
      </c>
      <c r="AH171" s="55">
        <f t="shared" si="9"/>
        <v>0</v>
      </c>
      <c r="AI171" s="34" t="s">
        <v>116</v>
      </c>
      <c r="AJ171" s="63">
        <f t="shared" si="10"/>
        <v>0</v>
      </c>
      <c r="AK171" s="63">
        <f t="shared" si="11"/>
        <v>0</v>
      </c>
      <c r="AL171" s="63">
        <f t="shared" si="12"/>
        <v>0</v>
      </c>
      <c r="AN171" s="55">
        <v>21</v>
      </c>
      <c r="AO171" s="55">
        <f>H171*1</f>
        <v>0</v>
      </c>
      <c r="AP171" s="55">
        <f>H171*(1-1)</f>
        <v>0</v>
      </c>
      <c r="AQ171" s="66" t="s">
        <v>125</v>
      </c>
      <c r="AV171" s="55">
        <f t="shared" si="13"/>
        <v>0</v>
      </c>
      <c r="AW171" s="55">
        <f t="shared" si="14"/>
        <v>0</v>
      </c>
      <c r="AX171" s="55">
        <f t="shared" si="15"/>
        <v>0</v>
      </c>
      <c r="AY171" s="58" t="s">
        <v>375</v>
      </c>
      <c r="AZ171" s="58" t="s">
        <v>362</v>
      </c>
      <c r="BA171" s="34" t="s">
        <v>128</v>
      </c>
      <c r="BC171" s="55">
        <f t="shared" si="16"/>
        <v>0</v>
      </c>
      <c r="BD171" s="55">
        <f t="shared" si="17"/>
        <v>0</v>
      </c>
      <c r="BE171" s="55">
        <v>0</v>
      </c>
      <c r="BF171" s="55">
        <f t="shared" si="18"/>
        <v>0</v>
      </c>
      <c r="BH171" s="63">
        <f t="shared" si="19"/>
        <v>0</v>
      </c>
      <c r="BI171" s="63">
        <f t="shared" si="20"/>
        <v>0</v>
      </c>
      <c r="BJ171" s="63">
        <f t="shared" si="21"/>
        <v>0</v>
      </c>
      <c r="BK171" s="63"/>
      <c r="BL171" s="55">
        <v>751</v>
      </c>
      <c r="BW171" s="55">
        <v>21</v>
      </c>
    </row>
    <row r="172" spans="1:75" ht="13.5" customHeight="1">
      <c r="A172" s="1" t="s">
        <v>416</v>
      </c>
      <c r="B172" s="2" t="s">
        <v>116</v>
      </c>
      <c r="C172" s="2" t="s">
        <v>417</v>
      </c>
      <c r="D172" s="147" t="s">
        <v>418</v>
      </c>
      <c r="E172" s="148"/>
      <c r="F172" s="2" t="s">
        <v>374</v>
      </c>
      <c r="G172" s="55">
        <v>13</v>
      </c>
      <c r="H172" s="56">
        <v>0</v>
      </c>
      <c r="I172" s="55">
        <f t="shared" si="0"/>
        <v>0</v>
      </c>
      <c r="J172" s="55">
        <v>0</v>
      </c>
      <c r="K172" s="55">
        <f t="shared" si="1"/>
        <v>0</v>
      </c>
      <c r="L172" s="57" t="s">
        <v>124</v>
      </c>
      <c r="Z172" s="55">
        <f t="shared" si="2"/>
        <v>0</v>
      </c>
      <c r="AB172" s="55">
        <f t="shared" si="3"/>
        <v>0</v>
      </c>
      <c r="AC172" s="55">
        <f t="shared" si="4"/>
        <v>0</v>
      </c>
      <c r="AD172" s="55">
        <f t="shared" si="5"/>
        <v>0</v>
      </c>
      <c r="AE172" s="55">
        <f t="shared" si="6"/>
        <v>0</v>
      </c>
      <c r="AF172" s="55">
        <f t="shared" si="7"/>
        <v>0</v>
      </c>
      <c r="AG172" s="55">
        <f t="shared" si="8"/>
        <v>0</v>
      </c>
      <c r="AH172" s="55">
        <f t="shared" si="9"/>
        <v>0</v>
      </c>
      <c r="AI172" s="34" t="s">
        <v>116</v>
      </c>
      <c r="AJ172" s="55">
        <f t="shared" si="10"/>
        <v>0</v>
      </c>
      <c r="AK172" s="55">
        <f t="shared" si="11"/>
        <v>0</v>
      </c>
      <c r="AL172" s="55">
        <f t="shared" si="12"/>
        <v>0</v>
      </c>
      <c r="AN172" s="55">
        <v>21</v>
      </c>
      <c r="AO172" s="55">
        <f>H172*0</f>
        <v>0</v>
      </c>
      <c r="AP172" s="55">
        <f>H172*(1-0)</f>
        <v>0</v>
      </c>
      <c r="AQ172" s="58" t="s">
        <v>125</v>
      </c>
      <c r="AV172" s="55">
        <f t="shared" si="13"/>
        <v>0</v>
      </c>
      <c r="AW172" s="55">
        <f t="shared" si="14"/>
        <v>0</v>
      </c>
      <c r="AX172" s="55">
        <f t="shared" si="15"/>
        <v>0</v>
      </c>
      <c r="AY172" s="58" t="s">
        <v>375</v>
      </c>
      <c r="AZ172" s="58" t="s">
        <v>362</v>
      </c>
      <c r="BA172" s="34" t="s">
        <v>128</v>
      </c>
      <c r="BC172" s="55">
        <f t="shared" si="16"/>
        <v>0</v>
      </c>
      <c r="BD172" s="55">
        <f t="shared" si="17"/>
        <v>0</v>
      </c>
      <c r="BE172" s="55">
        <v>0</v>
      </c>
      <c r="BF172" s="55">
        <f t="shared" si="18"/>
        <v>0</v>
      </c>
      <c r="BH172" s="55">
        <f t="shared" si="19"/>
        <v>0</v>
      </c>
      <c r="BI172" s="55">
        <f t="shared" si="20"/>
        <v>0</v>
      </c>
      <c r="BJ172" s="55">
        <f t="shared" si="21"/>
        <v>0</v>
      </c>
      <c r="BK172" s="55"/>
      <c r="BL172" s="55">
        <v>751</v>
      </c>
      <c r="BW172" s="55">
        <v>21</v>
      </c>
    </row>
    <row r="173" spans="1:75" ht="13.5" customHeight="1">
      <c r="A173" s="1" t="s">
        <v>419</v>
      </c>
      <c r="B173" s="2" t="s">
        <v>116</v>
      </c>
      <c r="C173" s="2" t="s">
        <v>420</v>
      </c>
      <c r="D173" s="147" t="s">
        <v>421</v>
      </c>
      <c r="E173" s="148"/>
      <c r="F173" s="2" t="s">
        <v>374</v>
      </c>
      <c r="G173" s="55">
        <v>4</v>
      </c>
      <c r="H173" s="56">
        <v>0</v>
      </c>
      <c r="I173" s="55">
        <f t="shared" si="0"/>
        <v>0</v>
      </c>
      <c r="J173" s="55">
        <v>0</v>
      </c>
      <c r="K173" s="55">
        <f t="shared" si="1"/>
        <v>0</v>
      </c>
      <c r="L173" s="57" t="s">
        <v>124</v>
      </c>
      <c r="Z173" s="55">
        <f t="shared" si="2"/>
        <v>0</v>
      </c>
      <c r="AB173" s="55">
        <f t="shared" si="3"/>
        <v>0</v>
      </c>
      <c r="AC173" s="55">
        <f t="shared" si="4"/>
        <v>0</v>
      </c>
      <c r="AD173" s="55">
        <f t="shared" si="5"/>
        <v>0</v>
      </c>
      <c r="AE173" s="55">
        <f t="shared" si="6"/>
        <v>0</v>
      </c>
      <c r="AF173" s="55">
        <f t="shared" si="7"/>
        <v>0</v>
      </c>
      <c r="AG173" s="55">
        <f t="shared" si="8"/>
        <v>0</v>
      </c>
      <c r="AH173" s="55">
        <f t="shared" si="9"/>
        <v>0</v>
      </c>
      <c r="AI173" s="34" t="s">
        <v>116</v>
      </c>
      <c r="AJ173" s="55">
        <f t="shared" si="10"/>
        <v>0</v>
      </c>
      <c r="AK173" s="55">
        <f t="shared" si="11"/>
        <v>0</v>
      </c>
      <c r="AL173" s="55">
        <f t="shared" si="12"/>
        <v>0</v>
      </c>
      <c r="AN173" s="55">
        <v>21</v>
      </c>
      <c r="AO173" s="55">
        <f>H173*0</f>
        <v>0</v>
      </c>
      <c r="AP173" s="55">
        <f>H173*(1-0)</f>
        <v>0</v>
      </c>
      <c r="AQ173" s="58" t="s">
        <v>125</v>
      </c>
      <c r="AV173" s="55">
        <f t="shared" si="13"/>
        <v>0</v>
      </c>
      <c r="AW173" s="55">
        <f t="shared" si="14"/>
        <v>0</v>
      </c>
      <c r="AX173" s="55">
        <f t="shared" si="15"/>
        <v>0</v>
      </c>
      <c r="AY173" s="58" t="s">
        <v>375</v>
      </c>
      <c r="AZ173" s="58" t="s">
        <v>362</v>
      </c>
      <c r="BA173" s="34" t="s">
        <v>128</v>
      </c>
      <c r="BC173" s="55">
        <f t="shared" si="16"/>
        <v>0</v>
      </c>
      <c r="BD173" s="55">
        <f t="shared" si="17"/>
        <v>0</v>
      </c>
      <c r="BE173" s="55">
        <v>0</v>
      </c>
      <c r="BF173" s="55">
        <f t="shared" si="18"/>
        <v>0</v>
      </c>
      <c r="BH173" s="55">
        <f t="shared" si="19"/>
        <v>0</v>
      </c>
      <c r="BI173" s="55">
        <f t="shared" si="20"/>
        <v>0</v>
      </c>
      <c r="BJ173" s="55">
        <f t="shared" si="21"/>
        <v>0</v>
      </c>
      <c r="BK173" s="55"/>
      <c r="BL173" s="55">
        <v>751</v>
      </c>
      <c r="BW173" s="55">
        <v>21</v>
      </c>
    </row>
    <row r="174" spans="1:75" ht="13.5" customHeight="1">
      <c r="A174" s="61" t="s">
        <v>422</v>
      </c>
      <c r="B174" s="62" t="s">
        <v>116</v>
      </c>
      <c r="C174" s="62" t="s">
        <v>423</v>
      </c>
      <c r="D174" s="224" t="s">
        <v>424</v>
      </c>
      <c r="E174" s="225"/>
      <c r="F174" s="62" t="s">
        <v>374</v>
      </c>
      <c r="G174" s="63">
        <v>4</v>
      </c>
      <c r="H174" s="64">
        <v>0</v>
      </c>
      <c r="I174" s="63">
        <f t="shared" si="0"/>
        <v>0</v>
      </c>
      <c r="J174" s="63">
        <v>0</v>
      </c>
      <c r="K174" s="63">
        <f t="shared" si="1"/>
        <v>0</v>
      </c>
      <c r="L174" s="65" t="s">
        <v>124</v>
      </c>
      <c r="Z174" s="55">
        <f t="shared" si="2"/>
        <v>0</v>
      </c>
      <c r="AB174" s="55">
        <f t="shared" si="3"/>
        <v>0</v>
      </c>
      <c r="AC174" s="55">
        <f t="shared" si="4"/>
        <v>0</v>
      </c>
      <c r="AD174" s="55">
        <f t="shared" si="5"/>
        <v>0</v>
      </c>
      <c r="AE174" s="55">
        <f t="shared" si="6"/>
        <v>0</v>
      </c>
      <c r="AF174" s="55">
        <f t="shared" si="7"/>
        <v>0</v>
      </c>
      <c r="AG174" s="55">
        <f t="shared" si="8"/>
        <v>0</v>
      </c>
      <c r="AH174" s="55">
        <f t="shared" si="9"/>
        <v>0</v>
      </c>
      <c r="AI174" s="34" t="s">
        <v>116</v>
      </c>
      <c r="AJ174" s="63">
        <f t="shared" si="10"/>
        <v>0</v>
      </c>
      <c r="AK174" s="63">
        <f t="shared" si="11"/>
        <v>0</v>
      </c>
      <c r="AL174" s="63">
        <f t="shared" si="12"/>
        <v>0</v>
      </c>
      <c r="AN174" s="55">
        <v>21</v>
      </c>
      <c r="AO174" s="55">
        <f>H174*1</f>
        <v>0</v>
      </c>
      <c r="AP174" s="55">
        <f>H174*(1-1)</f>
        <v>0</v>
      </c>
      <c r="AQ174" s="66" t="s">
        <v>125</v>
      </c>
      <c r="AV174" s="55">
        <f t="shared" si="13"/>
        <v>0</v>
      </c>
      <c r="AW174" s="55">
        <f t="shared" si="14"/>
        <v>0</v>
      </c>
      <c r="AX174" s="55">
        <f t="shared" si="15"/>
        <v>0</v>
      </c>
      <c r="AY174" s="58" t="s">
        <v>375</v>
      </c>
      <c r="AZ174" s="58" t="s">
        <v>362</v>
      </c>
      <c r="BA174" s="34" t="s">
        <v>128</v>
      </c>
      <c r="BC174" s="55">
        <f t="shared" si="16"/>
        <v>0</v>
      </c>
      <c r="BD174" s="55">
        <f t="shared" si="17"/>
        <v>0</v>
      </c>
      <c r="BE174" s="55">
        <v>0</v>
      </c>
      <c r="BF174" s="55">
        <f t="shared" si="18"/>
        <v>0</v>
      </c>
      <c r="BH174" s="63">
        <f t="shared" si="19"/>
        <v>0</v>
      </c>
      <c r="BI174" s="63">
        <f t="shared" si="20"/>
        <v>0</v>
      </c>
      <c r="BJ174" s="63">
        <f t="shared" si="21"/>
        <v>0</v>
      </c>
      <c r="BK174" s="63"/>
      <c r="BL174" s="55">
        <v>751</v>
      </c>
      <c r="BW174" s="55">
        <v>21</v>
      </c>
    </row>
    <row r="175" spans="1:75" ht="13.5" customHeight="1">
      <c r="A175" s="1" t="s">
        <v>425</v>
      </c>
      <c r="B175" s="2" t="s">
        <v>116</v>
      </c>
      <c r="C175" s="2" t="s">
        <v>426</v>
      </c>
      <c r="D175" s="147" t="s">
        <v>427</v>
      </c>
      <c r="E175" s="148"/>
      <c r="F175" s="2" t="s">
        <v>374</v>
      </c>
      <c r="G175" s="55">
        <v>2</v>
      </c>
      <c r="H175" s="56">
        <v>0</v>
      </c>
      <c r="I175" s="55">
        <f t="shared" si="0"/>
        <v>0</v>
      </c>
      <c r="J175" s="55">
        <v>0</v>
      </c>
      <c r="K175" s="55">
        <f t="shared" si="1"/>
        <v>0</v>
      </c>
      <c r="L175" s="57" t="s">
        <v>124</v>
      </c>
      <c r="Z175" s="55">
        <f t="shared" si="2"/>
        <v>0</v>
      </c>
      <c r="AB175" s="55">
        <f t="shared" si="3"/>
        <v>0</v>
      </c>
      <c r="AC175" s="55">
        <f t="shared" si="4"/>
        <v>0</v>
      </c>
      <c r="AD175" s="55">
        <f t="shared" si="5"/>
        <v>0</v>
      </c>
      <c r="AE175" s="55">
        <f t="shared" si="6"/>
        <v>0</v>
      </c>
      <c r="AF175" s="55">
        <f t="shared" si="7"/>
        <v>0</v>
      </c>
      <c r="AG175" s="55">
        <f t="shared" si="8"/>
        <v>0</v>
      </c>
      <c r="AH175" s="55">
        <f t="shared" si="9"/>
        <v>0</v>
      </c>
      <c r="AI175" s="34" t="s">
        <v>116</v>
      </c>
      <c r="AJ175" s="55">
        <f t="shared" si="10"/>
        <v>0</v>
      </c>
      <c r="AK175" s="55">
        <f t="shared" si="11"/>
        <v>0</v>
      </c>
      <c r="AL175" s="55">
        <f t="shared" si="12"/>
        <v>0</v>
      </c>
      <c r="AN175" s="55">
        <v>21</v>
      </c>
      <c r="AO175" s="55">
        <f>H175*0</f>
        <v>0</v>
      </c>
      <c r="AP175" s="55">
        <f>H175*(1-0)</f>
        <v>0</v>
      </c>
      <c r="AQ175" s="58" t="s">
        <v>125</v>
      </c>
      <c r="AV175" s="55">
        <f t="shared" si="13"/>
        <v>0</v>
      </c>
      <c r="AW175" s="55">
        <f t="shared" si="14"/>
        <v>0</v>
      </c>
      <c r="AX175" s="55">
        <f t="shared" si="15"/>
        <v>0</v>
      </c>
      <c r="AY175" s="58" t="s">
        <v>375</v>
      </c>
      <c r="AZ175" s="58" t="s">
        <v>362</v>
      </c>
      <c r="BA175" s="34" t="s">
        <v>128</v>
      </c>
      <c r="BC175" s="55">
        <f t="shared" si="16"/>
        <v>0</v>
      </c>
      <c r="BD175" s="55">
        <f t="shared" si="17"/>
        <v>0</v>
      </c>
      <c r="BE175" s="55">
        <v>0</v>
      </c>
      <c r="BF175" s="55">
        <f t="shared" si="18"/>
        <v>0</v>
      </c>
      <c r="BH175" s="55">
        <f t="shared" si="19"/>
        <v>0</v>
      </c>
      <c r="BI175" s="55">
        <f t="shared" si="20"/>
        <v>0</v>
      </c>
      <c r="BJ175" s="55">
        <f t="shared" si="21"/>
        <v>0</v>
      </c>
      <c r="BK175" s="55"/>
      <c r="BL175" s="55">
        <v>751</v>
      </c>
      <c r="BW175" s="55">
        <v>21</v>
      </c>
    </row>
    <row r="176" spans="1:75" ht="13.5" customHeight="1">
      <c r="A176" s="61" t="s">
        <v>428</v>
      </c>
      <c r="B176" s="62" t="s">
        <v>116</v>
      </c>
      <c r="C176" s="62" t="s">
        <v>429</v>
      </c>
      <c r="D176" s="224" t="s">
        <v>430</v>
      </c>
      <c r="E176" s="225"/>
      <c r="F176" s="62" t="s">
        <v>374</v>
      </c>
      <c r="G176" s="63">
        <v>2</v>
      </c>
      <c r="H176" s="64">
        <v>0</v>
      </c>
      <c r="I176" s="63">
        <f t="shared" si="0"/>
        <v>0</v>
      </c>
      <c r="J176" s="63">
        <v>0</v>
      </c>
      <c r="K176" s="63">
        <f t="shared" si="1"/>
        <v>0</v>
      </c>
      <c r="L176" s="65" t="s">
        <v>124</v>
      </c>
      <c r="Z176" s="55">
        <f t="shared" si="2"/>
        <v>0</v>
      </c>
      <c r="AB176" s="55">
        <f t="shared" si="3"/>
        <v>0</v>
      </c>
      <c r="AC176" s="55">
        <f t="shared" si="4"/>
        <v>0</v>
      </c>
      <c r="AD176" s="55">
        <f t="shared" si="5"/>
        <v>0</v>
      </c>
      <c r="AE176" s="55">
        <f t="shared" si="6"/>
        <v>0</v>
      </c>
      <c r="AF176" s="55">
        <f t="shared" si="7"/>
        <v>0</v>
      </c>
      <c r="AG176" s="55">
        <f t="shared" si="8"/>
        <v>0</v>
      </c>
      <c r="AH176" s="55">
        <f t="shared" si="9"/>
        <v>0</v>
      </c>
      <c r="AI176" s="34" t="s">
        <v>116</v>
      </c>
      <c r="AJ176" s="63">
        <f t="shared" si="10"/>
        <v>0</v>
      </c>
      <c r="AK176" s="63">
        <f t="shared" si="11"/>
        <v>0</v>
      </c>
      <c r="AL176" s="63">
        <f t="shared" si="12"/>
        <v>0</v>
      </c>
      <c r="AN176" s="55">
        <v>21</v>
      </c>
      <c r="AO176" s="55">
        <f>H176*1</f>
        <v>0</v>
      </c>
      <c r="AP176" s="55">
        <f>H176*(1-1)</f>
        <v>0</v>
      </c>
      <c r="AQ176" s="66" t="s">
        <v>125</v>
      </c>
      <c r="AV176" s="55">
        <f t="shared" si="13"/>
        <v>0</v>
      </c>
      <c r="AW176" s="55">
        <f t="shared" si="14"/>
        <v>0</v>
      </c>
      <c r="AX176" s="55">
        <f t="shared" si="15"/>
        <v>0</v>
      </c>
      <c r="AY176" s="58" t="s">
        <v>375</v>
      </c>
      <c r="AZ176" s="58" t="s">
        <v>362</v>
      </c>
      <c r="BA176" s="34" t="s">
        <v>128</v>
      </c>
      <c r="BC176" s="55">
        <f t="shared" si="16"/>
        <v>0</v>
      </c>
      <c r="BD176" s="55">
        <f t="shared" si="17"/>
        <v>0</v>
      </c>
      <c r="BE176" s="55">
        <v>0</v>
      </c>
      <c r="BF176" s="55">
        <f t="shared" si="18"/>
        <v>0</v>
      </c>
      <c r="BH176" s="63">
        <f t="shared" si="19"/>
        <v>0</v>
      </c>
      <c r="BI176" s="63">
        <f t="shared" si="20"/>
        <v>0</v>
      </c>
      <c r="BJ176" s="63">
        <f t="shared" si="21"/>
        <v>0</v>
      </c>
      <c r="BK176" s="63"/>
      <c r="BL176" s="55">
        <v>751</v>
      </c>
      <c r="BW176" s="55">
        <v>21</v>
      </c>
    </row>
    <row r="177" spans="1:75" ht="13.5" customHeight="1">
      <c r="A177" s="61" t="s">
        <v>431</v>
      </c>
      <c r="B177" s="62" t="s">
        <v>116</v>
      </c>
      <c r="C177" s="62" t="s">
        <v>432</v>
      </c>
      <c r="D177" s="224" t="s">
        <v>433</v>
      </c>
      <c r="E177" s="225"/>
      <c r="F177" s="62" t="s">
        <v>374</v>
      </c>
      <c r="G177" s="63">
        <v>1</v>
      </c>
      <c r="H177" s="64">
        <v>0</v>
      </c>
      <c r="I177" s="63">
        <f t="shared" si="0"/>
        <v>0</v>
      </c>
      <c r="J177" s="63">
        <v>0</v>
      </c>
      <c r="K177" s="63">
        <f t="shared" si="1"/>
        <v>0</v>
      </c>
      <c r="L177" s="65" t="s">
        <v>124</v>
      </c>
      <c r="Z177" s="55">
        <f t="shared" si="2"/>
        <v>0</v>
      </c>
      <c r="AB177" s="55">
        <f t="shared" si="3"/>
        <v>0</v>
      </c>
      <c r="AC177" s="55">
        <f t="shared" si="4"/>
        <v>0</v>
      </c>
      <c r="AD177" s="55">
        <f t="shared" si="5"/>
        <v>0</v>
      </c>
      <c r="AE177" s="55">
        <f t="shared" si="6"/>
        <v>0</v>
      </c>
      <c r="AF177" s="55">
        <f t="shared" si="7"/>
        <v>0</v>
      </c>
      <c r="AG177" s="55">
        <f t="shared" si="8"/>
        <v>0</v>
      </c>
      <c r="AH177" s="55">
        <f t="shared" si="9"/>
        <v>0</v>
      </c>
      <c r="AI177" s="34" t="s">
        <v>116</v>
      </c>
      <c r="AJ177" s="63">
        <f t="shared" si="10"/>
        <v>0</v>
      </c>
      <c r="AK177" s="63">
        <f t="shared" si="11"/>
        <v>0</v>
      </c>
      <c r="AL177" s="63">
        <f t="shared" si="12"/>
        <v>0</v>
      </c>
      <c r="AN177" s="55">
        <v>21</v>
      </c>
      <c r="AO177" s="55">
        <f>H177*1</f>
        <v>0</v>
      </c>
      <c r="AP177" s="55">
        <f>H177*(1-1)</f>
        <v>0</v>
      </c>
      <c r="AQ177" s="66" t="s">
        <v>125</v>
      </c>
      <c r="AV177" s="55">
        <f t="shared" si="13"/>
        <v>0</v>
      </c>
      <c r="AW177" s="55">
        <f t="shared" si="14"/>
        <v>0</v>
      </c>
      <c r="AX177" s="55">
        <f t="shared" si="15"/>
        <v>0</v>
      </c>
      <c r="AY177" s="58" t="s">
        <v>375</v>
      </c>
      <c r="AZ177" s="58" t="s">
        <v>362</v>
      </c>
      <c r="BA177" s="34" t="s">
        <v>128</v>
      </c>
      <c r="BC177" s="55">
        <f t="shared" si="16"/>
        <v>0</v>
      </c>
      <c r="BD177" s="55">
        <f t="shared" si="17"/>
        <v>0</v>
      </c>
      <c r="BE177" s="55">
        <v>0</v>
      </c>
      <c r="BF177" s="55">
        <f t="shared" si="18"/>
        <v>0</v>
      </c>
      <c r="BH177" s="63">
        <f t="shared" si="19"/>
        <v>0</v>
      </c>
      <c r="BI177" s="63">
        <f t="shared" si="20"/>
        <v>0</v>
      </c>
      <c r="BJ177" s="63">
        <f t="shared" si="21"/>
        <v>0</v>
      </c>
      <c r="BK177" s="63"/>
      <c r="BL177" s="55">
        <v>751</v>
      </c>
      <c r="BW177" s="55">
        <v>21</v>
      </c>
    </row>
    <row r="178" spans="1:75" ht="27" customHeight="1">
      <c r="A178" s="61" t="s">
        <v>434</v>
      </c>
      <c r="B178" s="62" t="s">
        <v>116</v>
      </c>
      <c r="C178" s="62" t="s">
        <v>435</v>
      </c>
      <c r="D178" s="224" t="s">
        <v>436</v>
      </c>
      <c r="E178" s="225"/>
      <c r="F178" s="62" t="s">
        <v>174</v>
      </c>
      <c r="G178" s="63">
        <v>68</v>
      </c>
      <c r="H178" s="64">
        <v>0</v>
      </c>
      <c r="I178" s="63">
        <f t="shared" si="0"/>
        <v>0</v>
      </c>
      <c r="J178" s="63">
        <v>0</v>
      </c>
      <c r="K178" s="63">
        <f t="shared" si="1"/>
        <v>0</v>
      </c>
      <c r="L178" s="65" t="s">
        <v>124</v>
      </c>
      <c r="Z178" s="55">
        <f t="shared" si="2"/>
        <v>0</v>
      </c>
      <c r="AB178" s="55">
        <f t="shared" si="3"/>
        <v>0</v>
      </c>
      <c r="AC178" s="55">
        <f t="shared" si="4"/>
        <v>0</v>
      </c>
      <c r="AD178" s="55">
        <f t="shared" si="5"/>
        <v>0</v>
      </c>
      <c r="AE178" s="55">
        <f t="shared" si="6"/>
        <v>0</v>
      </c>
      <c r="AF178" s="55">
        <f t="shared" si="7"/>
        <v>0</v>
      </c>
      <c r="AG178" s="55">
        <f t="shared" si="8"/>
        <v>0</v>
      </c>
      <c r="AH178" s="55">
        <f t="shared" si="9"/>
        <v>0</v>
      </c>
      <c r="AI178" s="34" t="s">
        <v>116</v>
      </c>
      <c r="AJ178" s="63">
        <f t="shared" si="10"/>
        <v>0</v>
      </c>
      <c r="AK178" s="63">
        <f t="shared" si="11"/>
        <v>0</v>
      </c>
      <c r="AL178" s="63">
        <f t="shared" si="12"/>
        <v>0</v>
      </c>
      <c r="AN178" s="55">
        <v>21</v>
      </c>
      <c r="AO178" s="55">
        <f>H178*1</f>
        <v>0</v>
      </c>
      <c r="AP178" s="55">
        <f>H178*(1-1)</f>
        <v>0</v>
      </c>
      <c r="AQ178" s="66" t="s">
        <v>125</v>
      </c>
      <c r="AV178" s="55">
        <f t="shared" si="13"/>
        <v>0</v>
      </c>
      <c r="AW178" s="55">
        <f t="shared" si="14"/>
        <v>0</v>
      </c>
      <c r="AX178" s="55">
        <f t="shared" si="15"/>
        <v>0</v>
      </c>
      <c r="AY178" s="58" t="s">
        <v>375</v>
      </c>
      <c r="AZ178" s="58" t="s">
        <v>362</v>
      </c>
      <c r="BA178" s="34" t="s">
        <v>128</v>
      </c>
      <c r="BC178" s="55">
        <f t="shared" si="16"/>
        <v>0</v>
      </c>
      <c r="BD178" s="55">
        <f t="shared" si="17"/>
        <v>0</v>
      </c>
      <c r="BE178" s="55">
        <v>0</v>
      </c>
      <c r="BF178" s="55">
        <f t="shared" si="18"/>
        <v>0</v>
      </c>
      <c r="BH178" s="63">
        <f t="shared" si="19"/>
        <v>0</v>
      </c>
      <c r="BI178" s="63">
        <f t="shared" si="20"/>
        <v>0</v>
      </c>
      <c r="BJ178" s="63">
        <f t="shared" si="21"/>
        <v>0</v>
      </c>
      <c r="BK178" s="63"/>
      <c r="BL178" s="55">
        <v>751</v>
      </c>
      <c r="BW178" s="55">
        <v>21</v>
      </c>
    </row>
    <row r="179" spans="1:47" ht="14.4">
      <c r="A179" s="50" t="s">
        <v>4</v>
      </c>
      <c r="B179" s="51" t="s">
        <v>116</v>
      </c>
      <c r="C179" s="51" t="s">
        <v>437</v>
      </c>
      <c r="D179" s="222" t="s">
        <v>438</v>
      </c>
      <c r="E179" s="223"/>
      <c r="F179" s="52" t="s">
        <v>79</v>
      </c>
      <c r="G179" s="52" t="s">
        <v>79</v>
      </c>
      <c r="H179" s="53" t="s">
        <v>79</v>
      </c>
      <c r="I179" s="27">
        <f>SUM(I180:I248)</f>
        <v>0</v>
      </c>
      <c r="J179" s="34" t="s">
        <v>4</v>
      </c>
      <c r="K179" s="27">
        <f>SUM(K180:K248)</f>
        <v>0</v>
      </c>
      <c r="L179" s="54" t="s">
        <v>4</v>
      </c>
      <c r="AI179" s="34" t="s">
        <v>116</v>
      </c>
      <c r="AS179" s="27">
        <f>SUM(AJ180:AJ248)</f>
        <v>0</v>
      </c>
      <c r="AT179" s="27">
        <f>SUM(AK180:AK248)</f>
        <v>0</v>
      </c>
      <c r="AU179" s="27">
        <f>SUM(AL180:AL248)</f>
        <v>0</v>
      </c>
    </row>
    <row r="180" spans="1:75" ht="27" customHeight="1">
      <c r="A180" s="1" t="s">
        <v>439</v>
      </c>
      <c r="B180" s="2" t="s">
        <v>116</v>
      </c>
      <c r="C180" s="2" t="s">
        <v>440</v>
      </c>
      <c r="D180" s="147" t="s">
        <v>441</v>
      </c>
      <c r="E180" s="148"/>
      <c r="F180" s="2" t="s">
        <v>174</v>
      </c>
      <c r="G180" s="55">
        <v>3120</v>
      </c>
      <c r="H180" s="56">
        <v>0</v>
      </c>
      <c r="I180" s="55">
        <f aca="true" t="shared" si="22" ref="I180:I191">G180*H180</f>
        <v>0</v>
      </c>
      <c r="J180" s="55">
        <v>0</v>
      </c>
      <c r="K180" s="55">
        <f aca="true" t="shared" si="23" ref="K180:K191">G180*J180</f>
        <v>0</v>
      </c>
      <c r="L180" s="57" t="s">
        <v>124</v>
      </c>
      <c r="Z180" s="55">
        <f aca="true" t="shared" si="24" ref="Z180:Z191">IF(AQ180="5",BJ180,0)</f>
        <v>0</v>
      </c>
      <c r="AB180" s="55">
        <f aca="true" t="shared" si="25" ref="AB180:AB191">IF(AQ180="1",BH180,0)</f>
        <v>0</v>
      </c>
      <c r="AC180" s="55">
        <f aca="true" t="shared" si="26" ref="AC180:AC191">IF(AQ180="1",BI180,0)</f>
        <v>0</v>
      </c>
      <c r="AD180" s="55">
        <f aca="true" t="shared" si="27" ref="AD180:AD191">IF(AQ180="7",BH180,0)</f>
        <v>0</v>
      </c>
      <c r="AE180" s="55">
        <f aca="true" t="shared" si="28" ref="AE180:AE191">IF(AQ180="7",BI180,0)</f>
        <v>0</v>
      </c>
      <c r="AF180" s="55">
        <f aca="true" t="shared" si="29" ref="AF180:AF191">IF(AQ180="2",BH180,0)</f>
        <v>0</v>
      </c>
      <c r="AG180" s="55">
        <f aca="true" t="shared" si="30" ref="AG180:AG191">IF(AQ180="2",BI180,0)</f>
        <v>0</v>
      </c>
      <c r="AH180" s="55">
        <f aca="true" t="shared" si="31" ref="AH180:AH191">IF(AQ180="0",BJ180,0)</f>
        <v>0</v>
      </c>
      <c r="AI180" s="34" t="s">
        <v>116</v>
      </c>
      <c r="AJ180" s="55">
        <f aca="true" t="shared" si="32" ref="AJ180:AJ191">IF(AN180=0,I180,0)</f>
        <v>0</v>
      </c>
      <c r="AK180" s="55">
        <f aca="true" t="shared" si="33" ref="AK180:AK191">IF(AN180=12,I180,0)</f>
        <v>0</v>
      </c>
      <c r="AL180" s="55">
        <f aca="true" t="shared" si="34" ref="AL180:AL191">IF(AN180=21,I180,0)</f>
        <v>0</v>
      </c>
      <c r="AN180" s="55">
        <v>21</v>
      </c>
      <c r="AO180" s="55">
        <f>H180*0.403794038</f>
        <v>0</v>
      </c>
      <c r="AP180" s="55">
        <f>H180*(1-0.403794038)</f>
        <v>0</v>
      </c>
      <c r="AQ180" s="58" t="s">
        <v>120</v>
      </c>
      <c r="AV180" s="55">
        <f aca="true" t="shared" si="35" ref="AV180:AV191">AW180+AX180</f>
        <v>0</v>
      </c>
      <c r="AW180" s="55">
        <f aca="true" t="shared" si="36" ref="AW180:AW191">G180*AO180</f>
        <v>0</v>
      </c>
      <c r="AX180" s="55">
        <f aca="true" t="shared" si="37" ref="AX180:AX191">G180*AP180</f>
        <v>0</v>
      </c>
      <c r="AY180" s="58" t="s">
        <v>442</v>
      </c>
      <c r="AZ180" s="58" t="s">
        <v>443</v>
      </c>
      <c r="BA180" s="34" t="s">
        <v>128</v>
      </c>
      <c r="BB180" s="67">
        <v>100133</v>
      </c>
      <c r="BC180" s="55">
        <f aca="true" t="shared" si="38" ref="BC180:BC191">AW180+AX180</f>
        <v>0</v>
      </c>
      <c r="BD180" s="55">
        <f aca="true" t="shared" si="39" ref="BD180:BD191">H180/(100-BE180)*100</f>
        <v>0</v>
      </c>
      <c r="BE180" s="55">
        <v>0</v>
      </c>
      <c r="BF180" s="55">
        <f aca="true" t="shared" si="40" ref="BF180:BF191">K180</f>
        <v>0</v>
      </c>
      <c r="BH180" s="55">
        <f aca="true" t="shared" si="41" ref="BH180:BH191">G180*AO180</f>
        <v>0</v>
      </c>
      <c r="BI180" s="55">
        <f aca="true" t="shared" si="42" ref="BI180:BI191">G180*AP180</f>
        <v>0</v>
      </c>
      <c r="BJ180" s="55">
        <f aca="true" t="shared" si="43" ref="BJ180:BJ191">G180*H180</f>
        <v>0</v>
      </c>
      <c r="BK180" s="55"/>
      <c r="BL180" s="55">
        <v>2222</v>
      </c>
      <c r="BW180" s="55">
        <v>21</v>
      </c>
    </row>
    <row r="181" spans="1:75" ht="13.5" customHeight="1">
      <c r="A181" s="1" t="s">
        <v>444</v>
      </c>
      <c r="B181" s="2" t="s">
        <v>116</v>
      </c>
      <c r="C181" s="2" t="s">
        <v>445</v>
      </c>
      <c r="D181" s="147" t="s">
        <v>446</v>
      </c>
      <c r="E181" s="148"/>
      <c r="F181" s="2" t="s">
        <v>123</v>
      </c>
      <c r="G181" s="55">
        <v>3</v>
      </c>
      <c r="H181" s="56">
        <v>0</v>
      </c>
      <c r="I181" s="55">
        <f t="shared" si="22"/>
        <v>0</v>
      </c>
      <c r="J181" s="55">
        <v>0</v>
      </c>
      <c r="K181" s="55">
        <f t="shared" si="23"/>
        <v>0</v>
      </c>
      <c r="L181" s="57" t="s">
        <v>124</v>
      </c>
      <c r="Z181" s="55">
        <f t="shared" si="24"/>
        <v>0</v>
      </c>
      <c r="AB181" s="55">
        <f t="shared" si="25"/>
        <v>0</v>
      </c>
      <c r="AC181" s="55">
        <f t="shared" si="26"/>
        <v>0</v>
      </c>
      <c r="AD181" s="55">
        <f t="shared" si="27"/>
        <v>0</v>
      </c>
      <c r="AE181" s="55">
        <f t="shared" si="28"/>
        <v>0</v>
      </c>
      <c r="AF181" s="55">
        <f t="shared" si="29"/>
        <v>0</v>
      </c>
      <c r="AG181" s="55">
        <f t="shared" si="30"/>
        <v>0</v>
      </c>
      <c r="AH181" s="55">
        <f t="shared" si="31"/>
        <v>0</v>
      </c>
      <c r="AI181" s="34" t="s">
        <v>116</v>
      </c>
      <c r="AJ181" s="55">
        <f t="shared" si="32"/>
        <v>0</v>
      </c>
      <c r="AK181" s="55">
        <f t="shared" si="33"/>
        <v>0</v>
      </c>
      <c r="AL181" s="55">
        <f t="shared" si="34"/>
        <v>0</v>
      </c>
      <c r="AN181" s="55">
        <v>21</v>
      </c>
      <c r="AO181" s="55">
        <f>H181*0.643564356</f>
        <v>0</v>
      </c>
      <c r="AP181" s="55">
        <f>H181*(1-0.643564356)</f>
        <v>0</v>
      </c>
      <c r="AQ181" s="58" t="s">
        <v>120</v>
      </c>
      <c r="AV181" s="55">
        <f t="shared" si="35"/>
        <v>0</v>
      </c>
      <c r="AW181" s="55">
        <f t="shared" si="36"/>
        <v>0</v>
      </c>
      <c r="AX181" s="55">
        <f t="shared" si="37"/>
        <v>0</v>
      </c>
      <c r="AY181" s="58" t="s">
        <v>442</v>
      </c>
      <c r="AZ181" s="58" t="s">
        <v>443</v>
      </c>
      <c r="BA181" s="34" t="s">
        <v>128</v>
      </c>
      <c r="BB181" s="67">
        <v>100133</v>
      </c>
      <c r="BC181" s="55">
        <f t="shared" si="38"/>
        <v>0</v>
      </c>
      <c r="BD181" s="55">
        <f t="shared" si="39"/>
        <v>0</v>
      </c>
      <c r="BE181" s="55">
        <v>0</v>
      </c>
      <c r="BF181" s="55">
        <f t="shared" si="40"/>
        <v>0</v>
      </c>
      <c r="BH181" s="55">
        <f t="shared" si="41"/>
        <v>0</v>
      </c>
      <c r="BI181" s="55">
        <f t="shared" si="42"/>
        <v>0</v>
      </c>
      <c r="BJ181" s="55">
        <f t="shared" si="43"/>
        <v>0</v>
      </c>
      <c r="BK181" s="55"/>
      <c r="BL181" s="55">
        <v>2222</v>
      </c>
      <c r="BW181" s="55">
        <v>21</v>
      </c>
    </row>
    <row r="182" spans="1:75" ht="13.5" customHeight="1">
      <c r="A182" s="1" t="s">
        <v>447</v>
      </c>
      <c r="B182" s="2" t="s">
        <v>116</v>
      </c>
      <c r="C182" s="2" t="s">
        <v>448</v>
      </c>
      <c r="D182" s="147" t="s">
        <v>449</v>
      </c>
      <c r="E182" s="148"/>
      <c r="F182" s="2" t="s">
        <v>123</v>
      </c>
      <c r="G182" s="55">
        <v>35</v>
      </c>
      <c r="H182" s="56">
        <v>0</v>
      </c>
      <c r="I182" s="55">
        <f t="shared" si="22"/>
        <v>0</v>
      </c>
      <c r="J182" s="55">
        <v>0</v>
      </c>
      <c r="K182" s="55">
        <f t="shared" si="23"/>
        <v>0</v>
      </c>
      <c r="L182" s="57" t="s">
        <v>124</v>
      </c>
      <c r="Z182" s="55">
        <f t="shared" si="24"/>
        <v>0</v>
      </c>
      <c r="AB182" s="55">
        <f t="shared" si="25"/>
        <v>0</v>
      </c>
      <c r="AC182" s="55">
        <f t="shared" si="26"/>
        <v>0</v>
      </c>
      <c r="AD182" s="55">
        <f t="shared" si="27"/>
        <v>0</v>
      </c>
      <c r="AE182" s="55">
        <f t="shared" si="28"/>
        <v>0</v>
      </c>
      <c r="AF182" s="55">
        <f t="shared" si="29"/>
        <v>0</v>
      </c>
      <c r="AG182" s="55">
        <f t="shared" si="30"/>
        <v>0</v>
      </c>
      <c r="AH182" s="55">
        <f t="shared" si="31"/>
        <v>0</v>
      </c>
      <c r="AI182" s="34" t="s">
        <v>116</v>
      </c>
      <c r="AJ182" s="55">
        <f t="shared" si="32"/>
        <v>0</v>
      </c>
      <c r="AK182" s="55">
        <f t="shared" si="33"/>
        <v>0</v>
      </c>
      <c r="AL182" s="55">
        <f t="shared" si="34"/>
        <v>0</v>
      </c>
      <c r="AN182" s="55">
        <v>21</v>
      </c>
      <c r="AO182" s="55">
        <f>H182*0.848101266</f>
        <v>0</v>
      </c>
      <c r="AP182" s="55">
        <f>H182*(1-0.848101266)</f>
        <v>0</v>
      </c>
      <c r="AQ182" s="58" t="s">
        <v>120</v>
      </c>
      <c r="AV182" s="55">
        <f t="shared" si="35"/>
        <v>0</v>
      </c>
      <c r="AW182" s="55">
        <f t="shared" si="36"/>
        <v>0</v>
      </c>
      <c r="AX182" s="55">
        <f t="shared" si="37"/>
        <v>0</v>
      </c>
      <c r="AY182" s="58" t="s">
        <v>442</v>
      </c>
      <c r="AZ182" s="58" t="s">
        <v>443</v>
      </c>
      <c r="BA182" s="34" t="s">
        <v>128</v>
      </c>
      <c r="BB182" s="67">
        <v>100133</v>
      </c>
      <c r="BC182" s="55">
        <f t="shared" si="38"/>
        <v>0</v>
      </c>
      <c r="BD182" s="55">
        <f t="shared" si="39"/>
        <v>0</v>
      </c>
      <c r="BE182" s="55">
        <v>0</v>
      </c>
      <c r="BF182" s="55">
        <f t="shared" si="40"/>
        <v>0</v>
      </c>
      <c r="BH182" s="55">
        <f t="shared" si="41"/>
        <v>0</v>
      </c>
      <c r="BI182" s="55">
        <f t="shared" si="42"/>
        <v>0</v>
      </c>
      <c r="BJ182" s="55">
        <f t="shared" si="43"/>
        <v>0</v>
      </c>
      <c r="BK182" s="55"/>
      <c r="BL182" s="55">
        <v>2222</v>
      </c>
      <c r="BW182" s="55">
        <v>21</v>
      </c>
    </row>
    <row r="183" spans="1:75" ht="13.5" customHeight="1">
      <c r="A183" s="1" t="s">
        <v>450</v>
      </c>
      <c r="B183" s="2" t="s">
        <v>116</v>
      </c>
      <c r="C183" s="2" t="s">
        <v>451</v>
      </c>
      <c r="D183" s="147" t="s">
        <v>452</v>
      </c>
      <c r="E183" s="148"/>
      <c r="F183" s="2" t="s">
        <v>123</v>
      </c>
      <c r="G183" s="55">
        <v>20</v>
      </c>
      <c r="H183" s="56">
        <v>0</v>
      </c>
      <c r="I183" s="55">
        <f t="shared" si="22"/>
        <v>0</v>
      </c>
      <c r="J183" s="55">
        <v>0</v>
      </c>
      <c r="K183" s="55">
        <f t="shared" si="23"/>
        <v>0</v>
      </c>
      <c r="L183" s="57" t="s">
        <v>124</v>
      </c>
      <c r="Z183" s="55">
        <f t="shared" si="24"/>
        <v>0</v>
      </c>
      <c r="AB183" s="55">
        <f t="shared" si="25"/>
        <v>0</v>
      </c>
      <c r="AC183" s="55">
        <f t="shared" si="26"/>
        <v>0</v>
      </c>
      <c r="AD183" s="55">
        <f t="shared" si="27"/>
        <v>0</v>
      </c>
      <c r="AE183" s="55">
        <f t="shared" si="28"/>
        <v>0</v>
      </c>
      <c r="AF183" s="55">
        <f t="shared" si="29"/>
        <v>0</v>
      </c>
      <c r="AG183" s="55">
        <f t="shared" si="30"/>
        <v>0</v>
      </c>
      <c r="AH183" s="55">
        <f t="shared" si="31"/>
        <v>0</v>
      </c>
      <c r="AI183" s="34" t="s">
        <v>116</v>
      </c>
      <c r="AJ183" s="55">
        <f t="shared" si="32"/>
        <v>0</v>
      </c>
      <c r="AK183" s="55">
        <f t="shared" si="33"/>
        <v>0</v>
      </c>
      <c r="AL183" s="55">
        <f t="shared" si="34"/>
        <v>0</v>
      </c>
      <c r="AN183" s="55">
        <v>21</v>
      </c>
      <c r="AO183" s="55">
        <f>H183*0.866666667</f>
        <v>0</v>
      </c>
      <c r="AP183" s="55">
        <f>H183*(1-0.866666667)</f>
        <v>0</v>
      </c>
      <c r="AQ183" s="58" t="s">
        <v>120</v>
      </c>
      <c r="AV183" s="55">
        <f t="shared" si="35"/>
        <v>0</v>
      </c>
      <c r="AW183" s="55">
        <f t="shared" si="36"/>
        <v>0</v>
      </c>
      <c r="AX183" s="55">
        <f t="shared" si="37"/>
        <v>0</v>
      </c>
      <c r="AY183" s="58" t="s">
        <v>442</v>
      </c>
      <c r="AZ183" s="58" t="s">
        <v>443</v>
      </c>
      <c r="BA183" s="34" t="s">
        <v>128</v>
      </c>
      <c r="BB183" s="67">
        <v>100133</v>
      </c>
      <c r="BC183" s="55">
        <f t="shared" si="38"/>
        <v>0</v>
      </c>
      <c r="BD183" s="55">
        <f t="shared" si="39"/>
        <v>0</v>
      </c>
      <c r="BE183" s="55">
        <v>0</v>
      </c>
      <c r="BF183" s="55">
        <f t="shared" si="40"/>
        <v>0</v>
      </c>
      <c r="BH183" s="55">
        <f t="shared" si="41"/>
        <v>0</v>
      </c>
      <c r="BI183" s="55">
        <f t="shared" si="42"/>
        <v>0</v>
      </c>
      <c r="BJ183" s="55">
        <f t="shared" si="43"/>
        <v>0</v>
      </c>
      <c r="BK183" s="55"/>
      <c r="BL183" s="55">
        <v>2222</v>
      </c>
      <c r="BW183" s="55">
        <v>21</v>
      </c>
    </row>
    <row r="184" spans="1:75" ht="13.5" customHeight="1">
      <c r="A184" s="1" t="s">
        <v>453</v>
      </c>
      <c r="B184" s="2" t="s">
        <v>116</v>
      </c>
      <c r="C184" s="2" t="s">
        <v>454</v>
      </c>
      <c r="D184" s="147" t="s">
        <v>455</v>
      </c>
      <c r="E184" s="148"/>
      <c r="F184" s="2" t="s">
        <v>123</v>
      </c>
      <c r="G184" s="55">
        <v>15</v>
      </c>
      <c r="H184" s="56">
        <v>0</v>
      </c>
      <c r="I184" s="55">
        <f t="shared" si="22"/>
        <v>0</v>
      </c>
      <c r="J184" s="55">
        <v>0</v>
      </c>
      <c r="K184" s="55">
        <f t="shared" si="23"/>
        <v>0</v>
      </c>
      <c r="L184" s="57" t="s">
        <v>124</v>
      </c>
      <c r="Z184" s="55">
        <f t="shared" si="24"/>
        <v>0</v>
      </c>
      <c r="AB184" s="55">
        <f t="shared" si="25"/>
        <v>0</v>
      </c>
      <c r="AC184" s="55">
        <f t="shared" si="26"/>
        <v>0</v>
      </c>
      <c r="AD184" s="55">
        <f t="shared" si="27"/>
        <v>0</v>
      </c>
      <c r="AE184" s="55">
        <f t="shared" si="28"/>
        <v>0</v>
      </c>
      <c r="AF184" s="55">
        <f t="shared" si="29"/>
        <v>0</v>
      </c>
      <c r="AG184" s="55">
        <f t="shared" si="30"/>
        <v>0</v>
      </c>
      <c r="AH184" s="55">
        <f t="shared" si="31"/>
        <v>0</v>
      </c>
      <c r="AI184" s="34" t="s">
        <v>116</v>
      </c>
      <c r="AJ184" s="55">
        <f t="shared" si="32"/>
        <v>0</v>
      </c>
      <c r="AK184" s="55">
        <f t="shared" si="33"/>
        <v>0</v>
      </c>
      <c r="AL184" s="55">
        <f t="shared" si="34"/>
        <v>0</v>
      </c>
      <c r="AN184" s="55">
        <v>21</v>
      </c>
      <c r="AO184" s="55">
        <f>H184*0.872340426</f>
        <v>0</v>
      </c>
      <c r="AP184" s="55">
        <f>H184*(1-0.872340426)</f>
        <v>0</v>
      </c>
      <c r="AQ184" s="58" t="s">
        <v>120</v>
      </c>
      <c r="AV184" s="55">
        <f t="shared" si="35"/>
        <v>0</v>
      </c>
      <c r="AW184" s="55">
        <f t="shared" si="36"/>
        <v>0</v>
      </c>
      <c r="AX184" s="55">
        <f t="shared" si="37"/>
        <v>0</v>
      </c>
      <c r="AY184" s="58" t="s">
        <v>442</v>
      </c>
      <c r="AZ184" s="58" t="s">
        <v>443</v>
      </c>
      <c r="BA184" s="34" t="s">
        <v>128</v>
      </c>
      <c r="BB184" s="67">
        <v>100133</v>
      </c>
      <c r="BC184" s="55">
        <f t="shared" si="38"/>
        <v>0</v>
      </c>
      <c r="BD184" s="55">
        <f t="shared" si="39"/>
        <v>0</v>
      </c>
      <c r="BE184" s="55">
        <v>0</v>
      </c>
      <c r="BF184" s="55">
        <f t="shared" si="40"/>
        <v>0</v>
      </c>
      <c r="BH184" s="55">
        <f t="shared" si="41"/>
        <v>0</v>
      </c>
      <c r="BI184" s="55">
        <f t="shared" si="42"/>
        <v>0</v>
      </c>
      <c r="BJ184" s="55">
        <f t="shared" si="43"/>
        <v>0</v>
      </c>
      <c r="BK184" s="55"/>
      <c r="BL184" s="55">
        <v>2222</v>
      </c>
      <c r="BW184" s="55">
        <v>21</v>
      </c>
    </row>
    <row r="185" spans="1:75" ht="13.5" customHeight="1">
      <c r="A185" s="1" t="s">
        <v>456</v>
      </c>
      <c r="B185" s="2" t="s">
        <v>116</v>
      </c>
      <c r="C185" s="2" t="s">
        <v>457</v>
      </c>
      <c r="D185" s="147" t="s">
        <v>458</v>
      </c>
      <c r="E185" s="148"/>
      <c r="F185" s="2" t="s">
        <v>123</v>
      </c>
      <c r="G185" s="55">
        <v>5</v>
      </c>
      <c r="H185" s="56">
        <v>0</v>
      </c>
      <c r="I185" s="55">
        <f t="shared" si="22"/>
        <v>0</v>
      </c>
      <c r="J185" s="55">
        <v>0</v>
      </c>
      <c r="K185" s="55">
        <f t="shared" si="23"/>
        <v>0</v>
      </c>
      <c r="L185" s="57" t="s">
        <v>124</v>
      </c>
      <c r="Z185" s="55">
        <f t="shared" si="24"/>
        <v>0</v>
      </c>
      <c r="AB185" s="55">
        <f t="shared" si="25"/>
        <v>0</v>
      </c>
      <c r="AC185" s="55">
        <f t="shared" si="26"/>
        <v>0</v>
      </c>
      <c r="AD185" s="55">
        <f t="shared" si="27"/>
        <v>0</v>
      </c>
      <c r="AE185" s="55">
        <f t="shared" si="28"/>
        <v>0</v>
      </c>
      <c r="AF185" s="55">
        <f t="shared" si="29"/>
        <v>0</v>
      </c>
      <c r="AG185" s="55">
        <f t="shared" si="30"/>
        <v>0</v>
      </c>
      <c r="AH185" s="55">
        <f t="shared" si="31"/>
        <v>0</v>
      </c>
      <c r="AI185" s="34" t="s">
        <v>116</v>
      </c>
      <c r="AJ185" s="55">
        <f t="shared" si="32"/>
        <v>0</v>
      </c>
      <c r="AK185" s="55">
        <f t="shared" si="33"/>
        <v>0</v>
      </c>
      <c r="AL185" s="55">
        <f t="shared" si="34"/>
        <v>0</v>
      </c>
      <c r="AN185" s="55">
        <v>21</v>
      </c>
      <c r="AO185" s="55">
        <f>H185*0.881188119</f>
        <v>0</v>
      </c>
      <c r="AP185" s="55">
        <f>H185*(1-0.881188119)</f>
        <v>0</v>
      </c>
      <c r="AQ185" s="58" t="s">
        <v>120</v>
      </c>
      <c r="AV185" s="55">
        <f t="shared" si="35"/>
        <v>0</v>
      </c>
      <c r="AW185" s="55">
        <f t="shared" si="36"/>
        <v>0</v>
      </c>
      <c r="AX185" s="55">
        <f t="shared" si="37"/>
        <v>0</v>
      </c>
      <c r="AY185" s="58" t="s">
        <v>442</v>
      </c>
      <c r="AZ185" s="58" t="s">
        <v>443</v>
      </c>
      <c r="BA185" s="34" t="s">
        <v>128</v>
      </c>
      <c r="BB185" s="67">
        <v>100133</v>
      </c>
      <c r="BC185" s="55">
        <f t="shared" si="38"/>
        <v>0</v>
      </c>
      <c r="BD185" s="55">
        <f t="shared" si="39"/>
        <v>0</v>
      </c>
      <c r="BE185" s="55">
        <v>0</v>
      </c>
      <c r="BF185" s="55">
        <f t="shared" si="40"/>
        <v>0</v>
      </c>
      <c r="BH185" s="55">
        <f t="shared" si="41"/>
        <v>0</v>
      </c>
      <c r="BI185" s="55">
        <f t="shared" si="42"/>
        <v>0</v>
      </c>
      <c r="BJ185" s="55">
        <f t="shared" si="43"/>
        <v>0</v>
      </c>
      <c r="BK185" s="55"/>
      <c r="BL185" s="55">
        <v>2222</v>
      </c>
      <c r="BW185" s="55">
        <v>21</v>
      </c>
    </row>
    <row r="186" spans="1:75" ht="13.5" customHeight="1">
      <c r="A186" s="1" t="s">
        <v>459</v>
      </c>
      <c r="B186" s="2" t="s">
        <v>116</v>
      </c>
      <c r="C186" s="2" t="s">
        <v>460</v>
      </c>
      <c r="D186" s="147" t="s">
        <v>461</v>
      </c>
      <c r="E186" s="148"/>
      <c r="F186" s="2" t="s">
        <v>123</v>
      </c>
      <c r="G186" s="55">
        <v>27</v>
      </c>
      <c r="H186" s="56">
        <v>0</v>
      </c>
      <c r="I186" s="55">
        <f t="shared" si="22"/>
        <v>0</v>
      </c>
      <c r="J186" s="55">
        <v>0</v>
      </c>
      <c r="K186" s="55">
        <f t="shared" si="23"/>
        <v>0</v>
      </c>
      <c r="L186" s="57" t="s">
        <v>124</v>
      </c>
      <c r="Z186" s="55">
        <f t="shared" si="24"/>
        <v>0</v>
      </c>
      <c r="AB186" s="55">
        <f t="shared" si="25"/>
        <v>0</v>
      </c>
      <c r="AC186" s="55">
        <f t="shared" si="26"/>
        <v>0</v>
      </c>
      <c r="AD186" s="55">
        <f t="shared" si="27"/>
        <v>0</v>
      </c>
      <c r="AE186" s="55">
        <f t="shared" si="28"/>
        <v>0</v>
      </c>
      <c r="AF186" s="55">
        <f t="shared" si="29"/>
        <v>0</v>
      </c>
      <c r="AG186" s="55">
        <f t="shared" si="30"/>
        <v>0</v>
      </c>
      <c r="AH186" s="55">
        <f t="shared" si="31"/>
        <v>0</v>
      </c>
      <c r="AI186" s="34" t="s">
        <v>116</v>
      </c>
      <c r="AJ186" s="55">
        <f t="shared" si="32"/>
        <v>0</v>
      </c>
      <c r="AK186" s="55">
        <f t="shared" si="33"/>
        <v>0</v>
      </c>
      <c r="AL186" s="55">
        <f t="shared" si="34"/>
        <v>0</v>
      </c>
      <c r="AN186" s="55">
        <v>21</v>
      </c>
      <c r="AO186" s="55">
        <f>H186*0.669724771</f>
        <v>0</v>
      </c>
      <c r="AP186" s="55">
        <f>H186*(1-0.669724771)</f>
        <v>0</v>
      </c>
      <c r="AQ186" s="58" t="s">
        <v>120</v>
      </c>
      <c r="AV186" s="55">
        <f t="shared" si="35"/>
        <v>0</v>
      </c>
      <c r="AW186" s="55">
        <f t="shared" si="36"/>
        <v>0</v>
      </c>
      <c r="AX186" s="55">
        <f t="shared" si="37"/>
        <v>0</v>
      </c>
      <c r="AY186" s="58" t="s">
        <v>442</v>
      </c>
      <c r="AZ186" s="58" t="s">
        <v>443</v>
      </c>
      <c r="BA186" s="34" t="s">
        <v>128</v>
      </c>
      <c r="BB186" s="67">
        <v>100133</v>
      </c>
      <c r="BC186" s="55">
        <f t="shared" si="38"/>
        <v>0</v>
      </c>
      <c r="BD186" s="55">
        <f t="shared" si="39"/>
        <v>0</v>
      </c>
      <c r="BE186" s="55">
        <v>0</v>
      </c>
      <c r="BF186" s="55">
        <f t="shared" si="40"/>
        <v>0</v>
      </c>
      <c r="BH186" s="55">
        <f t="shared" si="41"/>
        <v>0</v>
      </c>
      <c r="BI186" s="55">
        <f t="shared" si="42"/>
        <v>0</v>
      </c>
      <c r="BJ186" s="55">
        <f t="shared" si="43"/>
        <v>0</v>
      </c>
      <c r="BK186" s="55"/>
      <c r="BL186" s="55">
        <v>2222</v>
      </c>
      <c r="BW186" s="55">
        <v>21</v>
      </c>
    </row>
    <row r="187" spans="1:75" ht="13.5" customHeight="1">
      <c r="A187" s="1" t="s">
        <v>462</v>
      </c>
      <c r="B187" s="2" t="s">
        <v>116</v>
      </c>
      <c r="C187" s="2" t="s">
        <v>463</v>
      </c>
      <c r="D187" s="147" t="s">
        <v>464</v>
      </c>
      <c r="E187" s="148"/>
      <c r="F187" s="2" t="s">
        <v>123</v>
      </c>
      <c r="G187" s="55">
        <v>3</v>
      </c>
      <c r="H187" s="56">
        <v>0</v>
      </c>
      <c r="I187" s="55">
        <f t="shared" si="22"/>
        <v>0</v>
      </c>
      <c r="J187" s="55">
        <v>0</v>
      </c>
      <c r="K187" s="55">
        <f t="shared" si="23"/>
        <v>0</v>
      </c>
      <c r="L187" s="57" t="s">
        <v>124</v>
      </c>
      <c r="Z187" s="55">
        <f t="shared" si="24"/>
        <v>0</v>
      </c>
      <c r="AB187" s="55">
        <f t="shared" si="25"/>
        <v>0</v>
      </c>
      <c r="AC187" s="55">
        <f t="shared" si="26"/>
        <v>0</v>
      </c>
      <c r="AD187" s="55">
        <f t="shared" si="27"/>
        <v>0</v>
      </c>
      <c r="AE187" s="55">
        <f t="shared" si="28"/>
        <v>0</v>
      </c>
      <c r="AF187" s="55">
        <f t="shared" si="29"/>
        <v>0</v>
      </c>
      <c r="AG187" s="55">
        <f t="shared" si="30"/>
        <v>0</v>
      </c>
      <c r="AH187" s="55">
        <f t="shared" si="31"/>
        <v>0</v>
      </c>
      <c r="AI187" s="34" t="s">
        <v>116</v>
      </c>
      <c r="AJ187" s="55">
        <f t="shared" si="32"/>
        <v>0</v>
      </c>
      <c r="AK187" s="55">
        <f t="shared" si="33"/>
        <v>0</v>
      </c>
      <c r="AL187" s="55">
        <f t="shared" si="34"/>
        <v>0</v>
      </c>
      <c r="AN187" s="55">
        <v>21</v>
      </c>
      <c r="AO187" s="55">
        <f>H187*0.656565657</f>
        <v>0</v>
      </c>
      <c r="AP187" s="55">
        <f>H187*(1-0.656565657)</f>
        <v>0</v>
      </c>
      <c r="AQ187" s="58" t="s">
        <v>120</v>
      </c>
      <c r="AV187" s="55">
        <f t="shared" si="35"/>
        <v>0</v>
      </c>
      <c r="AW187" s="55">
        <f t="shared" si="36"/>
        <v>0</v>
      </c>
      <c r="AX187" s="55">
        <f t="shared" si="37"/>
        <v>0</v>
      </c>
      <c r="AY187" s="58" t="s">
        <v>442</v>
      </c>
      <c r="AZ187" s="58" t="s">
        <v>443</v>
      </c>
      <c r="BA187" s="34" t="s">
        <v>128</v>
      </c>
      <c r="BB187" s="67">
        <v>100133</v>
      </c>
      <c r="BC187" s="55">
        <f t="shared" si="38"/>
        <v>0</v>
      </c>
      <c r="BD187" s="55">
        <f t="shared" si="39"/>
        <v>0</v>
      </c>
      <c r="BE187" s="55">
        <v>0</v>
      </c>
      <c r="BF187" s="55">
        <f t="shared" si="40"/>
        <v>0</v>
      </c>
      <c r="BH187" s="55">
        <f t="shared" si="41"/>
        <v>0</v>
      </c>
      <c r="BI187" s="55">
        <f t="shared" si="42"/>
        <v>0</v>
      </c>
      <c r="BJ187" s="55">
        <f t="shared" si="43"/>
        <v>0</v>
      </c>
      <c r="BK187" s="55"/>
      <c r="BL187" s="55">
        <v>2222</v>
      </c>
      <c r="BW187" s="55">
        <v>21</v>
      </c>
    </row>
    <row r="188" spans="1:75" ht="13.5" customHeight="1">
      <c r="A188" s="1" t="s">
        <v>465</v>
      </c>
      <c r="B188" s="2" t="s">
        <v>116</v>
      </c>
      <c r="C188" s="2" t="s">
        <v>466</v>
      </c>
      <c r="D188" s="147" t="s">
        <v>467</v>
      </c>
      <c r="E188" s="148"/>
      <c r="F188" s="2" t="s">
        <v>123</v>
      </c>
      <c r="G188" s="55">
        <v>57</v>
      </c>
      <c r="H188" s="56">
        <v>0</v>
      </c>
      <c r="I188" s="55">
        <f t="shared" si="22"/>
        <v>0</v>
      </c>
      <c r="J188" s="55">
        <v>0</v>
      </c>
      <c r="K188" s="55">
        <f t="shared" si="23"/>
        <v>0</v>
      </c>
      <c r="L188" s="57" t="s">
        <v>124</v>
      </c>
      <c r="Z188" s="55">
        <f t="shared" si="24"/>
        <v>0</v>
      </c>
      <c r="AB188" s="55">
        <f t="shared" si="25"/>
        <v>0</v>
      </c>
      <c r="AC188" s="55">
        <f t="shared" si="26"/>
        <v>0</v>
      </c>
      <c r="AD188" s="55">
        <f t="shared" si="27"/>
        <v>0</v>
      </c>
      <c r="AE188" s="55">
        <f t="shared" si="28"/>
        <v>0</v>
      </c>
      <c r="AF188" s="55">
        <f t="shared" si="29"/>
        <v>0</v>
      </c>
      <c r="AG188" s="55">
        <f t="shared" si="30"/>
        <v>0</v>
      </c>
      <c r="AH188" s="55">
        <f t="shared" si="31"/>
        <v>0</v>
      </c>
      <c r="AI188" s="34" t="s">
        <v>116</v>
      </c>
      <c r="AJ188" s="55">
        <f t="shared" si="32"/>
        <v>0</v>
      </c>
      <c r="AK188" s="55">
        <f t="shared" si="33"/>
        <v>0</v>
      </c>
      <c r="AL188" s="55">
        <f t="shared" si="34"/>
        <v>0</v>
      </c>
      <c r="AN188" s="55">
        <v>21</v>
      </c>
      <c r="AO188" s="55">
        <f>H188*0</f>
        <v>0</v>
      </c>
      <c r="AP188" s="55">
        <f>H188*(1-0)</f>
        <v>0</v>
      </c>
      <c r="AQ188" s="58" t="s">
        <v>120</v>
      </c>
      <c r="AV188" s="55">
        <f t="shared" si="35"/>
        <v>0</v>
      </c>
      <c r="AW188" s="55">
        <f t="shared" si="36"/>
        <v>0</v>
      </c>
      <c r="AX188" s="55">
        <f t="shared" si="37"/>
        <v>0</v>
      </c>
      <c r="AY188" s="58" t="s">
        <v>442</v>
      </c>
      <c r="AZ188" s="58" t="s">
        <v>443</v>
      </c>
      <c r="BA188" s="34" t="s">
        <v>128</v>
      </c>
      <c r="BB188" s="67">
        <v>100133</v>
      </c>
      <c r="BC188" s="55">
        <f t="shared" si="38"/>
        <v>0</v>
      </c>
      <c r="BD188" s="55">
        <f t="shared" si="39"/>
        <v>0</v>
      </c>
      <c r="BE188" s="55">
        <v>0</v>
      </c>
      <c r="BF188" s="55">
        <f t="shared" si="40"/>
        <v>0</v>
      </c>
      <c r="BH188" s="55">
        <f t="shared" si="41"/>
        <v>0</v>
      </c>
      <c r="BI188" s="55">
        <f t="shared" si="42"/>
        <v>0</v>
      </c>
      <c r="BJ188" s="55">
        <f t="shared" si="43"/>
        <v>0</v>
      </c>
      <c r="BK188" s="55"/>
      <c r="BL188" s="55">
        <v>2222</v>
      </c>
      <c r="BW188" s="55">
        <v>21</v>
      </c>
    </row>
    <row r="189" spans="1:75" ht="13.5" customHeight="1">
      <c r="A189" s="1" t="s">
        <v>468</v>
      </c>
      <c r="B189" s="2" t="s">
        <v>116</v>
      </c>
      <c r="C189" s="2" t="s">
        <v>469</v>
      </c>
      <c r="D189" s="147" t="s">
        <v>470</v>
      </c>
      <c r="E189" s="148"/>
      <c r="F189" s="2" t="s">
        <v>123</v>
      </c>
      <c r="G189" s="55">
        <v>57</v>
      </c>
      <c r="H189" s="56">
        <v>0</v>
      </c>
      <c r="I189" s="55">
        <f t="shared" si="22"/>
        <v>0</v>
      </c>
      <c r="J189" s="55">
        <v>0</v>
      </c>
      <c r="K189" s="55">
        <f t="shared" si="23"/>
        <v>0</v>
      </c>
      <c r="L189" s="57" t="s">
        <v>124</v>
      </c>
      <c r="Z189" s="55">
        <f t="shared" si="24"/>
        <v>0</v>
      </c>
      <c r="AB189" s="55">
        <f t="shared" si="25"/>
        <v>0</v>
      </c>
      <c r="AC189" s="55">
        <f t="shared" si="26"/>
        <v>0</v>
      </c>
      <c r="AD189" s="55">
        <f t="shared" si="27"/>
        <v>0</v>
      </c>
      <c r="AE189" s="55">
        <f t="shared" si="28"/>
        <v>0</v>
      </c>
      <c r="AF189" s="55">
        <f t="shared" si="29"/>
        <v>0</v>
      </c>
      <c r="AG189" s="55">
        <f t="shared" si="30"/>
        <v>0</v>
      </c>
      <c r="AH189" s="55">
        <f t="shared" si="31"/>
        <v>0</v>
      </c>
      <c r="AI189" s="34" t="s">
        <v>116</v>
      </c>
      <c r="AJ189" s="55">
        <f t="shared" si="32"/>
        <v>0</v>
      </c>
      <c r="AK189" s="55">
        <f t="shared" si="33"/>
        <v>0</v>
      </c>
      <c r="AL189" s="55">
        <f t="shared" si="34"/>
        <v>0</v>
      </c>
      <c r="AN189" s="55">
        <v>21</v>
      </c>
      <c r="AO189" s="55">
        <f>H189*0</f>
        <v>0</v>
      </c>
      <c r="AP189" s="55">
        <f>H189*(1-0)</f>
        <v>0</v>
      </c>
      <c r="AQ189" s="58" t="s">
        <v>120</v>
      </c>
      <c r="AV189" s="55">
        <f t="shared" si="35"/>
        <v>0</v>
      </c>
      <c r="AW189" s="55">
        <f t="shared" si="36"/>
        <v>0</v>
      </c>
      <c r="AX189" s="55">
        <f t="shared" si="37"/>
        <v>0</v>
      </c>
      <c r="AY189" s="58" t="s">
        <v>442</v>
      </c>
      <c r="AZ189" s="58" t="s">
        <v>443</v>
      </c>
      <c r="BA189" s="34" t="s">
        <v>128</v>
      </c>
      <c r="BB189" s="67">
        <v>100133</v>
      </c>
      <c r="BC189" s="55">
        <f t="shared" si="38"/>
        <v>0</v>
      </c>
      <c r="BD189" s="55">
        <f t="shared" si="39"/>
        <v>0</v>
      </c>
      <c r="BE189" s="55">
        <v>0</v>
      </c>
      <c r="BF189" s="55">
        <f t="shared" si="40"/>
        <v>0</v>
      </c>
      <c r="BH189" s="55">
        <f t="shared" si="41"/>
        <v>0</v>
      </c>
      <c r="BI189" s="55">
        <f t="shared" si="42"/>
        <v>0</v>
      </c>
      <c r="BJ189" s="55">
        <f t="shared" si="43"/>
        <v>0</v>
      </c>
      <c r="BK189" s="55"/>
      <c r="BL189" s="55">
        <v>2222</v>
      </c>
      <c r="BW189" s="55">
        <v>21</v>
      </c>
    </row>
    <row r="190" spans="1:75" ht="13.5" customHeight="1">
      <c r="A190" s="1" t="s">
        <v>471</v>
      </c>
      <c r="B190" s="2" t="s">
        <v>116</v>
      </c>
      <c r="C190" s="2" t="s">
        <v>472</v>
      </c>
      <c r="D190" s="147" t="s">
        <v>473</v>
      </c>
      <c r="E190" s="148"/>
      <c r="F190" s="2" t="s">
        <v>123</v>
      </c>
      <c r="G190" s="55">
        <v>57</v>
      </c>
      <c r="H190" s="56">
        <v>0</v>
      </c>
      <c r="I190" s="55">
        <f t="shared" si="22"/>
        <v>0</v>
      </c>
      <c r="J190" s="55">
        <v>0</v>
      </c>
      <c r="K190" s="55">
        <f t="shared" si="23"/>
        <v>0</v>
      </c>
      <c r="L190" s="57" t="s">
        <v>124</v>
      </c>
      <c r="Z190" s="55">
        <f t="shared" si="24"/>
        <v>0</v>
      </c>
      <c r="AB190" s="55">
        <f t="shared" si="25"/>
        <v>0</v>
      </c>
      <c r="AC190" s="55">
        <f t="shared" si="26"/>
        <v>0</v>
      </c>
      <c r="AD190" s="55">
        <f t="shared" si="27"/>
        <v>0</v>
      </c>
      <c r="AE190" s="55">
        <f t="shared" si="28"/>
        <v>0</v>
      </c>
      <c r="AF190" s="55">
        <f t="shared" si="29"/>
        <v>0</v>
      </c>
      <c r="AG190" s="55">
        <f t="shared" si="30"/>
        <v>0</v>
      </c>
      <c r="AH190" s="55">
        <f t="shared" si="31"/>
        <v>0</v>
      </c>
      <c r="AI190" s="34" t="s">
        <v>116</v>
      </c>
      <c r="AJ190" s="55">
        <f t="shared" si="32"/>
        <v>0</v>
      </c>
      <c r="AK190" s="55">
        <f t="shared" si="33"/>
        <v>0</v>
      </c>
      <c r="AL190" s="55">
        <f t="shared" si="34"/>
        <v>0</v>
      </c>
      <c r="AN190" s="55">
        <v>21</v>
      </c>
      <c r="AO190" s="55">
        <f>H190*0</f>
        <v>0</v>
      </c>
      <c r="AP190" s="55">
        <f>H190*(1-0)</f>
        <v>0</v>
      </c>
      <c r="AQ190" s="58" t="s">
        <v>120</v>
      </c>
      <c r="AV190" s="55">
        <f t="shared" si="35"/>
        <v>0</v>
      </c>
      <c r="AW190" s="55">
        <f t="shared" si="36"/>
        <v>0</v>
      </c>
      <c r="AX190" s="55">
        <f t="shared" si="37"/>
        <v>0</v>
      </c>
      <c r="AY190" s="58" t="s">
        <v>442</v>
      </c>
      <c r="AZ190" s="58" t="s">
        <v>443</v>
      </c>
      <c r="BA190" s="34" t="s">
        <v>128</v>
      </c>
      <c r="BB190" s="67">
        <v>100133</v>
      </c>
      <c r="BC190" s="55">
        <f t="shared" si="38"/>
        <v>0</v>
      </c>
      <c r="BD190" s="55">
        <f t="shared" si="39"/>
        <v>0</v>
      </c>
      <c r="BE190" s="55">
        <v>0</v>
      </c>
      <c r="BF190" s="55">
        <f t="shared" si="40"/>
        <v>0</v>
      </c>
      <c r="BH190" s="55">
        <f t="shared" si="41"/>
        <v>0</v>
      </c>
      <c r="BI190" s="55">
        <f t="shared" si="42"/>
        <v>0</v>
      </c>
      <c r="BJ190" s="55">
        <f t="shared" si="43"/>
        <v>0</v>
      </c>
      <c r="BK190" s="55"/>
      <c r="BL190" s="55">
        <v>2222</v>
      </c>
      <c r="BW190" s="55">
        <v>21</v>
      </c>
    </row>
    <row r="191" spans="1:75" ht="13.5" customHeight="1">
      <c r="A191" s="1" t="s">
        <v>474</v>
      </c>
      <c r="B191" s="2" t="s">
        <v>116</v>
      </c>
      <c r="C191" s="2" t="s">
        <v>475</v>
      </c>
      <c r="D191" s="147" t="s">
        <v>476</v>
      </c>
      <c r="E191" s="148"/>
      <c r="F191" s="2" t="s">
        <v>360</v>
      </c>
      <c r="G191" s="55">
        <v>16</v>
      </c>
      <c r="H191" s="56">
        <v>0</v>
      </c>
      <c r="I191" s="55">
        <f t="shared" si="22"/>
        <v>0</v>
      </c>
      <c r="J191" s="55">
        <v>0</v>
      </c>
      <c r="K191" s="55">
        <f t="shared" si="23"/>
        <v>0</v>
      </c>
      <c r="L191" s="57" t="s">
        <v>124</v>
      </c>
      <c r="Z191" s="55">
        <f t="shared" si="24"/>
        <v>0</v>
      </c>
      <c r="AB191" s="55">
        <f t="shared" si="25"/>
        <v>0</v>
      </c>
      <c r="AC191" s="55">
        <f t="shared" si="26"/>
        <v>0</v>
      </c>
      <c r="AD191" s="55">
        <f t="shared" si="27"/>
        <v>0</v>
      </c>
      <c r="AE191" s="55">
        <f t="shared" si="28"/>
        <v>0</v>
      </c>
      <c r="AF191" s="55">
        <f t="shared" si="29"/>
        <v>0</v>
      </c>
      <c r="AG191" s="55">
        <f t="shared" si="30"/>
        <v>0</v>
      </c>
      <c r="AH191" s="55">
        <f t="shared" si="31"/>
        <v>0</v>
      </c>
      <c r="AI191" s="34" t="s">
        <v>116</v>
      </c>
      <c r="AJ191" s="55">
        <f t="shared" si="32"/>
        <v>0</v>
      </c>
      <c r="AK191" s="55">
        <f t="shared" si="33"/>
        <v>0</v>
      </c>
      <c r="AL191" s="55">
        <f t="shared" si="34"/>
        <v>0</v>
      </c>
      <c r="AN191" s="55">
        <v>21</v>
      </c>
      <c r="AO191" s="55">
        <f>H191*0</f>
        <v>0</v>
      </c>
      <c r="AP191" s="55">
        <f>H191*(1-0)</f>
        <v>0</v>
      </c>
      <c r="AQ191" s="58" t="s">
        <v>120</v>
      </c>
      <c r="AV191" s="55">
        <f t="shared" si="35"/>
        <v>0</v>
      </c>
      <c r="AW191" s="55">
        <f t="shared" si="36"/>
        <v>0</v>
      </c>
      <c r="AX191" s="55">
        <f t="shared" si="37"/>
        <v>0</v>
      </c>
      <c r="AY191" s="58" t="s">
        <v>442</v>
      </c>
      <c r="AZ191" s="58" t="s">
        <v>443</v>
      </c>
      <c r="BA191" s="34" t="s">
        <v>128</v>
      </c>
      <c r="BB191" s="67">
        <v>100133</v>
      </c>
      <c r="BC191" s="55">
        <f t="shared" si="38"/>
        <v>0</v>
      </c>
      <c r="BD191" s="55">
        <f t="shared" si="39"/>
        <v>0</v>
      </c>
      <c r="BE191" s="55">
        <v>0</v>
      </c>
      <c r="BF191" s="55">
        <f t="shared" si="40"/>
        <v>0</v>
      </c>
      <c r="BH191" s="55">
        <f t="shared" si="41"/>
        <v>0</v>
      </c>
      <c r="BI191" s="55">
        <f t="shared" si="42"/>
        <v>0</v>
      </c>
      <c r="BJ191" s="55">
        <f t="shared" si="43"/>
        <v>0</v>
      </c>
      <c r="BK191" s="55"/>
      <c r="BL191" s="55">
        <v>2222</v>
      </c>
      <c r="BW191" s="55">
        <v>21</v>
      </c>
    </row>
    <row r="192" spans="1:12" ht="27" customHeight="1">
      <c r="A192" s="59"/>
      <c r="D192" s="218" t="s">
        <v>477</v>
      </c>
      <c r="E192" s="219"/>
      <c r="F192" s="219"/>
      <c r="G192" s="219"/>
      <c r="H192" s="220"/>
      <c r="I192" s="219"/>
      <c r="J192" s="219"/>
      <c r="K192" s="219"/>
      <c r="L192" s="221"/>
    </row>
    <row r="193" spans="1:75" ht="13.5" customHeight="1">
      <c r="A193" s="1" t="s">
        <v>478</v>
      </c>
      <c r="B193" s="2" t="s">
        <v>116</v>
      </c>
      <c r="C193" s="2" t="s">
        <v>479</v>
      </c>
      <c r="D193" s="147" t="s">
        <v>480</v>
      </c>
      <c r="E193" s="148"/>
      <c r="F193" s="2" t="s">
        <v>360</v>
      </c>
      <c r="G193" s="55">
        <v>12</v>
      </c>
      <c r="H193" s="56">
        <v>0</v>
      </c>
      <c r="I193" s="55">
        <f aca="true" t="shared" si="44" ref="I193:I211">G193*H193</f>
        <v>0</v>
      </c>
      <c r="J193" s="55">
        <v>0</v>
      </c>
      <c r="K193" s="55">
        <f aca="true" t="shared" si="45" ref="K193:K211">G193*J193</f>
        <v>0</v>
      </c>
      <c r="L193" s="57" t="s">
        <v>124</v>
      </c>
      <c r="Z193" s="55">
        <f aca="true" t="shared" si="46" ref="Z193:Z211">IF(AQ193="5",BJ193,0)</f>
        <v>0</v>
      </c>
      <c r="AB193" s="55">
        <f aca="true" t="shared" si="47" ref="AB193:AB211">IF(AQ193="1",BH193,0)</f>
        <v>0</v>
      </c>
      <c r="AC193" s="55">
        <f aca="true" t="shared" si="48" ref="AC193:AC211">IF(AQ193="1",BI193,0)</f>
        <v>0</v>
      </c>
      <c r="AD193" s="55">
        <f aca="true" t="shared" si="49" ref="AD193:AD211">IF(AQ193="7",BH193,0)</f>
        <v>0</v>
      </c>
      <c r="AE193" s="55">
        <f aca="true" t="shared" si="50" ref="AE193:AE211">IF(AQ193="7",BI193,0)</f>
        <v>0</v>
      </c>
      <c r="AF193" s="55">
        <f aca="true" t="shared" si="51" ref="AF193:AF211">IF(AQ193="2",BH193,0)</f>
        <v>0</v>
      </c>
      <c r="AG193" s="55">
        <f aca="true" t="shared" si="52" ref="AG193:AG211">IF(AQ193="2",BI193,0)</f>
        <v>0</v>
      </c>
      <c r="AH193" s="55">
        <f aca="true" t="shared" si="53" ref="AH193:AH211">IF(AQ193="0",BJ193,0)</f>
        <v>0</v>
      </c>
      <c r="AI193" s="34" t="s">
        <v>116</v>
      </c>
      <c r="AJ193" s="55">
        <f aca="true" t="shared" si="54" ref="AJ193:AJ211">IF(AN193=0,I193,0)</f>
        <v>0</v>
      </c>
      <c r="AK193" s="55">
        <f aca="true" t="shared" si="55" ref="AK193:AK211">IF(AN193=12,I193,0)</f>
        <v>0</v>
      </c>
      <c r="AL193" s="55">
        <f aca="true" t="shared" si="56" ref="AL193:AL211">IF(AN193=21,I193,0)</f>
        <v>0</v>
      </c>
      <c r="AN193" s="55">
        <v>21</v>
      </c>
      <c r="AO193" s="55">
        <f>H193*0</f>
        <v>0</v>
      </c>
      <c r="AP193" s="55">
        <f>H193*(1-0)</f>
        <v>0</v>
      </c>
      <c r="AQ193" s="58" t="s">
        <v>120</v>
      </c>
      <c r="AV193" s="55">
        <f aca="true" t="shared" si="57" ref="AV193:AV211">AW193+AX193</f>
        <v>0</v>
      </c>
      <c r="AW193" s="55">
        <f aca="true" t="shared" si="58" ref="AW193:AW211">G193*AO193</f>
        <v>0</v>
      </c>
      <c r="AX193" s="55">
        <f aca="true" t="shared" si="59" ref="AX193:AX211">G193*AP193</f>
        <v>0</v>
      </c>
      <c r="AY193" s="58" t="s">
        <v>442</v>
      </c>
      <c r="AZ193" s="58" t="s">
        <v>443</v>
      </c>
      <c r="BA193" s="34" t="s">
        <v>128</v>
      </c>
      <c r="BB193" s="67">
        <v>100133</v>
      </c>
      <c r="BC193" s="55">
        <f aca="true" t="shared" si="60" ref="BC193:BC211">AW193+AX193</f>
        <v>0</v>
      </c>
      <c r="BD193" s="55">
        <f aca="true" t="shared" si="61" ref="BD193:BD211">H193/(100-BE193)*100</f>
        <v>0</v>
      </c>
      <c r="BE193" s="55">
        <v>0</v>
      </c>
      <c r="BF193" s="55">
        <f aca="true" t="shared" si="62" ref="BF193:BF211">K193</f>
        <v>0</v>
      </c>
      <c r="BH193" s="55">
        <f aca="true" t="shared" si="63" ref="BH193:BH211">G193*AO193</f>
        <v>0</v>
      </c>
      <c r="BI193" s="55">
        <f aca="true" t="shared" si="64" ref="BI193:BI211">G193*AP193</f>
        <v>0</v>
      </c>
      <c r="BJ193" s="55">
        <f aca="true" t="shared" si="65" ref="BJ193:BJ211">G193*H193</f>
        <v>0</v>
      </c>
      <c r="BK193" s="55"/>
      <c r="BL193" s="55">
        <v>2222</v>
      </c>
      <c r="BW193" s="55">
        <v>21</v>
      </c>
    </row>
    <row r="194" spans="1:75" ht="13.5" customHeight="1">
      <c r="A194" s="1" t="s">
        <v>481</v>
      </c>
      <c r="B194" s="2" t="s">
        <v>116</v>
      </c>
      <c r="C194" s="2" t="s">
        <v>482</v>
      </c>
      <c r="D194" s="147" t="s">
        <v>483</v>
      </c>
      <c r="E194" s="148"/>
      <c r="F194" s="2" t="s">
        <v>360</v>
      </c>
      <c r="G194" s="55">
        <v>8</v>
      </c>
      <c r="H194" s="56">
        <v>0</v>
      </c>
      <c r="I194" s="55">
        <f t="shared" si="44"/>
        <v>0</v>
      </c>
      <c r="J194" s="55">
        <v>0</v>
      </c>
      <c r="K194" s="55">
        <f t="shared" si="45"/>
        <v>0</v>
      </c>
      <c r="L194" s="57" t="s">
        <v>124</v>
      </c>
      <c r="Z194" s="55">
        <f t="shared" si="46"/>
        <v>0</v>
      </c>
      <c r="AB194" s="55">
        <f t="shared" si="47"/>
        <v>0</v>
      </c>
      <c r="AC194" s="55">
        <f t="shared" si="48"/>
        <v>0</v>
      </c>
      <c r="AD194" s="55">
        <f t="shared" si="49"/>
        <v>0</v>
      </c>
      <c r="AE194" s="55">
        <f t="shared" si="50"/>
        <v>0</v>
      </c>
      <c r="AF194" s="55">
        <f t="shared" si="51"/>
        <v>0</v>
      </c>
      <c r="AG194" s="55">
        <f t="shared" si="52"/>
        <v>0</v>
      </c>
      <c r="AH194" s="55">
        <f t="shared" si="53"/>
        <v>0</v>
      </c>
      <c r="AI194" s="34" t="s">
        <v>116</v>
      </c>
      <c r="AJ194" s="55">
        <f t="shared" si="54"/>
        <v>0</v>
      </c>
      <c r="AK194" s="55">
        <f t="shared" si="55"/>
        <v>0</v>
      </c>
      <c r="AL194" s="55">
        <f t="shared" si="56"/>
        <v>0</v>
      </c>
      <c r="AN194" s="55">
        <v>21</v>
      </c>
      <c r="AO194" s="55">
        <f>H194*0</f>
        <v>0</v>
      </c>
      <c r="AP194" s="55">
        <f>H194*(1-0)</f>
        <v>0</v>
      </c>
      <c r="AQ194" s="58" t="s">
        <v>120</v>
      </c>
      <c r="AV194" s="55">
        <f t="shared" si="57"/>
        <v>0</v>
      </c>
      <c r="AW194" s="55">
        <f t="shared" si="58"/>
        <v>0</v>
      </c>
      <c r="AX194" s="55">
        <f t="shared" si="59"/>
        <v>0</v>
      </c>
      <c r="AY194" s="58" t="s">
        <v>442</v>
      </c>
      <c r="AZ194" s="58" t="s">
        <v>443</v>
      </c>
      <c r="BA194" s="34" t="s">
        <v>128</v>
      </c>
      <c r="BB194" s="67">
        <v>100133</v>
      </c>
      <c r="BC194" s="55">
        <f t="shared" si="60"/>
        <v>0</v>
      </c>
      <c r="BD194" s="55">
        <f t="shared" si="61"/>
        <v>0</v>
      </c>
      <c r="BE194" s="55">
        <v>0</v>
      </c>
      <c r="BF194" s="55">
        <f t="shared" si="62"/>
        <v>0</v>
      </c>
      <c r="BH194" s="55">
        <f t="shared" si="63"/>
        <v>0</v>
      </c>
      <c r="BI194" s="55">
        <f t="shared" si="64"/>
        <v>0</v>
      </c>
      <c r="BJ194" s="55">
        <f t="shared" si="65"/>
        <v>0</v>
      </c>
      <c r="BK194" s="55"/>
      <c r="BL194" s="55">
        <v>2222</v>
      </c>
      <c r="BW194" s="55">
        <v>21</v>
      </c>
    </row>
    <row r="195" spans="1:75" ht="13.5" customHeight="1">
      <c r="A195" s="1" t="s">
        <v>484</v>
      </c>
      <c r="B195" s="2" t="s">
        <v>116</v>
      </c>
      <c r="C195" s="2" t="s">
        <v>485</v>
      </c>
      <c r="D195" s="147" t="s">
        <v>486</v>
      </c>
      <c r="E195" s="148"/>
      <c r="F195" s="2" t="s">
        <v>123</v>
      </c>
      <c r="G195" s="55">
        <v>2</v>
      </c>
      <c r="H195" s="56">
        <v>0</v>
      </c>
      <c r="I195" s="55">
        <f t="shared" si="44"/>
        <v>0</v>
      </c>
      <c r="J195" s="55">
        <v>0</v>
      </c>
      <c r="K195" s="55">
        <f t="shared" si="45"/>
        <v>0</v>
      </c>
      <c r="L195" s="57" t="s">
        <v>124</v>
      </c>
      <c r="Z195" s="55">
        <f t="shared" si="46"/>
        <v>0</v>
      </c>
      <c r="AB195" s="55">
        <f t="shared" si="47"/>
        <v>0</v>
      </c>
      <c r="AC195" s="55">
        <f t="shared" si="48"/>
        <v>0</v>
      </c>
      <c r="AD195" s="55">
        <f t="shared" si="49"/>
        <v>0</v>
      </c>
      <c r="AE195" s="55">
        <f t="shared" si="50"/>
        <v>0</v>
      </c>
      <c r="AF195" s="55">
        <f t="shared" si="51"/>
        <v>0</v>
      </c>
      <c r="AG195" s="55">
        <f t="shared" si="52"/>
        <v>0</v>
      </c>
      <c r="AH195" s="55">
        <f t="shared" si="53"/>
        <v>0</v>
      </c>
      <c r="AI195" s="34" t="s">
        <v>116</v>
      </c>
      <c r="AJ195" s="55">
        <f t="shared" si="54"/>
        <v>0</v>
      </c>
      <c r="AK195" s="55">
        <f t="shared" si="55"/>
        <v>0</v>
      </c>
      <c r="AL195" s="55">
        <f t="shared" si="56"/>
        <v>0</v>
      </c>
      <c r="AN195" s="55">
        <v>21</v>
      </c>
      <c r="AO195" s="55">
        <f>H195*0.93818002</f>
        <v>0</v>
      </c>
      <c r="AP195" s="55">
        <f>H195*(1-0.93818002)</f>
        <v>0</v>
      </c>
      <c r="AQ195" s="58" t="s">
        <v>120</v>
      </c>
      <c r="AV195" s="55">
        <f t="shared" si="57"/>
        <v>0</v>
      </c>
      <c r="AW195" s="55">
        <f t="shared" si="58"/>
        <v>0</v>
      </c>
      <c r="AX195" s="55">
        <f t="shared" si="59"/>
        <v>0</v>
      </c>
      <c r="AY195" s="58" t="s">
        <v>442</v>
      </c>
      <c r="AZ195" s="58" t="s">
        <v>443</v>
      </c>
      <c r="BA195" s="34" t="s">
        <v>128</v>
      </c>
      <c r="BB195" s="67">
        <v>100133</v>
      </c>
      <c r="BC195" s="55">
        <f t="shared" si="60"/>
        <v>0</v>
      </c>
      <c r="BD195" s="55">
        <f t="shared" si="61"/>
        <v>0</v>
      </c>
      <c r="BE195" s="55">
        <v>0</v>
      </c>
      <c r="BF195" s="55">
        <f t="shared" si="62"/>
        <v>0</v>
      </c>
      <c r="BH195" s="55">
        <f t="shared" si="63"/>
        <v>0</v>
      </c>
      <c r="BI195" s="55">
        <f t="shared" si="64"/>
        <v>0</v>
      </c>
      <c r="BJ195" s="55">
        <f t="shared" si="65"/>
        <v>0</v>
      </c>
      <c r="BK195" s="55"/>
      <c r="BL195" s="55">
        <v>2222</v>
      </c>
      <c r="BW195" s="55">
        <v>21</v>
      </c>
    </row>
    <row r="196" spans="1:75" ht="13.5" customHeight="1">
      <c r="A196" s="1" t="s">
        <v>487</v>
      </c>
      <c r="B196" s="2" t="s">
        <v>116</v>
      </c>
      <c r="C196" s="2" t="s">
        <v>488</v>
      </c>
      <c r="D196" s="147" t="s">
        <v>489</v>
      </c>
      <c r="E196" s="148"/>
      <c r="F196" s="2" t="s">
        <v>123</v>
      </c>
      <c r="G196" s="55">
        <v>2</v>
      </c>
      <c r="H196" s="56">
        <v>0</v>
      </c>
      <c r="I196" s="55">
        <f t="shared" si="44"/>
        <v>0</v>
      </c>
      <c r="J196" s="55">
        <v>0</v>
      </c>
      <c r="K196" s="55">
        <f t="shared" si="45"/>
        <v>0</v>
      </c>
      <c r="L196" s="57" t="s">
        <v>124</v>
      </c>
      <c r="Z196" s="55">
        <f t="shared" si="46"/>
        <v>0</v>
      </c>
      <c r="AB196" s="55">
        <f t="shared" si="47"/>
        <v>0</v>
      </c>
      <c r="AC196" s="55">
        <f t="shared" si="48"/>
        <v>0</v>
      </c>
      <c r="AD196" s="55">
        <f t="shared" si="49"/>
        <v>0</v>
      </c>
      <c r="AE196" s="55">
        <f t="shared" si="50"/>
        <v>0</v>
      </c>
      <c r="AF196" s="55">
        <f t="shared" si="51"/>
        <v>0</v>
      </c>
      <c r="AG196" s="55">
        <f t="shared" si="52"/>
        <v>0</v>
      </c>
      <c r="AH196" s="55">
        <f t="shared" si="53"/>
        <v>0</v>
      </c>
      <c r="AI196" s="34" t="s">
        <v>116</v>
      </c>
      <c r="AJ196" s="55">
        <f t="shared" si="54"/>
        <v>0</v>
      </c>
      <c r="AK196" s="55">
        <f t="shared" si="55"/>
        <v>0</v>
      </c>
      <c r="AL196" s="55">
        <f t="shared" si="56"/>
        <v>0</v>
      </c>
      <c r="AN196" s="55">
        <v>21</v>
      </c>
      <c r="AO196" s="55">
        <f>H196*0.786019971</f>
        <v>0</v>
      </c>
      <c r="AP196" s="55">
        <f>H196*(1-0.786019971)</f>
        <v>0</v>
      </c>
      <c r="AQ196" s="58" t="s">
        <v>120</v>
      </c>
      <c r="AV196" s="55">
        <f t="shared" si="57"/>
        <v>0</v>
      </c>
      <c r="AW196" s="55">
        <f t="shared" si="58"/>
        <v>0</v>
      </c>
      <c r="AX196" s="55">
        <f t="shared" si="59"/>
        <v>0</v>
      </c>
      <c r="AY196" s="58" t="s">
        <v>442</v>
      </c>
      <c r="AZ196" s="58" t="s">
        <v>443</v>
      </c>
      <c r="BA196" s="34" t="s">
        <v>128</v>
      </c>
      <c r="BB196" s="67">
        <v>100133</v>
      </c>
      <c r="BC196" s="55">
        <f t="shared" si="60"/>
        <v>0</v>
      </c>
      <c r="BD196" s="55">
        <f t="shared" si="61"/>
        <v>0</v>
      </c>
      <c r="BE196" s="55">
        <v>0</v>
      </c>
      <c r="BF196" s="55">
        <f t="shared" si="62"/>
        <v>0</v>
      </c>
      <c r="BH196" s="55">
        <f t="shared" si="63"/>
        <v>0</v>
      </c>
      <c r="BI196" s="55">
        <f t="shared" si="64"/>
        <v>0</v>
      </c>
      <c r="BJ196" s="55">
        <f t="shared" si="65"/>
        <v>0</v>
      </c>
      <c r="BK196" s="55"/>
      <c r="BL196" s="55">
        <v>2222</v>
      </c>
      <c r="BW196" s="55">
        <v>21</v>
      </c>
    </row>
    <row r="197" spans="1:75" ht="13.5" customHeight="1">
      <c r="A197" s="1" t="s">
        <v>490</v>
      </c>
      <c r="B197" s="2" t="s">
        <v>116</v>
      </c>
      <c r="C197" s="2" t="s">
        <v>491</v>
      </c>
      <c r="D197" s="147" t="s">
        <v>492</v>
      </c>
      <c r="E197" s="148"/>
      <c r="F197" s="2" t="s">
        <v>123</v>
      </c>
      <c r="G197" s="55">
        <v>2</v>
      </c>
      <c r="H197" s="56">
        <v>0</v>
      </c>
      <c r="I197" s="55">
        <f t="shared" si="44"/>
        <v>0</v>
      </c>
      <c r="J197" s="55">
        <v>0</v>
      </c>
      <c r="K197" s="55">
        <f t="shared" si="45"/>
        <v>0</v>
      </c>
      <c r="L197" s="57" t="s">
        <v>124</v>
      </c>
      <c r="Z197" s="55">
        <f t="shared" si="46"/>
        <v>0</v>
      </c>
      <c r="AB197" s="55">
        <f t="shared" si="47"/>
        <v>0</v>
      </c>
      <c r="AC197" s="55">
        <f t="shared" si="48"/>
        <v>0</v>
      </c>
      <c r="AD197" s="55">
        <f t="shared" si="49"/>
        <v>0</v>
      </c>
      <c r="AE197" s="55">
        <f t="shared" si="50"/>
        <v>0</v>
      </c>
      <c r="AF197" s="55">
        <f t="shared" si="51"/>
        <v>0</v>
      </c>
      <c r="AG197" s="55">
        <f t="shared" si="52"/>
        <v>0</v>
      </c>
      <c r="AH197" s="55">
        <f t="shared" si="53"/>
        <v>0</v>
      </c>
      <c r="AI197" s="34" t="s">
        <v>116</v>
      </c>
      <c r="AJ197" s="55">
        <f t="shared" si="54"/>
        <v>0</v>
      </c>
      <c r="AK197" s="55">
        <f t="shared" si="55"/>
        <v>0</v>
      </c>
      <c r="AL197" s="55">
        <f t="shared" si="56"/>
        <v>0</v>
      </c>
      <c r="AN197" s="55">
        <v>21</v>
      </c>
      <c r="AO197" s="55">
        <f>H197*0.692532343</f>
        <v>0</v>
      </c>
      <c r="AP197" s="55">
        <f>H197*(1-0.692532343)</f>
        <v>0</v>
      </c>
      <c r="AQ197" s="58" t="s">
        <v>120</v>
      </c>
      <c r="AV197" s="55">
        <f t="shared" si="57"/>
        <v>0</v>
      </c>
      <c r="AW197" s="55">
        <f t="shared" si="58"/>
        <v>0</v>
      </c>
      <c r="AX197" s="55">
        <f t="shared" si="59"/>
        <v>0</v>
      </c>
      <c r="AY197" s="58" t="s">
        <v>442</v>
      </c>
      <c r="AZ197" s="58" t="s">
        <v>443</v>
      </c>
      <c r="BA197" s="34" t="s">
        <v>128</v>
      </c>
      <c r="BB197" s="67">
        <v>100133</v>
      </c>
      <c r="BC197" s="55">
        <f t="shared" si="60"/>
        <v>0</v>
      </c>
      <c r="BD197" s="55">
        <f t="shared" si="61"/>
        <v>0</v>
      </c>
      <c r="BE197" s="55">
        <v>0</v>
      </c>
      <c r="BF197" s="55">
        <f t="shared" si="62"/>
        <v>0</v>
      </c>
      <c r="BH197" s="55">
        <f t="shared" si="63"/>
        <v>0</v>
      </c>
      <c r="BI197" s="55">
        <f t="shared" si="64"/>
        <v>0</v>
      </c>
      <c r="BJ197" s="55">
        <f t="shared" si="65"/>
        <v>0</v>
      </c>
      <c r="BK197" s="55"/>
      <c r="BL197" s="55">
        <v>2222</v>
      </c>
      <c r="BW197" s="55">
        <v>21</v>
      </c>
    </row>
    <row r="198" spans="1:75" ht="13.5" customHeight="1">
      <c r="A198" s="1" t="s">
        <v>493</v>
      </c>
      <c r="B198" s="2" t="s">
        <v>116</v>
      </c>
      <c r="C198" s="2" t="s">
        <v>494</v>
      </c>
      <c r="D198" s="147" t="s">
        <v>495</v>
      </c>
      <c r="E198" s="148"/>
      <c r="F198" s="2" t="s">
        <v>123</v>
      </c>
      <c r="G198" s="55">
        <v>4</v>
      </c>
      <c r="H198" s="56">
        <v>0</v>
      </c>
      <c r="I198" s="55">
        <f t="shared" si="44"/>
        <v>0</v>
      </c>
      <c r="J198" s="55">
        <v>0</v>
      </c>
      <c r="K198" s="55">
        <f t="shared" si="45"/>
        <v>0</v>
      </c>
      <c r="L198" s="57" t="s">
        <v>124</v>
      </c>
      <c r="Z198" s="55">
        <f t="shared" si="46"/>
        <v>0</v>
      </c>
      <c r="AB198" s="55">
        <f t="shared" si="47"/>
        <v>0</v>
      </c>
      <c r="AC198" s="55">
        <f t="shared" si="48"/>
        <v>0</v>
      </c>
      <c r="AD198" s="55">
        <f t="shared" si="49"/>
        <v>0</v>
      </c>
      <c r="AE198" s="55">
        <f t="shared" si="50"/>
        <v>0</v>
      </c>
      <c r="AF198" s="55">
        <f t="shared" si="51"/>
        <v>0</v>
      </c>
      <c r="AG198" s="55">
        <f t="shared" si="52"/>
        <v>0</v>
      </c>
      <c r="AH198" s="55">
        <f t="shared" si="53"/>
        <v>0</v>
      </c>
      <c r="AI198" s="34" t="s">
        <v>116</v>
      </c>
      <c r="AJ198" s="55">
        <f t="shared" si="54"/>
        <v>0</v>
      </c>
      <c r="AK198" s="55">
        <f t="shared" si="55"/>
        <v>0</v>
      </c>
      <c r="AL198" s="55">
        <f t="shared" si="56"/>
        <v>0</v>
      </c>
      <c r="AN198" s="55">
        <v>21</v>
      </c>
      <c r="AO198" s="55">
        <f>H198*0.794520548</f>
        <v>0</v>
      </c>
      <c r="AP198" s="55">
        <f>H198*(1-0.794520548)</f>
        <v>0</v>
      </c>
      <c r="AQ198" s="58" t="s">
        <v>120</v>
      </c>
      <c r="AV198" s="55">
        <f t="shared" si="57"/>
        <v>0</v>
      </c>
      <c r="AW198" s="55">
        <f t="shared" si="58"/>
        <v>0</v>
      </c>
      <c r="AX198" s="55">
        <f t="shared" si="59"/>
        <v>0</v>
      </c>
      <c r="AY198" s="58" t="s">
        <v>442</v>
      </c>
      <c r="AZ198" s="58" t="s">
        <v>443</v>
      </c>
      <c r="BA198" s="34" t="s">
        <v>128</v>
      </c>
      <c r="BB198" s="67">
        <v>100133</v>
      </c>
      <c r="BC198" s="55">
        <f t="shared" si="60"/>
        <v>0</v>
      </c>
      <c r="BD198" s="55">
        <f t="shared" si="61"/>
        <v>0</v>
      </c>
      <c r="BE198" s="55">
        <v>0</v>
      </c>
      <c r="BF198" s="55">
        <f t="shared" si="62"/>
        <v>0</v>
      </c>
      <c r="BH198" s="55">
        <f t="shared" si="63"/>
        <v>0</v>
      </c>
      <c r="BI198" s="55">
        <f t="shared" si="64"/>
        <v>0</v>
      </c>
      <c r="BJ198" s="55">
        <f t="shared" si="65"/>
        <v>0</v>
      </c>
      <c r="BK198" s="55"/>
      <c r="BL198" s="55">
        <v>2222</v>
      </c>
      <c r="BW198" s="55">
        <v>21</v>
      </c>
    </row>
    <row r="199" spans="1:75" ht="13.5" customHeight="1">
      <c r="A199" s="1" t="s">
        <v>496</v>
      </c>
      <c r="B199" s="2" t="s">
        <v>116</v>
      </c>
      <c r="C199" s="2" t="s">
        <v>497</v>
      </c>
      <c r="D199" s="147" t="s">
        <v>498</v>
      </c>
      <c r="E199" s="148"/>
      <c r="F199" s="2" t="s">
        <v>123</v>
      </c>
      <c r="G199" s="55">
        <v>100</v>
      </c>
      <c r="H199" s="56">
        <v>0</v>
      </c>
      <c r="I199" s="55">
        <f t="shared" si="44"/>
        <v>0</v>
      </c>
      <c r="J199" s="55">
        <v>0</v>
      </c>
      <c r="K199" s="55">
        <f t="shared" si="45"/>
        <v>0</v>
      </c>
      <c r="L199" s="57" t="s">
        <v>124</v>
      </c>
      <c r="Z199" s="55">
        <f t="shared" si="46"/>
        <v>0</v>
      </c>
      <c r="AB199" s="55">
        <f t="shared" si="47"/>
        <v>0</v>
      </c>
      <c r="AC199" s="55">
        <f t="shared" si="48"/>
        <v>0</v>
      </c>
      <c r="AD199" s="55">
        <f t="shared" si="49"/>
        <v>0</v>
      </c>
      <c r="AE199" s="55">
        <f t="shared" si="50"/>
        <v>0</v>
      </c>
      <c r="AF199" s="55">
        <f t="shared" si="51"/>
        <v>0</v>
      </c>
      <c r="AG199" s="55">
        <f t="shared" si="52"/>
        <v>0</v>
      </c>
      <c r="AH199" s="55">
        <f t="shared" si="53"/>
        <v>0</v>
      </c>
      <c r="AI199" s="34" t="s">
        <v>116</v>
      </c>
      <c r="AJ199" s="55">
        <f t="shared" si="54"/>
        <v>0</v>
      </c>
      <c r="AK199" s="55">
        <f t="shared" si="55"/>
        <v>0</v>
      </c>
      <c r="AL199" s="55">
        <f t="shared" si="56"/>
        <v>0</v>
      </c>
      <c r="AN199" s="55">
        <v>21</v>
      </c>
      <c r="AO199" s="55">
        <f>H199*0.554764025</f>
        <v>0</v>
      </c>
      <c r="AP199" s="55">
        <f>H199*(1-0.554764025)</f>
        <v>0</v>
      </c>
      <c r="AQ199" s="58" t="s">
        <v>120</v>
      </c>
      <c r="AV199" s="55">
        <f t="shared" si="57"/>
        <v>0</v>
      </c>
      <c r="AW199" s="55">
        <f t="shared" si="58"/>
        <v>0</v>
      </c>
      <c r="AX199" s="55">
        <f t="shared" si="59"/>
        <v>0</v>
      </c>
      <c r="AY199" s="58" t="s">
        <v>442</v>
      </c>
      <c r="AZ199" s="58" t="s">
        <v>443</v>
      </c>
      <c r="BA199" s="34" t="s">
        <v>128</v>
      </c>
      <c r="BB199" s="67">
        <v>100133</v>
      </c>
      <c r="BC199" s="55">
        <f t="shared" si="60"/>
        <v>0</v>
      </c>
      <c r="BD199" s="55">
        <f t="shared" si="61"/>
        <v>0</v>
      </c>
      <c r="BE199" s="55">
        <v>0</v>
      </c>
      <c r="BF199" s="55">
        <f t="shared" si="62"/>
        <v>0</v>
      </c>
      <c r="BH199" s="55">
        <f t="shared" si="63"/>
        <v>0</v>
      </c>
      <c r="BI199" s="55">
        <f t="shared" si="64"/>
        <v>0</v>
      </c>
      <c r="BJ199" s="55">
        <f t="shared" si="65"/>
        <v>0</v>
      </c>
      <c r="BK199" s="55"/>
      <c r="BL199" s="55">
        <v>2222</v>
      </c>
      <c r="BW199" s="55">
        <v>21</v>
      </c>
    </row>
    <row r="200" spans="1:75" ht="13.5" customHeight="1">
      <c r="A200" s="1" t="s">
        <v>499</v>
      </c>
      <c r="B200" s="2" t="s">
        <v>116</v>
      </c>
      <c r="C200" s="2" t="s">
        <v>500</v>
      </c>
      <c r="D200" s="147" t="s">
        <v>501</v>
      </c>
      <c r="E200" s="148"/>
      <c r="F200" s="2" t="s">
        <v>123</v>
      </c>
      <c r="G200" s="55">
        <v>4</v>
      </c>
      <c r="H200" s="56">
        <v>0</v>
      </c>
      <c r="I200" s="55">
        <f t="shared" si="44"/>
        <v>0</v>
      </c>
      <c r="J200" s="55">
        <v>0</v>
      </c>
      <c r="K200" s="55">
        <f t="shared" si="45"/>
        <v>0</v>
      </c>
      <c r="L200" s="57" t="s">
        <v>124</v>
      </c>
      <c r="Z200" s="55">
        <f t="shared" si="46"/>
        <v>0</v>
      </c>
      <c r="AB200" s="55">
        <f t="shared" si="47"/>
        <v>0</v>
      </c>
      <c r="AC200" s="55">
        <f t="shared" si="48"/>
        <v>0</v>
      </c>
      <c r="AD200" s="55">
        <f t="shared" si="49"/>
        <v>0</v>
      </c>
      <c r="AE200" s="55">
        <f t="shared" si="50"/>
        <v>0</v>
      </c>
      <c r="AF200" s="55">
        <f t="shared" si="51"/>
        <v>0</v>
      </c>
      <c r="AG200" s="55">
        <f t="shared" si="52"/>
        <v>0</v>
      </c>
      <c r="AH200" s="55">
        <f t="shared" si="53"/>
        <v>0</v>
      </c>
      <c r="AI200" s="34" t="s">
        <v>116</v>
      </c>
      <c r="AJ200" s="55">
        <f t="shared" si="54"/>
        <v>0</v>
      </c>
      <c r="AK200" s="55">
        <f t="shared" si="55"/>
        <v>0</v>
      </c>
      <c r="AL200" s="55">
        <f t="shared" si="56"/>
        <v>0</v>
      </c>
      <c r="AN200" s="55">
        <v>21</v>
      </c>
      <c r="AO200" s="55">
        <f>H200*0.676549865</f>
        <v>0</v>
      </c>
      <c r="AP200" s="55">
        <f>H200*(1-0.676549865)</f>
        <v>0</v>
      </c>
      <c r="AQ200" s="58" t="s">
        <v>120</v>
      </c>
      <c r="AV200" s="55">
        <f t="shared" si="57"/>
        <v>0</v>
      </c>
      <c r="AW200" s="55">
        <f t="shared" si="58"/>
        <v>0</v>
      </c>
      <c r="AX200" s="55">
        <f t="shared" si="59"/>
        <v>0</v>
      </c>
      <c r="AY200" s="58" t="s">
        <v>442</v>
      </c>
      <c r="AZ200" s="58" t="s">
        <v>443</v>
      </c>
      <c r="BA200" s="34" t="s">
        <v>128</v>
      </c>
      <c r="BB200" s="67">
        <v>100133</v>
      </c>
      <c r="BC200" s="55">
        <f t="shared" si="60"/>
        <v>0</v>
      </c>
      <c r="BD200" s="55">
        <f t="shared" si="61"/>
        <v>0</v>
      </c>
      <c r="BE200" s="55">
        <v>0</v>
      </c>
      <c r="BF200" s="55">
        <f t="shared" si="62"/>
        <v>0</v>
      </c>
      <c r="BH200" s="55">
        <f t="shared" si="63"/>
        <v>0</v>
      </c>
      <c r="BI200" s="55">
        <f t="shared" si="64"/>
        <v>0</v>
      </c>
      <c r="BJ200" s="55">
        <f t="shared" si="65"/>
        <v>0</v>
      </c>
      <c r="BK200" s="55"/>
      <c r="BL200" s="55">
        <v>2222</v>
      </c>
      <c r="BW200" s="55">
        <v>21</v>
      </c>
    </row>
    <row r="201" spans="1:75" ht="13.5" customHeight="1">
      <c r="A201" s="1" t="s">
        <v>502</v>
      </c>
      <c r="B201" s="2" t="s">
        <v>116</v>
      </c>
      <c r="C201" s="2" t="s">
        <v>503</v>
      </c>
      <c r="D201" s="147" t="s">
        <v>504</v>
      </c>
      <c r="E201" s="148"/>
      <c r="F201" s="2" t="s">
        <v>123</v>
      </c>
      <c r="G201" s="55">
        <v>60</v>
      </c>
      <c r="H201" s="56">
        <v>0</v>
      </c>
      <c r="I201" s="55">
        <f t="shared" si="44"/>
        <v>0</v>
      </c>
      <c r="J201" s="55">
        <v>0</v>
      </c>
      <c r="K201" s="55">
        <f t="shared" si="45"/>
        <v>0</v>
      </c>
      <c r="L201" s="57" t="s">
        <v>124</v>
      </c>
      <c r="Z201" s="55">
        <f t="shared" si="46"/>
        <v>0</v>
      </c>
      <c r="AB201" s="55">
        <f t="shared" si="47"/>
        <v>0</v>
      </c>
      <c r="AC201" s="55">
        <f t="shared" si="48"/>
        <v>0</v>
      </c>
      <c r="AD201" s="55">
        <f t="shared" si="49"/>
        <v>0</v>
      </c>
      <c r="AE201" s="55">
        <f t="shared" si="50"/>
        <v>0</v>
      </c>
      <c r="AF201" s="55">
        <f t="shared" si="51"/>
        <v>0</v>
      </c>
      <c r="AG201" s="55">
        <f t="shared" si="52"/>
        <v>0</v>
      </c>
      <c r="AH201" s="55">
        <f t="shared" si="53"/>
        <v>0</v>
      </c>
      <c r="AI201" s="34" t="s">
        <v>116</v>
      </c>
      <c r="AJ201" s="55">
        <f t="shared" si="54"/>
        <v>0</v>
      </c>
      <c r="AK201" s="55">
        <f t="shared" si="55"/>
        <v>0</v>
      </c>
      <c r="AL201" s="55">
        <f t="shared" si="56"/>
        <v>0</v>
      </c>
      <c r="AN201" s="55">
        <v>21</v>
      </c>
      <c r="AO201" s="55">
        <f>H201*0.425837321</f>
        <v>0</v>
      </c>
      <c r="AP201" s="55">
        <f>H201*(1-0.425837321)</f>
        <v>0</v>
      </c>
      <c r="AQ201" s="58" t="s">
        <v>120</v>
      </c>
      <c r="AV201" s="55">
        <f t="shared" si="57"/>
        <v>0</v>
      </c>
      <c r="AW201" s="55">
        <f t="shared" si="58"/>
        <v>0</v>
      </c>
      <c r="AX201" s="55">
        <f t="shared" si="59"/>
        <v>0</v>
      </c>
      <c r="AY201" s="58" t="s">
        <v>442</v>
      </c>
      <c r="AZ201" s="58" t="s">
        <v>443</v>
      </c>
      <c r="BA201" s="34" t="s">
        <v>128</v>
      </c>
      <c r="BB201" s="67">
        <v>100133</v>
      </c>
      <c r="BC201" s="55">
        <f t="shared" si="60"/>
        <v>0</v>
      </c>
      <c r="BD201" s="55">
        <f t="shared" si="61"/>
        <v>0</v>
      </c>
      <c r="BE201" s="55">
        <v>0</v>
      </c>
      <c r="BF201" s="55">
        <f t="shared" si="62"/>
        <v>0</v>
      </c>
      <c r="BH201" s="55">
        <f t="shared" si="63"/>
        <v>0</v>
      </c>
      <c r="BI201" s="55">
        <f t="shared" si="64"/>
        <v>0</v>
      </c>
      <c r="BJ201" s="55">
        <f t="shared" si="65"/>
        <v>0</v>
      </c>
      <c r="BK201" s="55"/>
      <c r="BL201" s="55">
        <v>2222</v>
      </c>
      <c r="BW201" s="55">
        <v>21</v>
      </c>
    </row>
    <row r="202" spans="1:75" ht="13.5" customHeight="1">
      <c r="A202" s="1" t="s">
        <v>505</v>
      </c>
      <c r="B202" s="2" t="s">
        <v>116</v>
      </c>
      <c r="C202" s="2" t="s">
        <v>506</v>
      </c>
      <c r="D202" s="147" t="s">
        <v>507</v>
      </c>
      <c r="E202" s="148"/>
      <c r="F202" s="2" t="s">
        <v>123</v>
      </c>
      <c r="G202" s="55">
        <v>10</v>
      </c>
      <c r="H202" s="56">
        <v>0</v>
      </c>
      <c r="I202" s="55">
        <f t="shared" si="44"/>
        <v>0</v>
      </c>
      <c r="J202" s="55">
        <v>0</v>
      </c>
      <c r="K202" s="55">
        <f t="shared" si="45"/>
        <v>0</v>
      </c>
      <c r="L202" s="57" t="s">
        <v>124</v>
      </c>
      <c r="Z202" s="55">
        <f t="shared" si="46"/>
        <v>0</v>
      </c>
      <c r="AB202" s="55">
        <f t="shared" si="47"/>
        <v>0</v>
      </c>
      <c r="AC202" s="55">
        <f t="shared" si="48"/>
        <v>0</v>
      </c>
      <c r="AD202" s="55">
        <f t="shared" si="49"/>
        <v>0</v>
      </c>
      <c r="AE202" s="55">
        <f t="shared" si="50"/>
        <v>0</v>
      </c>
      <c r="AF202" s="55">
        <f t="shared" si="51"/>
        <v>0</v>
      </c>
      <c r="AG202" s="55">
        <f t="shared" si="52"/>
        <v>0</v>
      </c>
      <c r="AH202" s="55">
        <f t="shared" si="53"/>
        <v>0</v>
      </c>
      <c r="AI202" s="34" t="s">
        <v>116</v>
      </c>
      <c r="AJ202" s="55">
        <f t="shared" si="54"/>
        <v>0</v>
      </c>
      <c r="AK202" s="55">
        <f t="shared" si="55"/>
        <v>0</v>
      </c>
      <c r="AL202" s="55">
        <f t="shared" si="56"/>
        <v>0</v>
      </c>
      <c r="AN202" s="55">
        <v>21</v>
      </c>
      <c r="AO202" s="55">
        <f>H202*0.417475728</f>
        <v>0</v>
      </c>
      <c r="AP202" s="55">
        <f>H202*(1-0.417475728)</f>
        <v>0</v>
      </c>
      <c r="AQ202" s="58" t="s">
        <v>120</v>
      </c>
      <c r="AV202" s="55">
        <f t="shared" si="57"/>
        <v>0</v>
      </c>
      <c r="AW202" s="55">
        <f t="shared" si="58"/>
        <v>0</v>
      </c>
      <c r="AX202" s="55">
        <f t="shared" si="59"/>
        <v>0</v>
      </c>
      <c r="AY202" s="58" t="s">
        <v>442</v>
      </c>
      <c r="AZ202" s="58" t="s">
        <v>443</v>
      </c>
      <c r="BA202" s="34" t="s">
        <v>128</v>
      </c>
      <c r="BB202" s="67">
        <v>100133</v>
      </c>
      <c r="BC202" s="55">
        <f t="shared" si="60"/>
        <v>0</v>
      </c>
      <c r="BD202" s="55">
        <f t="shared" si="61"/>
        <v>0</v>
      </c>
      <c r="BE202" s="55">
        <v>0</v>
      </c>
      <c r="BF202" s="55">
        <f t="shared" si="62"/>
        <v>0</v>
      </c>
      <c r="BH202" s="55">
        <f t="shared" si="63"/>
        <v>0</v>
      </c>
      <c r="BI202" s="55">
        <f t="shared" si="64"/>
        <v>0</v>
      </c>
      <c r="BJ202" s="55">
        <f t="shared" si="65"/>
        <v>0</v>
      </c>
      <c r="BK202" s="55"/>
      <c r="BL202" s="55">
        <v>2222</v>
      </c>
      <c r="BW202" s="55">
        <v>21</v>
      </c>
    </row>
    <row r="203" spans="1:75" ht="13.5" customHeight="1">
      <c r="A203" s="1" t="s">
        <v>508</v>
      </c>
      <c r="B203" s="2" t="s">
        <v>116</v>
      </c>
      <c r="C203" s="2" t="s">
        <v>509</v>
      </c>
      <c r="D203" s="147" t="s">
        <v>510</v>
      </c>
      <c r="E203" s="148"/>
      <c r="F203" s="2" t="s">
        <v>123</v>
      </c>
      <c r="G203" s="55">
        <v>2</v>
      </c>
      <c r="H203" s="56">
        <v>0</v>
      </c>
      <c r="I203" s="55">
        <f t="shared" si="44"/>
        <v>0</v>
      </c>
      <c r="J203" s="55">
        <v>0</v>
      </c>
      <c r="K203" s="55">
        <f t="shared" si="45"/>
        <v>0</v>
      </c>
      <c r="L203" s="57" t="s">
        <v>124</v>
      </c>
      <c r="Z203" s="55">
        <f t="shared" si="46"/>
        <v>0</v>
      </c>
      <c r="AB203" s="55">
        <f t="shared" si="47"/>
        <v>0</v>
      </c>
      <c r="AC203" s="55">
        <f t="shared" si="48"/>
        <v>0</v>
      </c>
      <c r="AD203" s="55">
        <f t="shared" si="49"/>
        <v>0</v>
      </c>
      <c r="AE203" s="55">
        <f t="shared" si="50"/>
        <v>0</v>
      </c>
      <c r="AF203" s="55">
        <f t="shared" si="51"/>
        <v>0</v>
      </c>
      <c r="AG203" s="55">
        <f t="shared" si="52"/>
        <v>0</v>
      </c>
      <c r="AH203" s="55">
        <f t="shared" si="53"/>
        <v>0</v>
      </c>
      <c r="AI203" s="34" t="s">
        <v>116</v>
      </c>
      <c r="AJ203" s="55">
        <f t="shared" si="54"/>
        <v>0</v>
      </c>
      <c r="AK203" s="55">
        <f t="shared" si="55"/>
        <v>0</v>
      </c>
      <c r="AL203" s="55">
        <f t="shared" si="56"/>
        <v>0</v>
      </c>
      <c r="AN203" s="55">
        <v>21</v>
      </c>
      <c r="AO203" s="55">
        <f>H203*0.740811093</f>
        <v>0</v>
      </c>
      <c r="AP203" s="55">
        <f>H203*(1-0.740811093)</f>
        <v>0</v>
      </c>
      <c r="AQ203" s="58" t="s">
        <v>120</v>
      </c>
      <c r="AV203" s="55">
        <f t="shared" si="57"/>
        <v>0</v>
      </c>
      <c r="AW203" s="55">
        <f t="shared" si="58"/>
        <v>0</v>
      </c>
      <c r="AX203" s="55">
        <f t="shared" si="59"/>
        <v>0</v>
      </c>
      <c r="AY203" s="58" t="s">
        <v>442</v>
      </c>
      <c r="AZ203" s="58" t="s">
        <v>443</v>
      </c>
      <c r="BA203" s="34" t="s">
        <v>128</v>
      </c>
      <c r="BB203" s="67">
        <v>100133</v>
      </c>
      <c r="BC203" s="55">
        <f t="shared" si="60"/>
        <v>0</v>
      </c>
      <c r="BD203" s="55">
        <f t="shared" si="61"/>
        <v>0</v>
      </c>
      <c r="BE203" s="55">
        <v>0</v>
      </c>
      <c r="BF203" s="55">
        <f t="shared" si="62"/>
        <v>0</v>
      </c>
      <c r="BH203" s="55">
        <f t="shared" si="63"/>
        <v>0</v>
      </c>
      <c r="BI203" s="55">
        <f t="shared" si="64"/>
        <v>0</v>
      </c>
      <c r="BJ203" s="55">
        <f t="shared" si="65"/>
        <v>0</v>
      </c>
      <c r="BK203" s="55"/>
      <c r="BL203" s="55">
        <v>2222</v>
      </c>
      <c r="BW203" s="55">
        <v>21</v>
      </c>
    </row>
    <row r="204" spans="1:75" ht="13.5" customHeight="1">
      <c r="A204" s="1" t="s">
        <v>511</v>
      </c>
      <c r="B204" s="2" t="s">
        <v>116</v>
      </c>
      <c r="C204" s="2" t="s">
        <v>512</v>
      </c>
      <c r="D204" s="147" t="s">
        <v>513</v>
      </c>
      <c r="E204" s="148"/>
      <c r="F204" s="2" t="s">
        <v>123</v>
      </c>
      <c r="G204" s="55">
        <v>4</v>
      </c>
      <c r="H204" s="56">
        <v>0</v>
      </c>
      <c r="I204" s="55">
        <f t="shared" si="44"/>
        <v>0</v>
      </c>
      <c r="J204" s="55">
        <v>0</v>
      </c>
      <c r="K204" s="55">
        <f t="shared" si="45"/>
        <v>0</v>
      </c>
      <c r="L204" s="57" t="s">
        <v>124</v>
      </c>
      <c r="Z204" s="55">
        <f t="shared" si="46"/>
        <v>0</v>
      </c>
      <c r="AB204" s="55">
        <f t="shared" si="47"/>
        <v>0</v>
      </c>
      <c r="AC204" s="55">
        <f t="shared" si="48"/>
        <v>0</v>
      </c>
      <c r="AD204" s="55">
        <f t="shared" si="49"/>
        <v>0</v>
      </c>
      <c r="AE204" s="55">
        <f t="shared" si="50"/>
        <v>0</v>
      </c>
      <c r="AF204" s="55">
        <f t="shared" si="51"/>
        <v>0</v>
      </c>
      <c r="AG204" s="55">
        <f t="shared" si="52"/>
        <v>0</v>
      </c>
      <c r="AH204" s="55">
        <f t="shared" si="53"/>
        <v>0</v>
      </c>
      <c r="AI204" s="34" t="s">
        <v>116</v>
      </c>
      <c r="AJ204" s="55">
        <f t="shared" si="54"/>
        <v>0</v>
      </c>
      <c r="AK204" s="55">
        <f t="shared" si="55"/>
        <v>0</v>
      </c>
      <c r="AL204" s="55">
        <f t="shared" si="56"/>
        <v>0</v>
      </c>
      <c r="AN204" s="55">
        <v>21</v>
      </c>
      <c r="AO204" s="55">
        <f>H204*0.660377358</f>
        <v>0</v>
      </c>
      <c r="AP204" s="55">
        <f>H204*(1-0.660377358)</f>
        <v>0</v>
      </c>
      <c r="AQ204" s="58" t="s">
        <v>120</v>
      </c>
      <c r="AV204" s="55">
        <f t="shared" si="57"/>
        <v>0</v>
      </c>
      <c r="AW204" s="55">
        <f t="shared" si="58"/>
        <v>0</v>
      </c>
      <c r="AX204" s="55">
        <f t="shared" si="59"/>
        <v>0</v>
      </c>
      <c r="AY204" s="58" t="s">
        <v>442</v>
      </c>
      <c r="AZ204" s="58" t="s">
        <v>443</v>
      </c>
      <c r="BA204" s="34" t="s">
        <v>128</v>
      </c>
      <c r="BB204" s="67">
        <v>100133</v>
      </c>
      <c r="BC204" s="55">
        <f t="shared" si="60"/>
        <v>0</v>
      </c>
      <c r="BD204" s="55">
        <f t="shared" si="61"/>
        <v>0</v>
      </c>
      <c r="BE204" s="55">
        <v>0</v>
      </c>
      <c r="BF204" s="55">
        <f t="shared" si="62"/>
        <v>0</v>
      </c>
      <c r="BH204" s="55">
        <f t="shared" si="63"/>
        <v>0</v>
      </c>
      <c r="BI204" s="55">
        <f t="shared" si="64"/>
        <v>0</v>
      </c>
      <c r="BJ204" s="55">
        <f t="shared" si="65"/>
        <v>0</v>
      </c>
      <c r="BK204" s="55"/>
      <c r="BL204" s="55">
        <v>2222</v>
      </c>
      <c r="BW204" s="55">
        <v>21</v>
      </c>
    </row>
    <row r="205" spans="1:75" ht="13.5" customHeight="1">
      <c r="A205" s="1" t="s">
        <v>514</v>
      </c>
      <c r="B205" s="2" t="s">
        <v>116</v>
      </c>
      <c r="C205" s="2" t="s">
        <v>515</v>
      </c>
      <c r="D205" s="147" t="s">
        <v>516</v>
      </c>
      <c r="E205" s="148"/>
      <c r="F205" s="2" t="s">
        <v>123</v>
      </c>
      <c r="G205" s="55">
        <v>48</v>
      </c>
      <c r="H205" s="56">
        <v>0</v>
      </c>
      <c r="I205" s="55">
        <f t="shared" si="44"/>
        <v>0</v>
      </c>
      <c r="J205" s="55">
        <v>0</v>
      </c>
      <c r="K205" s="55">
        <f t="shared" si="45"/>
        <v>0</v>
      </c>
      <c r="L205" s="57" t="s">
        <v>124</v>
      </c>
      <c r="Z205" s="55">
        <f t="shared" si="46"/>
        <v>0</v>
      </c>
      <c r="AB205" s="55">
        <f t="shared" si="47"/>
        <v>0</v>
      </c>
      <c r="AC205" s="55">
        <f t="shared" si="48"/>
        <v>0</v>
      </c>
      <c r="AD205" s="55">
        <f t="shared" si="49"/>
        <v>0</v>
      </c>
      <c r="AE205" s="55">
        <f t="shared" si="50"/>
        <v>0</v>
      </c>
      <c r="AF205" s="55">
        <f t="shared" si="51"/>
        <v>0</v>
      </c>
      <c r="AG205" s="55">
        <f t="shared" si="52"/>
        <v>0</v>
      </c>
      <c r="AH205" s="55">
        <f t="shared" si="53"/>
        <v>0</v>
      </c>
      <c r="AI205" s="34" t="s">
        <v>116</v>
      </c>
      <c r="AJ205" s="55">
        <f t="shared" si="54"/>
        <v>0</v>
      </c>
      <c r="AK205" s="55">
        <f t="shared" si="55"/>
        <v>0</v>
      </c>
      <c r="AL205" s="55">
        <f t="shared" si="56"/>
        <v>0</v>
      </c>
      <c r="AN205" s="55">
        <v>21</v>
      </c>
      <c r="AO205" s="55">
        <f>H205*0.238095238</f>
        <v>0</v>
      </c>
      <c r="AP205" s="55">
        <f>H205*(1-0.238095238)</f>
        <v>0</v>
      </c>
      <c r="AQ205" s="58" t="s">
        <v>120</v>
      </c>
      <c r="AV205" s="55">
        <f t="shared" si="57"/>
        <v>0</v>
      </c>
      <c r="AW205" s="55">
        <f t="shared" si="58"/>
        <v>0</v>
      </c>
      <c r="AX205" s="55">
        <f t="shared" si="59"/>
        <v>0</v>
      </c>
      <c r="AY205" s="58" t="s">
        <v>442</v>
      </c>
      <c r="AZ205" s="58" t="s">
        <v>443</v>
      </c>
      <c r="BA205" s="34" t="s">
        <v>128</v>
      </c>
      <c r="BB205" s="67">
        <v>100133</v>
      </c>
      <c r="BC205" s="55">
        <f t="shared" si="60"/>
        <v>0</v>
      </c>
      <c r="BD205" s="55">
        <f t="shared" si="61"/>
        <v>0</v>
      </c>
      <c r="BE205" s="55">
        <v>0</v>
      </c>
      <c r="BF205" s="55">
        <f t="shared" si="62"/>
        <v>0</v>
      </c>
      <c r="BH205" s="55">
        <f t="shared" si="63"/>
        <v>0</v>
      </c>
      <c r="BI205" s="55">
        <f t="shared" si="64"/>
        <v>0</v>
      </c>
      <c r="BJ205" s="55">
        <f t="shared" si="65"/>
        <v>0</v>
      </c>
      <c r="BK205" s="55"/>
      <c r="BL205" s="55">
        <v>2222</v>
      </c>
      <c r="BW205" s="55">
        <v>21</v>
      </c>
    </row>
    <row r="206" spans="1:75" ht="13.5" customHeight="1">
      <c r="A206" s="1" t="s">
        <v>517</v>
      </c>
      <c r="B206" s="2" t="s">
        <v>116</v>
      </c>
      <c r="C206" s="2" t="s">
        <v>518</v>
      </c>
      <c r="D206" s="147" t="s">
        <v>519</v>
      </c>
      <c r="E206" s="148"/>
      <c r="F206" s="2" t="s">
        <v>123</v>
      </c>
      <c r="G206" s="55">
        <v>48</v>
      </c>
      <c r="H206" s="56">
        <v>0</v>
      </c>
      <c r="I206" s="55">
        <f t="shared" si="44"/>
        <v>0</v>
      </c>
      <c r="J206" s="55">
        <v>0</v>
      </c>
      <c r="K206" s="55">
        <f t="shared" si="45"/>
        <v>0</v>
      </c>
      <c r="L206" s="57" t="s">
        <v>124</v>
      </c>
      <c r="Z206" s="55">
        <f t="shared" si="46"/>
        <v>0</v>
      </c>
      <c r="AB206" s="55">
        <f t="shared" si="47"/>
        <v>0</v>
      </c>
      <c r="AC206" s="55">
        <f t="shared" si="48"/>
        <v>0</v>
      </c>
      <c r="AD206" s="55">
        <f t="shared" si="49"/>
        <v>0</v>
      </c>
      <c r="AE206" s="55">
        <f t="shared" si="50"/>
        <v>0</v>
      </c>
      <c r="AF206" s="55">
        <f t="shared" si="51"/>
        <v>0</v>
      </c>
      <c r="AG206" s="55">
        <f t="shared" si="52"/>
        <v>0</v>
      </c>
      <c r="AH206" s="55">
        <f t="shared" si="53"/>
        <v>0</v>
      </c>
      <c r="AI206" s="34" t="s">
        <v>116</v>
      </c>
      <c r="AJ206" s="55">
        <f t="shared" si="54"/>
        <v>0</v>
      </c>
      <c r="AK206" s="55">
        <f t="shared" si="55"/>
        <v>0</v>
      </c>
      <c r="AL206" s="55">
        <f t="shared" si="56"/>
        <v>0</v>
      </c>
      <c r="AN206" s="55">
        <v>21</v>
      </c>
      <c r="AO206" s="55">
        <f>H206*0</f>
        <v>0</v>
      </c>
      <c r="AP206" s="55">
        <f>H206*(1-0)</f>
        <v>0</v>
      </c>
      <c r="AQ206" s="58" t="s">
        <v>120</v>
      </c>
      <c r="AV206" s="55">
        <f t="shared" si="57"/>
        <v>0</v>
      </c>
      <c r="AW206" s="55">
        <f t="shared" si="58"/>
        <v>0</v>
      </c>
      <c r="AX206" s="55">
        <f t="shared" si="59"/>
        <v>0</v>
      </c>
      <c r="AY206" s="58" t="s">
        <v>442</v>
      </c>
      <c r="AZ206" s="58" t="s">
        <v>443</v>
      </c>
      <c r="BA206" s="34" t="s">
        <v>128</v>
      </c>
      <c r="BB206" s="67">
        <v>100133</v>
      </c>
      <c r="BC206" s="55">
        <f t="shared" si="60"/>
        <v>0</v>
      </c>
      <c r="BD206" s="55">
        <f t="shared" si="61"/>
        <v>0</v>
      </c>
      <c r="BE206" s="55">
        <v>0</v>
      </c>
      <c r="BF206" s="55">
        <f t="shared" si="62"/>
        <v>0</v>
      </c>
      <c r="BH206" s="55">
        <f t="shared" si="63"/>
        <v>0</v>
      </c>
      <c r="BI206" s="55">
        <f t="shared" si="64"/>
        <v>0</v>
      </c>
      <c r="BJ206" s="55">
        <f t="shared" si="65"/>
        <v>0</v>
      </c>
      <c r="BK206" s="55"/>
      <c r="BL206" s="55">
        <v>2222</v>
      </c>
      <c r="BW206" s="55">
        <v>21</v>
      </c>
    </row>
    <row r="207" spans="1:75" ht="13.5" customHeight="1">
      <c r="A207" s="1" t="s">
        <v>520</v>
      </c>
      <c r="B207" s="2" t="s">
        <v>116</v>
      </c>
      <c r="C207" s="2" t="s">
        <v>521</v>
      </c>
      <c r="D207" s="147" t="s">
        <v>522</v>
      </c>
      <c r="E207" s="148"/>
      <c r="F207" s="2" t="s">
        <v>123</v>
      </c>
      <c r="G207" s="55">
        <v>48</v>
      </c>
      <c r="H207" s="56">
        <v>0</v>
      </c>
      <c r="I207" s="55">
        <f t="shared" si="44"/>
        <v>0</v>
      </c>
      <c r="J207" s="55">
        <v>0</v>
      </c>
      <c r="K207" s="55">
        <f t="shared" si="45"/>
        <v>0</v>
      </c>
      <c r="L207" s="57" t="s">
        <v>124</v>
      </c>
      <c r="Z207" s="55">
        <f t="shared" si="46"/>
        <v>0</v>
      </c>
      <c r="AB207" s="55">
        <f t="shared" si="47"/>
        <v>0</v>
      </c>
      <c r="AC207" s="55">
        <f t="shared" si="48"/>
        <v>0</v>
      </c>
      <c r="AD207" s="55">
        <f t="shared" si="49"/>
        <v>0</v>
      </c>
      <c r="AE207" s="55">
        <f t="shared" si="50"/>
        <v>0</v>
      </c>
      <c r="AF207" s="55">
        <f t="shared" si="51"/>
        <v>0</v>
      </c>
      <c r="AG207" s="55">
        <f t="shared" si="52"/>
        <v>0</v>
      </c>
      <c r="AH207" s="55">
        <f t="shared" si="53"/>
        <v>0</v>
      </c>
      <c r="AI207" s="34" t="s">
        <v>116</v>
      </c>
      <c r="AJ207" s="55">
        <f t="shared" si="54"/>
        <v>0</v>
      </c>
      <c r="AK207" s="55">
        <f t="shared" si="55"/>
        <v>0</v>
      </c>
      <c r="AL207" s="55">
        <f t="shared" si="56"/>
        <v>0</v>
      </c>
      <c r="AN207" s="55">
        <v>21</v>
      </c>
      <c r="AO207" s="55">
        <f>H207*0.627906977</f>
        <v>0</v>
      </c>
      <c r="AP207" s="55">
        <f>H207*(1-0.627906977)</f>
        <v>0</v>
      </c>
      <c r="AQ207" s="58" t="s">
        <v>120</v>
      </c>
      <c r="AV207" s="55">
        <f t="shared" si="57"/>
        <v>0</v>
      </c>
      <c r="AW207" s="55">
        <f t="shared" si="58"/>
        <v>0</v>
      </c>
      <c r="AX207" s="55">
        <f t="shared" si="59"/>
        <v>0</v>
      </c>
      <c r="AY207" s="58" t="s">
        <v>442</v>
      </c>
      <c r="AZ207" s="58" t="s">
        <v>443</v>
      </c>
      <c r="BA207" s="34" t="s">
        <v>128</v>
      </c>
      <c r="BB207" s="67">
        <v>100133</v>
      </c>
      <c r="BC207" s="55">
        <f t="shared" si="60"/>
        <v>0</v>
      </c>
      <c r="BD207" s="55">
        <f t="shared" si="61"/>
        <v>0</v>
      </c>
      <c r="BE207" s="55">
        <v>0</v>
      </c>
      <c r="BF207" s="55">
        <f t="shared" si="62"/>
        <v>0</v>
      </c>
      <c r="BH207" s="55">
        <f t="shared" si="63"/>
        <v>0</v>
      </c>
      <c r="BI207" s="55">
        <f t="shared" si="64"/>
        <v>0</v>
      </c>
      <c r="BJ207" s="55">
        <f t="shared" si="65"/>
        <v>0</v>
      </c>
      <c r="BK207" s="55"/>
      <c r="BL207" s="55">
        <v>2222</v>
      </c>
      <c r="BW207" s="55">
        <v>21</v>
      </c>
    </row>
    <row r="208" spans="1:75" ht="13.5" customHeight="1">
      <c r="A208" s="1" t="s">
        <v>523</v>
      </c>
      <c r="B208" s="2" t="s">
        <v>116</v>
      </c>
      <c r="C208" s="2" t="s">
        <v>524</v>
      </c>
      <c r="D208" s="147" t="s">
        <v>525</v>
      </c>
      <c r="E208" s="148"/>
      <c r="F208" s="2" t="s">
        <v>123</v>
      </c>
      <c r="G208" s="55">
        <v>48</v>
      </c>
      <c r="H208" s="56">
        <v>0</v>
      </c>
      <c r="I208" s="55">
        <f t="shared" si="44"/>
        <v>0</v>
      </c>
      <c r="J208" s="55">
        <v>0</v>
      </c>
      <c r="K208" s="55">
        <f t="shared" si="45"/>
        <v>0</v>
      </c>
      <c r="L208" s="57" t="s">
        <v>124</v>
      </c>
      <c r="Z208" s="55">
        <f t="shared" si="46"/>
        <v>0</v>
      </c>
      <c r="AB208" s="55">
        <f t="shared" si="47"/>
        <v>0</v>
      </c>
      <c r="AC208" s="55">
        <f t="shared" si="48"/>
        <v>0</v>
      </c>
      <c r="AD208" s="55">
        <f t="shared" si="49"/>
        <v>0</v>
      </c>
      <c r="AE208" s="55">
        <f t="shared" si="50"/>
        <v>0</v>
      </c>
      <c r="AF208" s="55">
        <f t="shared" si="51"/>
        <v>0</v>
      </c>
      <c r="AG208" s="55">
        <f t="shared" si="52"/>
        <v>0</v>
      </c>
      <c r="AH208" s="55">
        <f t="shared" si="53"/>
        <v>0</v>
      </c>
      <c r="AI208" s="34" t="s">
        <v>116</v>
      </c>
      <c r="AJ208" s="55">
        <f t="shared" si="54"/>
        <v>0</v>
      </c>
      <c r="AK208" s="55">
        <f t="shared" si="55"/>
        <v>0</v>
      </c>
      <c r="AL208" s="55">
        <f t="shared" si="56"/>
        <v>0</v>
      </c>
      <c r="AN208" s="55">
        <v>21</v>
      </c>
      <c r="AO208" s="55">
        <f>H208*0.9375</f>
        <v>0</v>
      </c>
      <c r="AP208" s="55">
        <f>H208*(1-0.9375)</f>
        <v>0</v>
      </c>
      <c r="AQ208" s="58" t="s">
        <v>120</v>
      </c>
      <c r="AV208" s="55">
        <f t="shared" si="57"/>
        <v>0</v>
      </c>
      <c r="AW208" s="55">
        <f t="shared" si="58"/>
        <v>0</v>
      </c>
      <c r="AX208" s="55">
        <f t="shared" si="59"/>
        <v>0</v>
      </c>
      <c r="AY208" s="58" t="s">
        <v>442</v>
      </c>
      <c r="AZ208" s="58" t="s">
        <v>443</v>
      </c>
      <c r="BA208" s="34" t="s">
        <v>128</v>
      </c>
      <c r="BB208" s="67">
        <v>100133</v>
      </c>
      <c r="BC208" s="55">
        <f t="shared" si="60"/>
        <v>0</v>
      </c>
      <c r="BD208" s="55">
        <f t="shared" si="61"/>
        <v>0</v>
      </c>
      <c r="BE208" s="55">
        <v>0</v>
      </c>
      <c r="BF208" s="55">
        <f t="shared" si="62"/>
        <v>0</v>
      </c>
      <c r="BH208" s="55">
        <f t="shared" si="63"/>
        <v>0</v>
      </c>
      <c r="BI208" s="55">
        <f t="shared" si="64"/>
        <v>0</v>
      </c>
      <c r="BJ208" s="55">
        <f t="shared" si="65"/>
        <v>0</v>
      </c>
      <c r="BK208" s="55"/>
      <c r="BL208" s="55">
        <v>2222</v>
      </c>
      <c r="BW208" s="55">
        <v>21</v>
      </c>
    </row>
    <row r="209" spans="1:75" ht="13.5" customHeight="1">
      <c r="A209" s="1" t="s">
        <v>526</v>
      </c>
      <c r="B209" s="2" t="s">
        <v>116</v>
      </c>
      <c r="C209" s="2" t="s">
        <v>527</v>
      </c>
      <c r="D209" s="147" t="s">
        <v>528</v>
      </c>
      <c r="E209" s="148"/>
      <c r="F209" s="2" t="s">
        <v>123</v>
      </c>
      <c r="G209" s="55">
        <v>2</v>
      </c>
      <c r="H209" s="56">
        <v>0</v>
      </c>
      <c r="I209" s="55">
        <f t="shared" si="44"/>
        <v>0</v>
      </c>
      <c r="J209" s="55">
        <v>0</v>
      </c>
      <c r="K209" s="55">
        <f t="shared" si="45"/>
        <v>0</v>
      </c>
      <c r="L209" s="57" t="s">
        <v>124</v>
      </c>
      <c r="Z209" s="55">
        <f t="shared" si="46"/>
        <v>0</v>
      </c>
      <c r="AB209" s="55">
        <f t="shared" si="47"/>
        <v>0</v>
      </c>
      <c r="AC209" s="55">
        <f t="shared" si="48"/>
        <v>0</v>
      </c>
      <c r="AD209" s="55">
        <f t="shared" si="49"/>
        <v>0</v>
      </c>
      <c r="AE209" s="55">
        <f t="shared" si="50"/>
        <v>0</v>
      </c>
      <c r="AF209" s="55">
        <f t="shared" si="51"/>
        <v>0</v>
      </c>
      <c r="AG209" s="55">
        <f t="shared" si="52"/>
        <v>0</v>
      </c>
      <c r="AH209" s="55">
        <f t="shared" si="53"/>
        <v>0</v>
      </c>
      <c r="AI209" s="34" t="s">
        <v>116</v>
      </c>
      <c r="AJ209" s="55">
        <f t="shared" si="54"/>
        <v>0</v>
      </c>
      <c r="AK209" s="55">
        <f t="shared" si="55"/>
        <v>0</v>
      </c>
      <c r="AL209" s="55">
        <f t="shared" si="56"/>
        <v>0</v>
      </c>
      <c r="AN209" s="55">
        <v>21</v>
      </c>
      <c r="AO209" s="55">
        <f>H209*0.922330097</f>
        <v>0</v>
      </c>
      <c r="AP209" s="55">
        <f>H209*(1-0.922330097)</f>
        <v>0</v>
      </c>
      <c r="AQ209" s="58" t="s">
        <v>120</v>
      </c>
      <c r="AV209" s="55">
        <f t="shared" si="57"/>
        <v>0</v>
      </c>
      <c r="AW209" s="55">
        <f t="shared" si="58"/>
        <v>0</v>
      </c>
      <c r="AX209" s="55">
        <f t="shared" si="59"/>
        <v>0</v>
      </c>
      <c r="AY209" s="58" t="s">
        <v>442</v>
      </c>
      <c r="AZ209" s="58" t="s">
        <v>443</v>
      </c>
      <c r="BA209" s="34" t="s">
        <v>128</v>
      </c>
      <c r="BB209" s="67">
        <v>100133</v>
      </c>
      <c r="BC209" s="55">
        <f t="shared" si="60"/>
        <v>0</v>
      </c>
      <c r="BD209" s="55">
        <f t="shared" si="61"/>
        <v>0</v>
      </c>
      <c r="BE209" s="55">
        <v>0</v>
      </c>
      <c r="BF209" s="55">
        <f t="shared" si="62"/>
        <v>0</v>
      </c>
      <c r="BH209" s="55">
        <f t="shared" si="63"/>
        <v>0</v>
      </c>
      <c r="BI209" s="55">
        <f t="shared" si="64"/>
        <v>0</v>
      </c>
      <c r="BJ209" s="55">
        <f t="shared" si="65"/>
        <v>0</v>
      </c>
      <c r="BK209" s="55"/>
      <c r="BL209" s="55">
        <v>2222</v>
      </c>
      <c r="BW209" s="55">
        <v>21</v>
      </c>
    </row>
    <row r="210" spans="1:75" ht="27" customHeight="1">
      <c r="A210" s="1" t="s">
        <v>529</v>
      </c>
      <c r="B210" s="2" t="s">
        <v>116</v>
      </c>
      <c r="C210" s="2" t="s">
        <v>530</v>
      </c>
      <c r="D210" s="147" t="s">
        <v>531</v>
      </c>
      <c r="E210" s="148"/>
      <c r="F210" s="2" t="s">
        <v>123</v>
      </c>
      <c r="G210" s="55">
        <v>24</v>
      </c>
      <c r="H210" s="56">
        <v>0</v>
      </c>
      <c r="I210" s="55">
        <f t="shared" si="44"/>
        <v>0</v>
      </c>
      <c r="J210" s="55">
        <v>0</v>
      </c>
      <c r="K210" s="55">
        <f t="shared" si="45"/>
        <v>0</v>
      </c>
      <c r="L210" s="57" t="s">
        <v>124</v>
      </c>
      <c r="Z210" s="55">
        <f t="shared" si="46"/>
        <v>0</v>
      </c>
      <c r="AB210" s="55">
        <f t="shared" si="47"/>
        <v>0</v>
      </c>
      <c r="AC210" s="55">
        <f t="shared" si="48"/>
        <v>0</v>
      </c>
      <c r="AD210" s="55">
        <f t="shared" si="49"/>
        <v>0</v>
      </c>
      <c r="AE210" s="55">
        <f t="shared" si="50"/>
        <v>0</v>
      </c>
      <c r="AF210" s="55">
        <f t="shared" si="51"/>
        <v>0</v>
      </c>
      <c r="AG210" s="55">
        <f t="shared" si="52"/>
        <v>0</v>
      </c>
      <c r="AH210" s="55">
        <f t="shared" si="53"/>
        <v>0</v>
      </c>
      <c r="AI210" s="34" t="s">
        <v>116</v>
      </c>
      <c r="AJ210" s="55">
        <f t="shared" si="54"/>
        <v>0</v>
      </c>
      <c r="AK210" s="55">
        <f t="shared" si="55"/>
        <v>0</v>
      </c>
      <c r="AL210" s="55">
        <f t="shared" si="56"/>
        <v>0</v>
      </c>
      <c r="AN210" s="55">
        <v>21</v>
      </c>
      <c r="AO210" s="55">
        <f>H210*0</f>
        <v>0</v>
      </c>
      <c r="AP210" s="55">
        <f>H210*(1-0)</f>
        <v>0</v>
      </c>
      <c r="AQ210" s="58" t="s">
        <v>120</v>
      </c>
      <c r="AV210" s="55">
        <f t="shared" si="57"/>
        <v>0</v>
      </c>
      <c r="AW210" s="55">
        <f t="shared" si="58"/>
        <v>0</v>
      </c>
      <c r="AX210" s="55">
        <f t="shared" si="59"/>
        <v>0</v>
      </c>
      <c r="AY210" s="58" t="s">
        <v>442</v>
      </c>
      <c r="AZ210" s="58" t="s">
        <v>443</v>
      </c>
      <c r="BA210" s="34" t="s">
        <v>128</v>
      </c>
      <c r="BB210" s="67">
        <v>100133</v>
      </c>
      <c r="BC210" s="55">
        <f t="shared" si="60"/>
        <v>0</v>
      </c>
      <c r="BD210" s="55">
        <f t="shared" si="61"/>
        <v>0</v>
      </c>
      <c r="BE210" s="55">
        <v>0</v>
      </c>
      <c r="BF210" s="55">
        <f t="shared" si="62"/>
        <v>0</v>
      </c>
      <c r="BH210" s="55">
        <f t="shared" si="63"/>
        <v>0</v>
      </c>
      <c r="BI210" s="55">
        <f t="shared" si="64"/>
        <v>0</v>
      </c>
      <c r="BJ210" s="55">
        <f t="shared" si="65"/>
        <v>0</v>
      </c>
      <c r="BK210" s="55"/>
      <c r="BL210" s="55">
        <v>2222</v>
      </c>
      <c r="BW210" s="55">
        <v>21</v>
      </c>
    </row>
    <row r="211" spans="1:75" ht="13.5" customHeight="1">
      <c r="A211" s="1" t="s">
        <v>532</v>
      </c>
      <c r="B211" s="2" t="s">
        <v>116</v>
      </c>
      <c r="C211" s="2" t="s">
        <v>533</v>
      </c>
      <c r="D211" s="147" t="s">
        <v>534</v>
      </c>
      <c r="E211" s="148"/>
      <c r="F211" s="2" t="s">
        <v>174</v>
      </c>
      <c r="G211" s="55">
        <v>150</v>
      </c>
      <c r="H211" s="56">
        <v>0</v>
      </c>
      <c r="I211" s="55">
        <f t="shared" si="44"/>
        <v>0</v>
      </c>
      <c r="J211" s="55">
        <v>0</v>
      </c>
      <c r="K211" s="55">
        <f t="shared" si="45"/>
        <v>0</v>
      </c>
      <c r="L211" s="57" t="s">
        <v>124</v>
      </c>
      <c r="Z211" s="55">
        <f t="shared" si="46"/>
        <v>0</v>
      </c>
      <c r="AB211" s="55">
        <f t="shared" si="47"/>
        <v>0</v>
      </c>
      <c r="AC211" s="55">
        <f t="shared" si="48"/>
        <v>0</v>
      </c>
      <c r="AD211" s="55">
        <f t="shared" si="49"/>
        <v>0</v>
      </c>
      <c r="AE211" s="55">
        <f t="shared" si="50"/>
        <v>0</v>
      </c>
      <c r="AF211" s="55">
        <f t="shared" si="51"/>
        <v>0</v>
      </c>
      <c r="AG211" s="55">
        <f t="shared" si="52"/>
        <v>0</v>
      </c>
      <c r="AH211" s="55">
        <f t="shared" si="53"/>
        <v>0</v>
      </c>
      <c r="AI211" s="34" t="s">
        <v>116</v>
      </c>
      <c r="AJ211" s="55">
        <f t="shared" si="54"/>
        <v>0</v>
      </c>
      <c r="AK211" s="55">
        <f t="shared" si="55"/>
        <v>0</v>
      </c>
      <c r="AL211" s="55">
        <f t="shared" si="56"/>
        <v>0</v>
      </c>
      <c r="AN211" s="55">
        <v>21</v>
      </c>
      <c r="AO211" s="55">
        <f>H211*0.715909091</f>
        <v>0</v>
      </c>
      <c r="AP211" s="55">
        <f>H211*(1-0.715909091)</f>
        <v>0</v>
      </c>
      <c r="AQ211" s="58" t="s">
        <v>120</v>
      </c>
      <c r="AV211" s="55">
        <f t="shared" si="57"/>
        <v>0</v>
      </c>
      <c r="AW211" s="55">
        <f t="shared" si="58"/>
        <v>0</v>
      </c>
      <c r="AX211" s="55">
        <f t="shared" si="59"/>
        <v>0</v>
      </c>
      <c r="AY211" s="58" t="s">
        <v>442</v>
      </c>
      <c r="AZ211" s="58" t="s">
        <v>443</v>
      </c>
      <c r="BA211" s="34" t="s">
        <v>128</v>
      </c>
      <c r="BB211" s="67">
        <v>100133</v>
      </c>
      <c r="BC211" s="55">
        <f t="shared" si="60"/>
        <v>0</v>
      </c>
      <c r="BD211" s="55">
        <f t="shared" si="61"/>
        <v>0</v>
      </c>
      <c r="BE211" s="55">
        <v>0</v>
      </c>
      <c r="BF211" s="55">
        <f t="shared" si="62"/>
        <v>0</v>
      </c>
      <c r="BH211" s="55">
        <f t="shared" si="63"/>
        <v>0</v>
      </c>
      <c r="BI211" s="55">
        <f t="shared" si="64"/>
        <v>0</v>
      </c>
      <c r="BJ211" s="55">
        <f t="shared" si="65"/>
        <v>0</v>
      </c>
      <c r="BK211" s="55"/>
      <c r="BL211" s="55">
        <v>2222</v>
      </c>
      <c r="BW211" s="55">
        <v>21</v>
      </c>
    </row>
    <row r="212" spans="1:12" ht="13.5" customHeight="1">
      <c r="A212" s="59"/>
      <c r="D212" s="218" t="s">
        <v>129</v>
      </c>
      <c r="E212" s="219"/>
      <c r="F212" s="219"/>
      <c r="G212" s="219"/>
      <c r="H212" s="220"/>
      <c r="I212" s="219"/>
      <c r="J212" s="219"/>
      <c r="K212" s="219"/>
      <c r="L212" s="221"/>
    </row>
    <row r="213" spans="1:75" ht="13.5" customHeight="1">
      <c r="A213" s="1" t="s">
        <v>535</v>
      </c>
      <c r="B213" s="2" t="s">
        <v>116</v>
      </c>
      <c r="C213" s="2" t="s">
        <v>536</v>
      </c>
      <c r="D213" s="147" t="s">
        <v>537</v>
      </c>
      <c r="E213" s="148"/>
      <c r="F213" s="2" t="s">
        <v>123</v>
      </c>
      <c r="G213" s="55">
        <v>2</v>
      </c>
      <c r="H213" s="56">
        <v>0</v>
      </c>
      <c r="I213" s="55">
        <f>G213*H213</f>
        <v>0</v>
      </c>
      <c r="J213" s="55">
        <v>0</v>
      </c>
      <c r="K213" s="55">
        <f>G213*J213</f>
        <v>0</v>
      </c>
      <c r="L213" s="57" t="s">
        <v>124</v>
      </c>
      <c r="Z213" s="55">
        <f>IF(AQ213="5",BJ213,0)</f>
        <v>0</v>
      </c>
      <c r="AB213" s="55">
        <f>IF(AQ213="1",BH213,0)</f>
        <v>0</v>
      </c>
      <c r="AC213" s="55">
        <f>IF(AQ213="1",BI213,0)</f>
        <v>0</v>
      </c>
      <c r="AD213" s="55">
        <f>IF(AQ213="7",BH213,0)</f>
        <v>0</v>
      </c>
      <c r="AE213" s="55">
        <f>IF(AQ213="7",BI213,0)</f>
        <v>0</v>
      </c>
      <c r="AF213" s="55">
        <f>IF(AQ213="2",BH213,0)</f>
        <v>0</v>
      </c>
      <c r="AG213" s="55">
        <f>IF(AQ213="2",BI213,0)</f>
        <v>0</v>
      </c>
      <c r="AH213" s="55">
        <f>IF(AQ213="0",BJ213,0)</f>
        <v>0</v>
      </c>
      <c r="AI213" s="34" t="s">
        <v>116</v>
      </c>
      <c r="AJ213" s="55">
        <f>IF(AN213=0,I213,0)</f>
        <v>0</v>
      </c>
      <c r="AK213" s="55">
        <f>IF(AN213=12,I213,0)</f>
        <v>0</v>
      </c>
      <c r="AL213" s="55">
        <f>IF(AN213=21,I213,0)</f>
        <v>0</v>
      </c>
      <c r="AN213" s="55">
        <v>21</v>
      </c>
      <c r="AO213" s="55">
        <f>H213*0.949761526</f>
        <v>0</v>
      </c>
      <c r="AP213" s="55">
        <f>H213*(1-0.949761526)</f>
        <v>0</v>
      </c>
      <c r="AQ213" s="58" t="s">
        <v>120</v>
      </c>
      <c r="AV213" s="55">
        <f>AW213+AX213</f>
        <v>0</v>
      </c>
      <c r="AW213" s="55">
        <f>G213*AO213</f>
        <v>0</v>
      </c>
      <c r="AX213" s="55">
        <f>G213*AP213</f>
        <v>0</v>
      </c>
      <c r="AY213" s="58" t="s">
        <v>442</v>
      </c>
      <c r="AZ213" s="58" t="s">
        <v>443</v>
      </c>
      <c r="BA213" s="34" t="s">
        <v>128</v>
      </c>
      <c r="BB213" s="67">
        <v>100133</v>
      </c>
      <c r="BC213" s="55">
        <f>AW213+AX213</f>
        <v>0</v>
      </c>
      <c r="BD213" s="55">
        <f>H213/(100-BE213)*100</f>
        <v>0</v>
      </c>
      <c r="BE213" s="55">
        <v>0</v>
      </c>
      <c r="BF213" s="55">
        <f>K213</f>
        <v>0</v>
      </c>
      <c r="BH213" s="55">
        <f>G213*AO213</f>
        <v>0</v>
      </c>
      <c r="BI213" s="55">
        <f>G213*AP213</f>
        <v>0</v>
      </c>
      <c r="BJ213" s="55">
        <f>G213*H213</f>
        <v>0</v>
      </c>
      <c r="BK213" s="55"/>
      <c r="BL213" s="55">
        <v>2222</v>
      </c>
      <c r="BW213" s="55">
        <v>21</v>
      </c>
    </row>
    <row r="214" spans="1:12" ht="13.5" customHeight="1">
      <c r="A214" s="59"/>
      <c r="D214" s="218" t="s">
        <v>129</v>
      </c>
      <c r="E214" s="219"/>
      <c r="F214" s="219"/>
      <c r="G214" s="219"/>
      <c r="H214" s="220"/>
      <c r="I214" s="219"/>
      <c r="J214" s="219"/>
      <c r="K214" s="219"/>
      <c r="L214" s="221"/>
    </row>
    <row r="215" spans="1:75" ht="13.5" customHeight="1">
      <c r="A215" s="1" t="s">
        <v>538</v>
      </c>
      <c r="B215" s="2" t="s">
        <v>116</v>
      </c>
      <c r="C215" s="2" t="s">
        <v>539</v>
      </c>
      <c r="D215" s="147" t="s">
        <v>540</v>
      </c>
      <c r="E215" s="148"/>
      <c r="F215" s="2" t="s">
        <v>123</v>
      </c>
      <c r="G215" s="55">
        <v>1</v>
      </c>
      <c r="H215" s="56">
        <v>0</v>
      </c>
      <c r="I215" s="55">
        <f>G215*H215</f>
        <v>0</v>
      </c>
      <c r="J215" s="55">
        <v>0</v>
      </c>
      <c r="K215" s="55">
        <f>G215*J215</f>
        <v>0</v>
      </c>
      <c r="L215" s="57" t="s">
        <v>124</v>
      </c>
      <c r="Z215" s="55">
        <f>IF(AQ215="5",BJ215,0)</f>
        <v>0</v>
      </c>
      <c r="AB215" s="55">
        <f>IF(AQ215="1",BH215,0)</f>
        <v>0</v>
      </c>
      <c r="AC215" s="55">
        <f>IF(AQ215="1",BI215,0)</f>
        <v>0</v>
      </c>
      <c r="AD215" s="55">
        <f>IF(AQ215="7",BH215,0)</f>
        <v>0</v>
      </c>
      <c r="AE215" s="55">
        <f>IF(AQ215="7",BI215,0)</f>
        <v>0</v>
      </c>
      <c r="AF215" s="55">
        <f>IF(AQ215="2",BH215,0)</f>
        <v>0</v>
      </c>
      <c r="AG215" s="55">
        <f>IF(AQ215="2",BI215,0)</f>
        <v>0</v>
      </c>
      <c r="AH215" s="55">
        <f>IF(AQ215="0",BJ215,0)</f>
        <v>0</v>
      </c>
      <c r="AI215" s="34" t="s">
        <v>116</v>
      </c>
      <c r="AJ215" s="55">
        <f>IF(AN215=0,I215,0)</f>
        <v>0</v>
      </c>
      <c r="AK215" s="55">
        <f>IF(AN215=12,I215,0)</f>
        <v>0</v>
      </c>
      <c r="AL215" s="55">
        <f>IF(AN215=21,I215,0)</f>
        <v>0</v>
      </c>
      <c r="AN215" s="55">
        <v>21</v>
      </c>
      <c r="AO215" s="55">
        <f>H215*0.890385933</f>
        <v>0</v>
      </c>
      <c r="AP215" s="55">
        <f>H215*(1-0.890385933)</f>
        <v>0</v>
      </c>
      <c r="AQ215" s="58" t="s">
        <v>120</v>
      </c>
      <c r="AV215" s="55">
        <f>AW215+AX215</f>
        <v>0</v>
      </c>
      <c r="AW215" s="55">
        <f>G215*AO215</f>
        <v>0</v>
      </c>
      <c r="AX215" s="55">
        <f>G215*AP215</f>
        <v>0</v>
      </c>
      <c r="AY215" s="58" t="s">
        <v>442</v>
      </c>
      <c r="AZ215" s="58" t="s">
        <v>443</v>
      </c>
      <c r="BA215" s="34" t="s">
        <v>128</v>
      </c>
      <c r="BB215" s="67">
        <v>100133</v>
      </c>
      <c r="BC215" s="55">
        <f>AW215+AX215</f>
        <v>0</v>
      </c>
      <c r="BD215" s="55">
        <f>H215/(100-BE215)*100</f>
        <v>0</v>
      </c>
      <c r="BE215" s="55">
        <v>0</v>
      </c>
      <c r="BF215" s="55">
        <f>K215</f>
        <v>0</v>
      </c>
      <c r="BH215" s="55">
        <f>G215*AO215</f>
        <v>0</v>
      </c>
      <c r="BI215" s="55">
        <f>G215*AP215</f>
        <v>0</v>
      </c>
      <c r="BJ215" s="55">
        <f>G215*H215</f>
        <v>0</v>
      </c>
      <c r="BK215" s="55"/>
      <c r="BL215" s="55">
        <v>2222</v>
      </c>
      <c r="BW215" s="55">
        <v>21</v>
      </c>
    </row>
    <row r="216" spans="1:12" ht="13.5" customHeight="1">
      <c r="A216" s="59"/>
      <c r="D216" s="218" t="s">
        <v>129</v>
      </c>
      <c r="E216" s="219"/>
      <c r="F216" s="219"/>
      <c r="G216" s="219"/>
      <c r="H216" s="220"/>
      <c r="I216" s="219"/>
      <c r="J216" s="219"/>
      <c r="K216" s="219"/>
      <c r="L216" s="221"/>
    </row>
    <row r="217" spans="1:75" ht="27" customHeight="1">
      <c r="A217" s="1" t="s">
        <v>541</v>
      </c>
      <c r="B217" s="2" t="s">
        <v>116</v>
      </c>
      <c r="C217" s="2" t="s">
        <v>542</v>
      </c>
      <c r="D217" s="147" t="s">
        <v>543</v>
      </c>
      <c r="E217" s="148"/>
      <c r="F217" s="2" t="s">
        <v>123</v>
      </c>
      <c r="G217" s="55">
        <v>2</v>
      </c>
      <c r="H217" s="56">
        <v>0</v>
      </c>
      <c r="I217" s="55">
        <f>G217*H217</f>
        <v>0</v>
      </c>
      <c r="J217" s="55">
        <v>0</v>
      </c>
      <c r="K217" s="55">
        <f>G217*J217</f>
        <v>0</v>
      </c>
      <c r="L217" s="57" t="s">
        <v>124</v>
      </c>
      <c r="Z217" s="55">
        <f>IF(AQ217="5",BJ217,0)</f>
        <v>0</v>
      </c>
      <c r="AB217" s="55">
        <f>IF(AQ217="1",BH217,0)</f>
        <v>0</v>
      </c>
      <c r="AC217" s="55">
        <f>IF(AQ217="1",BI217,0)</f>
        <v>0</v>
      </c>
      <c r="AD217" s="55">
        <f>IF(AQ217="7",BH217,0)</f>
        <v>0</v>
      </c>
      <c r="AE217" s="55">
        <f>IF(AQ217="7",BI217,0)</f>
        <v>0</v>
      </c>
      <c r="AF217" s="55">
        <f>IF(AQ217="2",BH217,0)</f>
        <v>0</v>
      </c>
      <c r="AG217" s="55">
        <f>IF(AQ217="2",BI217,0)</f>
        <v>0</v>
      </c>
      <c r="AH217" s="55">
        <f>IF(AQ217="0",BJ217,0)</f>
        <v>0</v>
      </c>
      <c r="AI217" s="34" t="s">
        <v>116</v>
      </c>
      <c r="AJ217" s="55">
        <f>IF(AN217=0,I217,0)</f>
        <v>0</v>
      </c>
      <c r="AK217" s="55">
        <f>IF(AN217=12,I217,0)</f>
        <v>0</v>
      </c>
      <c r="AL217" s="55">
        <f>IF(AN217=21,I217,0)</f>
        <v>0</v>
      </c>
      <c r="AN217" s="55">
        <v>21</v>
      </c>
      <c r="AO217" s="55">
        <f>H217*0.953810624</f>
        <v>0</v>
      </c>
      <c r="AP217" s="55">
        <f>H217*(1-0.953810624)</f>
        <v>0</v>
      </c>
      <c r="AQ217" s="58" t="s">
        <v>120</v>
      </c>
      <c r="AV217" s="55">
        <f>AW217+AX217</f>
        <v>0</v>
      </c>
      <c r="AW217" s="55">
        <f>G217*AO217</f>
        <v>0</v>
      </c>
      <c r="AX217" s="55">
        <f>G217*AP217</f>
        <v>0</v>
      </c>
      <c r="AY217" s="58" t="s">
        <v>442</v>
      </c>
      <c r="AZ217" s="58" t="s">
        <v>443</v>
      </c>
      <c r="BA217" s="34" t="s">
        <v>128</v>
      </c>
      <c r="BB217" s="67">
        <v>100133</v>
      </c>
      <c r="BC217" s="55">
        <f>AW217+AX217</f>
        <v>0</v>
      </c>
      <c r="BD217" s="55">
        <f>H217/(100-BE217)*100</f>
        <v>0</v>
      </c>
      <c r="BE217" s="55">
        <v>0</v>
      </c>
      <c r="BF217" s="55">
        <f>K217</f>
        <v>0</v>
      </c>
      <c r="BH217" s="55">
        <f>G217*AO217</f>
        <v>0</v>
      </c>
      <c r="BI217" s="55">
        <f>G217*AP217</f>
        <v>0</v>
      </c>
      <c r="BJ217" s="55">
        <f>G217*H217</f>
        <v>0</v>
      </c>
      <c r="BK217" s="55"/>
      <c r="BL217" s="55">
        <v>2222</v>
      </c>
      <c r="BW217" s="55">
        <v>21</v>
      </c>
    </row>
    <row r="218" spans="1:12" ht="13.5" customHeight="1">
      <c r="A218" s="59"/>
      <c r="D218" s="218" t="s">
        <v>129</v>
      </c>
      <c r="E218" s="219"/>
      <c r="F218" s="219"/>
      <c r="G218" s="219"/>
      <c r="H218" s="220"/>
      <c r="I218" s="219"/>
      <c r="J218" s="219"/>
      <c r="K218" s="219"/>
      <c r="L218" s="221"/>
    </row>
    <row r="219" spans="1:75" ht="13.5" customHeight="1">
      <c r="A219" s="1" t="s">
        <v>544</v>
      </c>
      <c r="B219" s="2" t="s">
        <v>116</v>
      </c>
      <c r="C219" s="2" t="s">
        <v>545</v>
      </c>
      <c r="D219" s="147" t="s">
        <v>546</v>
      </c>
      <c r="E219" s="148"/>
      <c r="F219" s="2" t="s">
        <v>123</v>
      </c>
      <c r="G219" s="55">
        <v>2</v>
      </c>
      <c r="H219" s="56">
        <v>0</v>
      </c>
      <c r="I219" s="55">
        <f>G219*H219</f>
        <v>0</v>
      </c>
      <c r="J219" s="55">
        <v>0</v>
      </c>
      <c r="K219" s="55">
        <f>G219*J219</f>
        <v>0</v>
      </c>
      <c r="L219" s="57" t="s">
        <v>124</v>
      </c>
      <c r="Z219" s="55">
        <f>IF(AQ219="5",BJ219,0)</f>
        <v>0</v>
      </c>
      <c r="AB219" s="55">
        <f>IF(AQ219="1",BH219,0)</f>
        <v>0</v>
      </c>
      <c r="AC219" s="55">
        <f>IF(AQ219="1",BI219,0)</f>
        <v>0</v>
      </c>
      <c r="AD219" s="55">
        <f>IF(AQ219="7",BH219,0)</f>
        <v>0</v>
      </c>
      <c r="AE219" s="55">
        <f>IF(AQ219="7",BI219,0)</f>
        <v>0</v>
      </c>
      <c r="AF219" s="55">
        <f>IF(AQ219="2",BH219,0)</f>
        <v>0</v>
      </c>
      <c r="AG219" s="55">
        <f>IF(AQ219="2",BI219,0)</f>
        <v>0</v>
      </c>
      <c r="AH219" s="55">
        <f>IF(AQ219="0",BJ219,0)</f>
        <v>0</v>
      </c>
      <c r="AI219" s="34" t="s">
        <v>116</v>
      </c>
      <c r="AJ219" s="55">
        <f>IF(AN219=0,I219,0)</f>
        <v>0</v>
      </c>
      <c r="AK219" s="55">
        <f>IF(AN219=12,I219,0)</f>
        <v>0</v>
      </c>
      <c r="AL219" s="55">
        <f>IF(AN219=21,I219,0)</f>
        <v>0</v>
      </c>
      <c r="AN219" s="55">
        <v>21</v>
      </c>
      <c r="AO219" s="55">
        <f>H219*0.904418012</f>
        <v>0</v>
      </c>
      <c r="AP219" s="55">
        <f>H219*(1-0.904418012)</f>
        <v>0</v>
      </c>
      <c r="AQ219" s="58" t="s">
        <v>120</v>
      </c>
      <c r="AV219" s="55">
        <f>AW219+AX219</f>
        <v>0</v>
      </c>
      <c r="AW219" s="55">
        <f>G219*AO219</f>
        <v>0</v>
      </c>
      <c r="AX219" s="55">
        <f>G219*AP219</f>
        <v>0</v>
      </c>
      <c r="AY219" s="58" t="s">
        <v>442</v>
      </c>
      <c r="AZ219" s="58" t="s">
        <v>443</v>
      </c>
      <c r="BA219" s="34" t="s">
        <v>128</v>
      </c>
      <c r="BB219" s="67">
        <v>100133</v>
      </c>
      <c r="BC219" s="55">
        <f>AW219+AX219</f>
        <v>0</v>
      </c>
      <c r="BD219" s="55">
        <f>H219/(100-BE219)*100</f>
        <v>0</v>
      </c>
      <c r="BE219" s="55">
        <v>0</v>
      </c>
      <c r="BF219" s="55">
        <f>K219</f>
        <v>0</v>
      </c>
      <c r="BH219" s="55">
        <f>G219*AO219</f>
        <v>0</v>
      </c>
      <c r="BI219" s="55">
        <f>G219*AP219</f>
        <v>0</v>
      </c>
      <c r="BJ219" s="55">
        <f>G219*H219</f>
        <v>0</v>
      </c>
      <c r="BK219" s="55"/>
      <c r="BL219" s="55">
        <v>2222</v>
      </c>
      <c r="BW219" s="55">
        <v>21</v>
      </c>
    </row>
    <row r="220" spans="1:12" ht="13.5" customHeight="1">
      <c r="A220" s="59"/>
      <c r="D220" s="218" t="s">
        <v>129</v>
      </c>
      <c r="E220" s="219"/>
      <c r="F220" s="219"/>
      <c r="G220" s="219"/>
      <c r="H220" s="220"/>
      <c r="I220" s="219"/>
      <c r="J220" s="219"/>
      <c r="K220" s="219"/>
      <c r="L220" s="221"/>
    </row>
    <row r="221" spans="1:75" ht="27" customHeight="1">
      <c r="A221" s="1" t="s">
        <v>547</v>
      </c>
      <c r="B221" s="2" t="s">
        <v>116</v>
      </c>
      <c r="C221" s="2" t="s">
        <v>548</v>
      </c>
      <c r="D221" s="147" t="s">
        <v>549</v>
      </c>
      <c r="E221" s="148"/>
      <c r="F221" s="2" t="s">
        <v>123</v>
      </c>
      <c r="G221" s="55">
        <v>1</v>
      </c>
      <c r="H221" s="56">
        <v>0</v>
      </c>
      <c r="I221" s="55">
        <f>G221*H221</f>
        <v>0</v>
      </c>
      <c r="J221" s="55">
        <v>0</v>
      </c>
      <c r="K221" s="55">
        <f>G221*J221</f>
        <v>0</v>
      </c>
      <c r="L221" s="57" t="s">
        <v>124</v>
      </c>
      <c r="Z221" s="55">
        <f>IF(AQ221="5",BJ221,0)</f>
        <v>0</v>
      </c>
      <c r="AB221" s="55">
        <f>IF(AQ221="1",BH221,0)</f>
        <v>0</v>
      </c>
      <c r="AC221" s="55">
        <f>IF(AQ221="1",BI221,0)</f>
        <v>0</v>
      </c>
      <c r="AD221" s="55">
        <f>IF(AQ221="7",BH221,0)</f>
        <v>0</v>
      </c>
      <c r="AE221" s="55">
        <f>IF(AQ221="7",BI221,0)</f>
        <v>0</v>
      </c>
      <c r="AF221" s="55">
        <f>IF(AQ221="2",BH221,0)</f>
        <v>0</v>
      </c>
      <c r="AG221" s="55">
        <f>IF(AQ221="2",BI221,0)</f>
        <v>0</v>
      </c>
      <c r="AH221" s="55">
        <f>IF(AQ221="0",BJ221,0)</f>
        <v>0</v>
      </c>
      <c r="AI221" s="34" t="s">
        <v>116</v>
      </c>
      <c r="AJ221" s="55">
        <f>IF(AN221=0,I221,0)</f>
        <v>0</v>
      </c>
      <c r="AK221" s="55">
        <f>IF(AN221=12,I221,0)</f>
        <v>0</v>
      </c>
      <c r="AL221" s="55">
        <f>IF(AN221=21,I221,0)</f>
        <v>0</v>
      </c>
      <c r="AN221" s="55">
        <v>21</v>
      </c>
      <c r="AO221" s="55">
        <f>H221*0.89375</f>
        <v>0</v>
      </c>
      <c r="AP221" s="55">
        <f>H221*(1-0.89375)</f>
        <v>0</v>
      </c>
      <c r="AQ221" s="58" t="s">
        <v>120</v>
      </c>
      <c r="AV221" s="55">
        <f>AW221+AX221</f>
        <v>0</v>
      </c>
      <c r="AW221" s="55">
        <f>G221*AO221</f>
        <v>0</v>
      </c>
      <c r="AX221" s="55">
        <f>G221*AP221</f>
        <v>0</v>
      </c>
      <c r="AY221" s="58" t="s">
        <v>442</v>
      </c>
      <c r="AZ221" s="58" t="s">
        <v>443</v>
      </c>
      <c r="BA221" s="34" t="s">
        <v>128</v>
      </c>
      <c r="BB221" s="67">
        <v>100133</v>
      </c>
      <c r="BC221" s="55">
        <f>AW221+AX221</f>
        <v>0</v>
      </c>
      <c r="BD221" s="55">
        <f>H221/(100-BE221)*100</f>
        <v>0</v>
      </c>
      <c r="BE221" s="55">
        <v>0</v>
      </c>
      <c r="BF221" s="55">
        <f>K221</f>
        <v>0</v>
      </c>
      <c r="BH221" s="55">
        <f>G221*AO221</f>
        <v>0</v>
      </c>
      <c r="BI221" s="55">
        <f>G221*AP221</f>
        <v>0</v>
      </c>
      <c r="BJ221" s="55">
        <f>G221*H221</f>
        <v>0</v>
      </c>
      <c r="BK221" s="55"/>
      <c r="BL221" s="55">
        <v>2222</v>
      </c>
      <c r="BW221" s="55">
        <v>21</v>
      </c>
    </row>
    <row r="222" spans="1:12" ht="27" customHeight="1">
      <c r="A222" s="59"/>
      <c r="D222" s="218" t="s">
        <v>550</v>
      </c>
      <c r="E222" s="219"/>
      <c r="F222" s="219"/>
      <c r="G222" s="219"/>
      <c r="H222" s="220"/>
      <c r="I222" s="219"/>
      <c r="J222" s="219"/>
      <c r="K222" s="219"/>
      <c r="L222" s="221"/>
    </row>
    <row r="223" spans="1:75" ht="27" customHeight="1">
      <c r="A223" s="1" t="s">
        <v>551</v>
      </c>
      <c r="B223" s="2" t="s">
        <v>116</v>
      </c>
      <c r="C223" s="2" t="s">
        <v>552</v>
      </c>
      <c r="D223" s="147" t="s">
        <v>553</v>
      </c>
      <c r="E223" s="148"/>
      <c r="F223" s="2" t="s">
        <v>123</v>
      </c>
      <c r="G223" s="55">
        <v>1</v>
      </c>
      <c r="H223" s="56">
        <v>0</v>
      </c>
      <c r="I223" s="55">
        <f>G223*H223</f>
        <v>0</v>
      </c>
      <c r="J223" s="55">
        <v>0</v>
      </c>
      <c r="K223" s="55">
        <f>G223*J223</f>
        <v>0</v>
      </c>
      <c r="L223" s="57" t="s">
        <v>124</v>
      </c>
      <c r="Z223" s="55">
        <f>IF(AQ223="5",BJ223,0)</f>
        <v>0</v>
      </c>
      <c r="AB223" s="55">
        <f>IF(AQ223="1",BH223,0)</f>
        <v>0</v>
      </c>
      <c r="AC223" s="55">
        <f>IF(AQ223="1",BI223,0)</f>
        <v>0</v>
      </c>
      <c r="AD223" s="55">
        <f>IF(AQ223="7",BH223,0)</f>
        <v>0</v>
      </c>
      <c r="AE223" s="55">
        <f>IF(AQ223="7",BI223,0)</f>
        <v>0</v>
      </c>
      <c r="AF223" s="55">
        <f>IF(AQ223="2",BH223,0)</f>
        <v>0</v>
      </c>
      <c r="AG223" s="55">
        <f>IF(AQ223="2",BI223,0)</f>
        <v>0</v>
      </c>
      <c r="AH223" s="55">
        <f>IF(AQ223="0",BJ223,0)</f>
        <v>0</v>
      </c>
      <c r="AI223" s="34" t="s">
        <v>116</v>
      </c>
      <c r="AJ223" s="55">
        <f>IF(AN223=0,I223,0)</f>
        <v>0</v>
      </c>
      <c r="AK223" s="55">
        <f>IF(AN223=12,I223,0)</f>
        <v>0</v>
      </c>
      <c r="AL223" s="55">
        <f>IF(AN223=21,I223,0)</f>
        <v>0</v>
      </c>
      <c r="AN223" s="55">
        <v>21</v>
      </c>
      <c r="AO223" s="55">
        <f>H223*0.962569247</f>
        <v>0</v>
      </c>
      <c r="AP223" s="55">
        <f>H223*(1-0.962569247)</f>
        <v>0</v>
      </c>
      <c r="AQ223" s="58" t="s">
        <v>120</v>
      </c>
      <c r="AV223" s="55">
        <f>AW223+AX223</f>
        <v>0</v>
      </c>
      <c r="AW223" s="55">
        <f>G223*AO223</f>
        <v>0</v>
      </c>
      <c r="AX223" s="55">
        <f>G223*AP223</f>
        <v>0</v>
      </c>
      <c r="AY223" s="58" t="s">
        <v>442</v>
      </c>
      <c r="AZ223" s="58" t="s">
        <v>443</v>
      </c>
      <c r="BA223" s="34" t="s">
        <v>128</v>
      </c>
      <c r="BB223" s="67">
        <v>100133</v>
      </c>
      <c r="BC223" s="55">
        <f>AW223+AX223</f>
        <v>0</v>
      </c>
      <c r="BD223" s="55">
        <f>H223/(100-BE223)*100</f>
        <v>0</v>
      </c>
      <c r="BE223" s="55">
        <v>0</v>
      </c>
      <c r="BF223" s="55">
        <f>K223</f>
        <v>0</v>
      </c>
      <c r="BH223" s="55">
        <f>G223*AO223</f>
        <v>0</v>
      </c>
      <c r="BI223" s="55">
        <f>G223*AP223</f>
        <v>0</v>
      </c>
      <c r="BJ223" s="55">
        <f>G223*H223</f>
        <v>0</v>
      </c>
      <c r="BK223" s="55"/>
      <c r="BL223" s="55">
        <v>2222</v>
      </c>
      <c r="BW223" s="55">
        <v>21</v>
      </c>
    </row>
    <row r="224" spans="1:12" ht="13.5" customHeight="1">
      <c r="A224" s="59"/>
      <c r="D224" s="218" t="s">
        <v>129</v>
      </c>
      <c r="E224" s="219"/>
      <c r="F224" s="219"/>
      <c r="G224" s="219"/>
      <c r="H224" s="220"/>
      <c r="I224" s="219"/>
      <c r="J224" s="219"/>
      <c r="K224" s="219"/>
      <c r="L224" s="221"/>
    </row>
    <row r="225" spans="1:75" ht="13.5" customHeight="1">
      <c r="A225" s="1" t="s">
        <v>554</v>
      </c>
      <c r="B225" s="2" t="s">
        <v>116</v>
      </c>
      <c r="C225" s="2" t="s">
        <v>555</v>
      </c>
      <c r="D225" s="147" t="s">
        <v>556</v>
      </c>
      <c r="E225" s="148"/>
      <c r="F225" s="2" t="s">
        <v>123</v>
      </c>
      <c r="G225" s="55">
        <v>3</v>
      </c>
      <c r="H225" s="56">
        <v>0</v>
      </c>
      <c r="I225" s="55">
        <f>G225*H225</f>
        <v>0</v>
      </c>
      <c r="J225" s="55">
        <v>0</v>
      </c>
      <c r="K225" s="55">
        <f>G225*J225</f>
        <v>0</v>
      </c>
      <c r="L225" s="57" t="s">
        <v>124</v>
      </c>
      <c r="Z225" s="55">
        <f>IF(AQ225="5",BJ225,0)</f>
        <v>0</v>
      </c>
      <c r="AB225" s="55">
        <f>IF(AQ225="1",BH225,0)</f>
        <v>0</v>
      </c>
      <c r="AC225" s="55">
        <f>IF(AQ225="1",BI225,0)</f>
        <v>0</v>
      </c>
      <c r="AD225" s="55">
        <f>IF(AQ225="7",BH225,0)</f>
        <v>0</v>
      </c>
      <c r="AE225" s="55">
        <f>IF(AQ225="7",BI225,0)</f>
        <v>0</v>
      </c>
      <c r="AF225" s="55">
        <f>IF(AQ225="2",BH225,0)</f>
        <v>0</v>
      </c>
      <c r="AG225" s="55">
        <f>IF(AQ225="2",BI225,0)</f>
        <v>0</v>
      </c>
      <c r="AH225" s="55">
        <f>IF(AQ225="0",BJ225,0)</f>
        <v>0</v>
      </c>
      <c r="AI225" s="34" t="s">
        <v>116</v>
      </c>
      <c r="AJ225" s="55">
        <f>IF(AN225=0,I225,0)</f>
        <v>0</v>
      </c>
      <c r="AK225" s="55">
        <f>IF(AN225=12,I225,0)</f>
        <v>0</v>
      </c>
      <c r="AL225" s="55">
        <f>IF(AN225=21,I225,0)</f>
        <v>0</v>
      </c>
      <c r="AN225" s="55">
        <v>21</v>
      </c>
      <c r="AO225" s="55">
        <f>H225*0.851282051</f>
        <v>0</v>
      </c>
      <c r="AP225" s="55">
        <f>H225*(1-0.851282051)</f>
        <v>0</v>
      </c>
      <c r="AQ225" s="58" t="s">
        <v>120</v>
      </c>
      <c r="AV225" s="55">
        <f>AW225+AX225</f>
        <v>0</v>
      </c>
      <c r="AW225" s="55">
        <f>G225*AO225</f>
        <v>0</v>
      </c>
      <c r="AX225" s="55">
        <f>G225*AP225</f>
        <v>0</v>
      </c>
      <c r="AY225" s="58" t="s">
        <v>442</v>
      </c>
      <c r="AZ225" s="58" t="s">
        <v>443</v>
      </c>
      <c r="BA225" s="34" t="s">
        <v>128</v>
      </c>
      <c r="BB225" s="67">
        <v>100133</v>
      </c>
      <c r="BC225" s="55">
        <f>AW225+AX225</f>
        <v>0</v>
      </c>
      <c r="BD225" s="55">
        <f>H225/(100-BE225)*100</f>
        <v>0</v>
      </c>
      <c r="BE225" s="55">
        <v>0</v>
      </c>
      <c r="BF225" s="55">
        <f>K225</f>
        <v>0</v>
      </c>
      <c r="BH225" s="55">
        <f>G225*AO225</f>
        <v>0</v>
      </c>
      <c r="BI225" s="55">
        <f>G225*AP225</f>
        <v>0</v>
      </c>
      <c r="BJ225" s="55">
        <f>G225*H225</f>
        <v>0</v>
      </c>
      <c r="BK225" s="55"/>
      <c r="BL225" s="55">
        <v>2222</v>
      </c>
      <c r="BW225" s="55">
        <v>21</v>
      </c>
    </row>
    <row r="226" spans="1:12" ht="13.5" customHeight="1">
      <c r="A226" s="59"/>
      <c r="D226" s="218" t="s">
        <v>129</v>
      </c>
      <c r="E226" s="219"/>
      <c r="F226" s="219"/>
      <c r="G226" s="219"/>
      <c r="H226" s="220"/>
      <c r="I226" s="219"/>
      <c r="J226" s="219"/>
      <c r="K226" s="219"/>
      <c r="L226" s="221"/>
    </row>
    <row r="227" spans="1:75" ht="13.5" customHeight="1">
      <c r="A227" s="1" t="s">
        <v>557</v>
      </c>
      <c r="B227" s="2" t="s">
        <v>116</v>
      </c>
      <c r="C227" s="2" t="s">
        <v>558</v>
      </c>
      <c r="D227" s="147" t="s">
        <v>559</v>
      </c>
      <c r="E227" s="148"/>
      <c r="F227" s="2" t="s">
        <v>123</v>
      </c>
      <c r="G227" s="55">
        <v>1</v>
      </c>
      <c r="H227" s="56">
        <v>0</v>
      </c>
      <c r="I227" s="55">
        <f>G227*H227</f>
        <v>0</v>
      </c>
      <c r="J227" s="55">
        <v>0</v>
      </c>
      <c r="K227" s="55">
        <f>G227*J227</f>
        <v>0</v>
      </c>
      <c r="L227" s="57" t="s">
        <v>124</v>
      </c>
      <c r="Z227" s="55">
        <f>IF(AQ227="5",BJ227,0)</f>
        <v>0</v>
      </c>
      <c r="AB227" s="55">
        <f>IF(AQ227="1",BH227,0)</f>
        <v>0</v>
      </c>
      <c r="AC227" s="55">
        <f>IF(AQ227="1",BI227,0)</f>
        <v>0</v>
      </c>
      <c r="AD227" s="55">
        <f>IF(AQ227="7",BH227,0)</f>
        <v>0</v>
      </c>
      <c r="AE227" s="55">
        <f>IF(AQ227="7",BI227,0)</f>
        <v>0</v>
      </c>
      <c r="AF227" s="55">
        <f>IF(AQ227="2",BH227,0)</f>
        <v>0</v>
      </c>
      <c r="AG227" s="55">
        <f>IF(AQ227="2",BI227,0)</f>
        <v>0</v>
      </c>
      <c r="AH227" s="55">
        <f>IF(AQ227="0",BJ227,0)</f>
        <v>0</v>
      </c>
      <c r="AI227" s="34" t="s">
        <v>116</v>
      </c>
      <c r="AJ227" s="55">
        <f>IF(AN227=0,I227,0)</f>
        <v>0</v>
      </c>
      <c r="AK227" s="55">
        <f>IF(AN227=12,I227,0)</f>
        <v>0</v>
      </c>
      <c r="AL227" s="55">
        <f>IF(AN227=21,I227,0)</f>
        <v>0</v>
      </c>
      <c r="AN227" s="55">
        <v>21</v>
      </c>
      <c r="AO227" s="55">
        <f>H227*0.344863732</f>
        <v>0</v>
      </c>
      <c r="AP227" s="55">
        <f>H227*(1-0.344863732)</f>
        <v>0</v>
      </c>
      <c r="AQ227" s="58" t="s">
        <v>120</v>
      </c>
      <c r="AV227" s="55">
        <f>AW227+AX227</f>
        <v>0</v>
      </c>
      <c r="AW227" s="55">
        <f>G227*AO227</f>
        <v>0</v>
      </c>
      <c r="AX227" s="55">
        <f>G227*AP227</f>
        <v>0</v>
      </c>
      <c r="AY227" s="58" t="s">
        <v>442</v>
      </c>
      <c r="AZ227" s="58" t="s">
        <v>443</v>
      </c>
      <c r="BA227" s="34" t="s">
        <v>128</v>
      </c>
      <c r="BB227" s="67">
        <v>100133</v>
      </c>
      <c r="BC227" s="55">
        <f>AW227+AX227</f>
        <v>0</v>
      </c>
      <c r="BD227" s="55">
        <f>H227/(100-BE227)*100</f>
        <v>0</v>
      </c>
      <c r="BE227" s="55">
        <v>0</v>
      </c>
      <c r="BF227" s="55">
        <f>K227</f>
        <v>0</v>
      </c>
      <c r="BH227" s="55">
        <f>G227*AO227</f>
        <v>0</v>
      </c>
      <c r="BI227" s="55">
        <f>G227*AP227</f>
        <v>0</v>
      </c>
      <c r="BJ227" s="55">
        <f>G227*H227</f>
        <v>0</v>
      </c>
      <c r="BK227" s="55"/>
      <c r="BL227" s="55">
        <v>2222</v>
      </c>
      <c r="BW227" s="55">
        <v>21</v>
      </c>
    </row>
    <row r="228" spans="1:12" ht="13.5" customHeight="1">
      <c r="A228" s="59"/>
      <c r="D228" s="218" t="s">
        <v>560</v>
      </c>
      <c r="E228" s="219"/>
      <c r="F228" s="219"/>
      <c r="G228" s="219"/>
      <c r="H228" s="220"/>
      <c r="I228" s="219"/>
      <c r="J228" s="219"/>
      <c r="K228" s="219"/>
      <c r="L228" s="221"/>
    </row>
    <row r="229" spans="1:75" ht="13.5" customHeight="1">
      <c r="A229" s="1" t="s">
        <v>561</v>
      </c>
      <c r="B229" s="2" t="s">
        <v>116</v>
      </c>
      <c r="C229" s="2" t="s">
        <v>562</v>
      </c>
      <c r="D229" s="147" t="s">
        <v>563</v>
      </c>
      <c r="E229" s="148"/>
      <c r="F229" s="2" t="s">
        <v>174</v>
      </c>
      <c r="G229" s="55">
        <v>30</v>
      </c>
      <c r="H229" s="56">
        <v>0</v>
      </c>
      <c r="I229" s="55">
        <f>G229*H229</f>
        <v>0</v>
      </c>
      <c r="J229" s="55">
        <v>0</v>
      </c>
      <c r="K229" s="55">
        <f>G229*J229</f>
        <v>0</v>
      </c>
      <c r="L229" s="57" t="s">
        <v>124</v>
      </c>
      <c r="Z229" s="55">
        <f>IF(AQ229="5",BJ229,0)</f>
        <v>0</v>
      </c>
      <c r="AB229" s="55">
        <f>IF(AQ229="1",BH229,0)</f>
        <v>0</v>
      </c>
      <c r="AC229" s="55">
        <f>IF(AQ229="1",BI229,0)</f>
        <v>0</v>
      </c>
      <c r="AD229" s="55">
        <f>IF(AQ229="7",BH229,0)</f>
        <v>0</v>
      </c>
      <c r="AE229" s="55">
        <f>IF(AQ229="7",BI229,0)</f>
        <v>0</v>
      </c>
      <c r="AF229" s="55">
        <f>IF(AQ229="2",BH229,0)</f>
        <v>0</v>
      </c>
      <c r="AG229" s="55">
        <f>IF(AQ229="2",BI229,0)</f>
        <v>0</v>
      </c>
      <c r="AH229" s="55">
        <f>IF(AQ229="0",BJ229,0)</f>
        <v>0</v>
      </c>
      <c r="AI229" s="34" t="s">
        <v>116</v>
      </c>
      <c r="AJ229" s="55">
        <f>IF(AN229=0,I229,0)</f>
        <v>0</v>
      </c>
      <c r="AK229" s="55">
        <f>IF(AN229=12,I229,0)</f>
        <v>0</v>
      </c>
      <c r="AL229" s="55">
        <f>IF(AN229=21,I229,0)</f>
        <v>0</v>
      </c>
      <c r="AN229" s="55">
        <v>21</v>
      </c>
      <c r="AO229" s="55">
        <f>H229*0.543973941</f>
        <v>0</v>
      </c>
      <c r="AP229" s="55">
        <f>H229*(1-0.543973941)</f>
        <v>0</v>
      </c>
      <c r="AQ229" s="58" t="s">
        <v>120</v>
      </c>
      <c r="AV229" s="55">
        <f>AW229+AX229</f>
        <v>0</v>
      </c>
      <c r="AW229" s="55">
        <f>G229*AO229</f>
        <v>0</v>
      </c>
      <c r="AX229" s="55">
        <f>G229*AP229</f>
        <v>0</v>
      </c>
      <c r="AY229" s="58" t="s">
        <v>442</v>
      </c>
      <c r="AZ229" s="58" t="s">
        <v>443</v>
      </c>
      <c r="BA229" s="34" t="s">
        <v>128</v>
      </c>
      <c r="BB229" s="67">
        <v>100133</v>
      </c>
      <c r="BC229" s="55">
        <f>AW229+AX229</f>
        <v>0</v>
      </c>
      <c r="BD229" s="55">
        <f>H229/(100-BE229)*100</f>
        <v>0</v>
      </c>
      <c r="BE229" s="55">
        <v>0</v>
      </c>
      <c r="BF229" s="55">
        <f>K229</f>
        <v>0</v>
      </c>
      <c r="BH229" s="55">
        <f>G229*AO229</f>
        <v>0</v>
      </c>
      <c r="BI229" s="55">
        <f>G229*AP229</f>
        <v>0</v>
      </c>
      <c r="BJ229" s="55">
        <f>G229*H229</f>
        <v>0</v>
      </c>
      <c r="BK229" s="55"/>
      <c r="BL229" s="55">
        <v>2222</v>
      </c>
      <c r="BW229" s="55">
        <v>21</v>
      </c>
    </row>
    <row r="230" spans="1:12" ht="13.5" customHeight="1">
      <c r="A230" s="59"/>
      <c r="D230" s="218" t="s">
        <v>560</v>
      </c>
      <c r="E230" s="219"/>
      <c r="F230" s="219"/>
      <c r="G230" s="219"/>
      <c r="H230" s="220"/>
      <c r="I230" s="219"/>
      <c r="J230" s="219"/>
      <c r="K230" s="219"/>
      <c r="L230" s="221"/>
    </row>
    <row r="231" spans="1:75" ht="13.5" customHeight="1">
      <c r="A231" s="1" t="s">
        <v>564</v>
      </c>
      <c r="B231" s="2" t="s">
        <v>116</v>
      </c>
      <c r="C231" s="2" t="s">
        <v>565</v>
      </c>
      <c r="D231" s="147" t="s">
        <v>566</v>
      </c>
      <c r="E231" s="148"/>
      <c r="F231" s="2" t="s">
        <v>174</v>
      </c>
      <c r="G231" s="55">
        <v>30</v>
      </c>
      <c r="H231" s="56">
        <v>0</v>
      </c>
      <c r="I231" s="55">
        <f>G231*H231</f>
        <v>0</v>
      </c>
      <c r="J231" s="55">
        <v>0</v>
      </c>
      <c r="K231" s="55">
        <f>G231*J231</f>
        <v>0</v>
      </c>
      <c r="L231" s="57" t="s">
        <v>124</v>
      </c>
      <c r="Z231" s="55">
        <f>IF(AQ231="5",BJ231,0)</f>
        <v>0</v>
      </c>
      <c r="AB231" s="55">
        <f>IF(AQ231="1",BH231,0)</f>
        <v>0</v>
      </c>
      <c r="AC231" s="55">
        <f>IF(AQ231="1",BI231,0)</f>
        <v>0</v>
      </c>
      <c r="AD231" s="55">
        <f>IF(AQ231="7",BH231,0)</f>
        <v>0</v>
      </c>
      <c r="AE231" s="55">
        <f>IF(AQ231="7",BI231,0)</f>
        <v>0</v>
      </c>
      <c r="AF231" s="55">
        <f>IF(AQ231="2",BH231,0)</f>
        <v>0</v>
      </c>
      <c r="AG231" s="55">
        <f>IF(AQ231="2",BI231,0)</f>
        <v>0</v>
      </c>
      <c r="AH231" s="55">
        <f>IF(AQ231="0",BJ231,0)</f>
        <v>0</v>
      </c>
      <c r="AI231" s="34" t="s">
        <v>116</v>
      </c>
      <c r="AJ231" s="55">
        <f>IF(AN231=0,I231,0)</f>
        <v>0</v>
      </c>
      <c r="AK231" s="55">
        <f>IF(AN231=12,I231,0)</f>
        <v>0</v>
      </c>
      <c r="AL231" s="55">
        <f>IF(AN231=21,I231,0)</f>
        <v>0</v>
      </c>
      <c r="AN231" s="55">
        <v>21</v>
      </c>
      <c r="AO231" s="55">
        <f>H231*0.175824176</f>
        <v>0</v>
      </c>
      <c r="AP231" s="55">
        <f>H231*(1-0.175824176)</f>
        <v>0</v>
      </c>
      <c r="AQ231" s="58" t="s">
        <v>120</v>
      </c>
      <c r="AV231" s="55">
        <f>AW231+AX231</f>
        <v>0</v>
      </c>
      <c r="AW231" s="55">
        <f>G231*AO231</f>
        <v>0</v>
      </c>
      <c r="AX231" s="55">
        <f>G231*AP231</f>
        <v>0</v>
      </c>
      <c r="AY231" s="58" t="s">
        <v>442</v>
      </c>
      <c r="AZ231" s="58" t="s">
        <v>443</v>
      </c>
      <c r="BA231" s="34" t="s">
        <v>128</v>
      </c>
      <c r="BB231" s="67">
        <v>100133</v>
      </c>
      <c r="BC231" s="55">
        <f>AW231+AX231</f>
        <v>0</v>
      </c>
      <c r="BD231" s="55">
        <f>H231/(100-BE231)*100</f>
        <v>0</v>
      </c>
      <c r="BE231" s="55">
        <v>0</v>
      </c>
      <c r="BF231" s="55">
        <f>K231</f>
        <v>0</v>
      </c>
      <c r="BH231" s="55">
        <f>G231*AO231</f>
        <v>0</v>
      </c>
      <c r="BI231" s="55">
        <f>G231*AP231</f>
        <v>0</v>
      </c>
      <c r="BJ231" s="55">
        <f>G231*H231</f>
        <v>0</v>
      </c>
      <c r="BK231" s="55"/>
      <c r="BL231" s="55">
        <v>2222</v>
      </c>
      <c r="BW231" s="55">
        <v>21</v>
      </c>
    </row>
    <row r="232" spans="1:12" ht="13.5" customHeight="1">
      <c r="A232" s="59"/>
      <c r="D232" s="218" t="s">
        <v>560</v>
      </c>
      <c r="E232" s="219"/>
      <c r="F232" s="219"/>
      <c r="G232" s="219"/>
      <c r="H232" s="220"/>
      <c r="I232" s="219"/>
      <c r="J232" s="219"/>
      <c r="K232" s="219"/>
      <c r="L232" s="221"/>
    </row>
    <row r="233" spans="1:75" ht="13.5" customHeight="1">
      <c r="A233" s="1" t="s">
        <v>567</v>
      </c>
      <c r="B233" s="2" t="s">
        <v>116</v>
      </c>
      <c r="C233" s="2" t="s">
        <v>568</v>
      </c>
      <c r="D233" s="147" t="s">
        <v>569</v>
      </c>
      <c r="E233" s="148"/>
      <c r="F233" s="2" t="s">
        <v>174</v>
      </c>
      <c r="G233" s="55">
        <v>26</v>
      </c>
      <c r="H233" s="56">
        <v>0</v>
      </c>
      <c r="I233" s="55">
        <f>G233*H233</f>
        <v>0</v>
      </c>
      <c r="J233" s="55">
        <v>0</v>
      </c>
      <c r="K233" s="55">
        <f>G233*J233</f>
        <v>0</v>
      </c>
      <c r="L233" s="57" t="s">
        <v>124</v>
      </c>
      <c r="Z233" s="55">
        <f>IF(AQ233="5",BJ233,0)</f>
        <v>0</v>
      </c>
      <c r="AB233" s="55">
        <f>IF(AQ233="1",BH233,0)</f>
        <v>0</v>
      </c>
      <c r="AC233" s="55">
        <f>IF(AQ233="1",BI233,0)</f>
        <v>0</v>
      </c>
      <c r="AD233" s="55">
        <f>IF(AQ233="7",BH233,0)</f>
        <v>0</v>
      </c>
      <c r="AE233" s="55">
        <f>IF(AQ233="7",BI233,0)</f>
        <v>0</v>
      </c>
      <c r="AF233" s="55">
        <f>IF(AQ233="2",BH233,0)</f>
        <v>0</v>
      </c>
      <c r="AG233" s="55">
        <f>IF(AQ233="2",BI233,0)</f>
        <v>0</v>
      </c>
      <c r="AH233" s="55">
        <f>IF(AQ233="0",BJ233,0)</f>
        <v>0</v>
      </c>
      <c r="AI233" s="34" t="s">
        <v>116</v>
      </c>
      <c r="AJ233" s="55">
        <f>IF(AN233=0,I233,0)</f>
        <v>0</v>
      </c>
      <c r="AK233" s="55">
        <f>IF(AN233=12,I233,0)</f>
        <v>0</v>
      </c>
      <c r="AL233" s="55">
        <f>IF(AN233=21,I233,0)</f>
        <v>0</v>
      </c>
      <c r="AN233" s="55">
        <v>21</v>
      </c>
      <c r="AO233" s="55">
        <f>H233*0</f>
        <v>0</v>
      </c>
      <c r="AP233" s="55">
        <f>H233*(1-0)</f>
        <v>0</v>
      </c>
      <c r="AQ233" s="58" t="s">
        <v>120</v>
      </c>
      <c r="AV233" s="55">
        <f>AW233+AX233</f>
        <v>0</v>
      </c>
      <c r="AW233" s="55">
        <f>G233*AO233</f>
        <v>0</v>
      </c>
      <c r="AX233" s="55">
        <f>G233*AP233</f>
        <v>0</v>
      </c>
      <c r="AY233" s="58" t="s">
        <v>442</v>
      </c>
      <c r="AZ233" s="58" t="s">
        <v>443</v>
      </c>
      <c r="BA233" s="34" t="s">
        <v>128</v>
      </c>
      <c r="BB233" s="67">
        <v>100133</v>
      </c>
      <c r="BC233" s="55">
        <f>AW233+AX233</f>
        <v>0</v>
      </c>
      <c r="BD233" s="55">
        <f>H233/(100-BE233)*100</f>
        <v>0</v>
      </c>
      <c r="BE233" s="55">
        <v>0</v>
      </c>
      <c r="BF233" s="55">
        <f>K233</f>
        <v>0</v>
      </c>
      <c r="BH233" s="55">
        <f>G233*AO233</f>
        <v>0</v>
      </c>
      <c r="BI233" s="55">
        <f>G233*AP233</f>
        <v>0</v>
      </c>
      <c r="BJ233" s="55">
        <f>G233*H233</f>
        <v>0</v>
      </c>
      <c r="BK233" s="55"/>
      <c r="BL233" s="55">
        <v>2222</v>
      </c>
      <c r="BW233" s="55">
        <v>21</v>
      </c>
    </row>
    <row r="234" spans="1:12" ht="13.5" customHeight="1">
      <c r="A234" s="59"/>
      <c r="D234" s="218" t="s">
        <v>570</v>
      </c>
      <c r="E234" s="219"/>
      <c r="F234" s="219"/>
      <c r="G234" s="219"/>
      <c r="H234" s="220"/>
      <c r="I234" s="219"/>
      <c r="J234" s="219"/>
      <c r="K234" s="219"/>
      <c r="L234" s="221"/>
    </row>
    <row r="235" spans="1:75" ht="13.5" customHeight="1">
      <c r="A235" s="1" t="s">
        <v>571</v>
      </c>
      <c r="B235" s="2" t="s">
        <v>116</v>
      </c>
      <c r="C235" s="2" t="s">
        <v>572</v>
      </c>
      <c r="D235" s="147" t="s">
        <v>573</v>
      </c>
      <c r="E235" s="148"/>
      <c r="F235" s="2" t="s">
        <v>123</v>
      </c>
      <c r="G235" s="55">
        <v>1</v>
      </c>
      <c r="H235" s="56">
        <v>0</v>
      </c>
      <c r="I235" s="55">
        <f>G235*H235</f>
        <v>0</v>
      </c>
      <c r="J235" s="55">
        <v>0</v>
      </c>
      <c r="K235" s="55">
        <f>G235*J235</f>
        <v>0</v>
      </c>
      <c r="L235" s="57" t="s">
        <v>124</v>
      </c>
      <c r="Z235" s="55">
        <f>IF(AQ235="5",BJ235,0)</f>
        <v>0</v>
      </c>
      <c r="AB235" s="55">
        <f>IF(AQ235="1",BH235,0)</f>
        <v>0</v>
      </c>
      <c r="AC235" s="55">
        <f>IF(AQ235="1",BI235,0)</f>
        <v>0</v>
      </c>
      <c r="AD235" s="55">
        <f>IF(AQ235="7",BH235,0)</f>
        <v>0</v>
      </c>
      <c r="AE235" s="55">
        <f>IF(AQ235="7",BI235,0)</f>
        <v>0</v>
      </c>
      <c r="AF235" s="55">
        <f>IF(AQ235="2",BH235,0)</f>
        <v>0</v>
      </c>
      <c r="AG235" s="55">
        <f>IF(AQ235="2",BI235,0)</f>
        <v>0</v>
      </c>
      <c r="AH235" s="55">
        <f>IF(AQ235="0",BJ235,0)</f>
        <v>0</v>
      </c>
      <c r="AI235" s="34" t="s">
        <v>116</v>
      </c>
      <c r="AJ235" s="55">
        <f>IF(AN235=0,I235,0)</f>
        <v>0</v>
      </c>
      <c r="AK235" s="55">
        <f>IF(AN235=12,I235,0)</f>
        <v>0</v>
      </c>
      <c r="AL235" s="55">
        <f>IF(AN235=21,I235,0)</f>
        <v>0</v>
      </c>
      <c r="AN235" s="55">
        <v>21</v>
      </c>
      <c r="AO235" s="55">
        <f>H235*0</f>
        <v>0</v>
      </c>
      <c r="AP235" s="55">
        <f>H235*(1-0)</f>
        <v>0</v>
      </c>
      <c r="AQ235" s="58" t="s">
        <v>120</v>
      </c>
      <c r="AV235" s="55">
        <f>AW235+AX235</f>
        <v>0</v>
      </c>
      <c r="AW235" s="55">
        <f>G235*AO235</f>
        <v>0</v>
      </c>
      <c r="AX235" s="55">
        <f>G235*AP235</f>
        <v>0</v>
      </c>
      <c r="AY235" s="58" t="s">
        <v>442</v>
      </c>
      <c r="AZ235" s="58" t="s">
        <v>443</v>
      </c>
      <c r="BA235" s="34" t="s">
        <v>128</v>
      </c>
      <c r="BB235" s="67">
        <v>100133</v>
      </c>
      <c r="BC235" s="55">
        <f>AW235+AX235</f>
        <v>0</v>
      </c>
      <c r="BD235" s="55">
        <f>H235/(100-BE235)*100</f>
        <v>0</v>
      </c>
      <c r="BE235" s="55">
        <v>0</v>
      </c>
      <c r="BF235" s="55">
        <f>K235</f>
        <v>0</v>
      </c>
      <c r="BH235" s="55">
        <f>G235*AO235</f>
        <v>0</v>
      </c>
      <c r="BI235" s="55">
        <f>G235*AP235</f>
        <v>0</v>
      </c>
      <c r="BJ235" s="55">
        <f>G235*H235</f>
        <v>0</v>
      </c>
      <c r="BK235" s="55"/>
      <c r="BL235" s="55">
        <v>2222</v>
      </c>
      <c r="BW235" s="55">
        <v>21</v>
      </c>
    </row>
    <row r="236" spans="1:12" ht="13.5" customHeight="1">
      <c r="A236" s="59"/>
      <c r="D236" s="218" t="s">
        <v>570</v>
      </c>
      <c r="E236" s="219"/>
      <c r="F236" s="219"/>
      <c r="G236" s="219"/>
      <c r="H236" s="220"/>
      <c r="I236" s="219"/>
      <c r="J236" s="219"/>
      <c r="K236" s="219"/>
      <c r="L236" s="221"/>
    </row>
    <row r="237" spans="1:75" ht="27" customHeight="1">
      <c r="A237" s="1" t="s">
        <v>574</v>
      </c>
      <c r="B237" s="2" t="s">
        <v>116</v>
      </c>
      <c r="C237" s="2" t="s">
        <v>575</v>
      </c>
      <c r="D237" s="147" t="s">
        <v>576</v>
      </c>
      <c r="E237" s="148"/>
      <c r="F237" s="2" t="s">
        <v>123</v>
      </c>
      <c r="G237" s="55">
        <v>1</v>
      </c>
      <c r="H237" s="56">
        <v>0</v>
      </c>
      <c r="I237" s="55">
        <f>G237*H237</f>
        <v>0</v>
      </c>
      <c r="J237" s="55">
        <v>0</v>
      </c>
      <c r="K237" s="55">
        <f>G237*J237</f>
        <v>0</v>
      </c>
      <c r="L237" s="57" t="s">
        <v>577</v>
      </c>
      <c r="Z237" s="55">
        <f>IF(AQ237="5",BJ237,0)</f>
        <v>0</v>
      </c>
      <c r="AB237" s="55">
        <f>IF(AQ237="1",BH237,0)</f>
        <v>0</v>
      </c>
      <c r="AC237" s="55">
        <f>IF(AQ237="1",BI237,0)</f>
        <v>0</v>
      </c>
      <c r="AD237" s="55">
        <f>IF(AQ237="7",BH237,0)</f>
        <v>0</v>
      </c>
      <c r="AE237" s="55">
        <f>IF(AQ237="7",BI237,0)</f>
        <v>0</v>
      </c>
      <c r="AF237" s="55">
        <f>IF(AQ237="2",BH237,0)</f>
        <v>0</v>
      </c>
      <c r="AG237" s="55">
        <f>IF(AQ237="2",BI237,0)</f>
        <v>0</v>
      </c>
      <c r="AH237" s="55">
        <f>IF(AQ237="0",BJ237,0)</f>
        <v>0</v>
      </c>
      <c r="AI237" s="34" t="s">
        <v>116</v>
      </c>
      <c r="AJ237" s="55">
        <f>IF(AN237=0,I237,0)</f>
        <v>0</v>
      </c>
      <c r="AK237" s="55">
        <f>IF(AN237=12,I237,0)</f>
        <v>0</v>
      </c>
      <c r="AL237" s="55">
        <f>IF(AN237=21,I237,0)</f>
        <v>0</v>
      </c>
      <c r="AN237" s="55">
        <v>21</v>
      </c>
      <c r="AO237" s="55">
        <f>H237*0.927532031</f>
        <v>0</v>
      </c>
      <c r="AP237" s="55">
        <f>H237*(1-0.927532031)</f>
        <v>0</v>
      </c>
      <c r="AQ237" s="58" t="s">
        <v>120</v>
      </c>
      <c r="AV237" s="55">
        <f>AW237+AX237</f>
        <v>0</v>
      </c>
      <c r="AW237" s="55">
        <f>G237*AO237</f>
        <v>0</v>
      </c>
      <c r="AX237" s="55">
        <f>G237*AP237</f>
        <v>0</v>
      </c>
      <c r="AY237" s="58" t="s">
        <v>442</v>
      </c>
      <c r="AZ237" s="58" t="s">
        <v>443</v>
      </c>
      <c r="BA237" s="34" t="s">
        <v>128</v>
      </c>
      <c r="BB237" s="67">
        <v>100133</v>
      </c>
      <c r="BC237" s="55">
        <f>AW237+AX237</f>
        <v>0</v>
      </c>
      <c r="BD237" s="55">
        <f>H237/(100-BE237)*100</f>
        <v>0</v>
      </c>
      <c r="BE237" s="55">
        <v>0</v>
      </c>
      <c r="BF237" s="55">
        <f>K237</f>
        <v>0</v>
      </c>
      <c r="BH237" s="55">
        <f>G237*AO237</f>
        <v>0</v>
      </c>
      <c r="BI237" s="55">
        <f>G237*AP237</f>
        <v>0</v>
      </c>
      <c r="BJ237" s="55">
        <f>G237*H237</f>
        <v>0</v>
      </c>
      <c r="BK237" s="55"/>
      <c r="BL237" s="55">
        <v>2222</v>
      </c>
      <c r="BW237" s="55">
        <v>21</v>
      </c>
    </row>
    <row r="238" spans="1:12" ht="13.5" customHeight="1">
      <c r="A238" s="59"/>
      <c r="D238" s="218" t="s">
        <v>560</v>
      </c>
      <c r="E238" s="219"/>
      <c r="F238" s="219"/>
      <c r="G238" s="219"/>
      <c r="H238" s="220"/>
      <c r="I238" s="219"/>
      <c r="J238" s="219"/>
      <c r="K238" s="219"/>
      <c r="L238" s="221"/>
    </row>
    <row r="239" spans="1:75" ht="13.5" customHeight="1">
      <c r="A239" s="1" t="s">
        <v>578</v>
      </c>
      <c r="B239" s="2" t="s">
        <v>116</v>
      </c>
      <c r="C239" s="2" t="s">
        <v>579</v>
      </c>
      <c r="D239" s="147" t="s">
        <v>580</v>
      </c>
      <c r="E239" s="148"/>
      <c r="F239" s="2" t="s">
        <v>174</v>
      </c>
      <c r="G239" s="55">
        <v>300</v>
      </c>
      <c r="H239" s="56">
        <v>0</v>
      </c>
      <c r="I239" s="55">
        <f>G239*H239</f>
        <v>0</v>
      </c>
      <c r="J239" s="55">
        <v>0</v>
      </c>
      <c r="K239" s="55">
        <f>G239*J239</f>
        <v>0</v>
      </c>
      <c r="L239" s="57" t="s">
        <v>124</v>
      </c>
      <c r="Z239" s="55">
        <f>IF(AQ239="5",BJ239,0)</f>
        <v>0</v>
      </c>
      <c r="AB239" s="55">
        <f>IF(AQ239="1",BH239,0)</f>
        <v>0</v>
      </c>
      <c r="AC239" s="55">
        <f>IF(AQ239="1",BI239,0)</f>
        <v>0</v>
      </c>
      <c r="AD239" s="55">
        <f>IF(AQ239="7",BH239,0)</f>
        <v>0</v>
      </c>
      <c r="AE239" s="55">
        <f>IF(AQ239="7",BI239,0)</f>
        <v>0</v>
      </c>
      <c r="AF239" s="55">
        <f>IF(AQ239="2",BH239,0)</f>
        <v>0</v>
      </c>
      <c r="AG239" s="55">
        <f>IF(AQ239="2",BI239,0)</f>
        <v>0</v>
      </c>
      <c r="AH239" s="55">
        <f>IF(AQ239="0",BJ239,0)</f>
        <v>0</v>
      </c>
      <c r="AI239" s="34" t="s">
        <v>116</v>
      </c>
      <c r="AJ239" s="55">
        <f>IF(AN239=0,I239,0)</f>
        <v>0</v>
      </c>
      <c r="AK239" s="55">
        <f>IF(AN239=12,I239,0)</f>
        <v>0</v>
      </c>
      <c r="AL239" s="55">
        <f>IF(AN239=21,I239,0)</f>
        <v>0</v>
      </c>
      <c r="AN239" s="55">
        <v>21</v>
      </c>
      <c r="AO239" s="55">
        <f>H239*0.317073171</f>
        <v>0</v>
      </c>
      <c r="AP239" s="55">
        <f>H239*(1-0.317073171)</f>
        <v>0</v>
      </c>
      <c r="AQ239" s="58" t="s">
        <v>120</v>
      </c>
      <c r="AV239" s="55">
        <f>AW239+AX239</f>
        <v>0</v>
      </c>
      <c r="AW239" s="55">
        <f>G239*AO239</f>
        <v>0</v>
      </c>
      <c r="AX239" s="55">
        <f>G239*AP239</f>
        <v>0</v>
      </c>
      <c r="AY239" s="58" t="s">
        <v>442</v>
      </c>
      <c r="AZ239" s="58" t="s">
        <v>443</v>
      </c>
      <c r="BA239" s="34" t="s">
        <v>128</v>
      </c>
      <c r="BB239" s="67">
        <v>100133</v>
      </c>
      <c r="BC239" s="55">
        <f>AW239+AX239</f>
        <v>0</v>
      </c>
      <c r="BD239" s="55">
        <f>H239/(100-BE239)*100</f>
        <v>0</v>
      </c>
      <c r="BE239" s="55">
        <v>0</v>
      </c>
      <c r="BF239" s="55">
        <f>K239</f>
        <v>0</v>
      </c>
      <c r="BH239" s="55">
        <f>G239*AO239</f>
        <v>0</v>
      </c>
      <c r="BI239" s="55">
        <f>G239*AP239</f>
        <v>0</v>
      </c>
      <c r="BJ239" s="55">
        <f>G239*H239</f>
        <v>0</v>
      </c>
      <c r="BK239" s="55"/>
      <c r="BL239" s="55">
        <v>2222</v>
      </c>
      <c r="BW239" s="55">
        <v>21</v>
      </c>
    </row>
    <row r="240" spans="1:12" ht="13.5" customHeight="1">
      <c r="A240" s="59"/>
      <c r="D240" s="218" t="s">
        <v>129</v>
      </c>
      <c r="E240" s="219"/>
      <c r="F240" s="219"/>
      <c r="G240" s="219"/>
      <c r="H240" s="220"/>
      <c r="I240" s="219"/>
      <c r="J240" s="219"/>
      <c r="K240" s="219"/>
      <c r="L240" s="221"/>
    </row>
    <row r="241" spans="1:75" ht="13.5" customHeight="1">
      <c r="A241" s="1" t="s">
        <v>581</v>
      </c>
      <c r="B241" s="2" t="s">
        <v>116</v>
      </c>
      <c r="C241" s="2" t="s">
        <v>582</v>
      </c>
      <c r="D241" s="147" t="s">
        <v>583</v>
      </c>
      <c r="E241" s="148"/>
      <c r="F241" s="2" t="s">
        <v>174</v>
      </c>
      <c r="G241" s="55">
        <v>50</v>
      </c>
      <c r="H241" s="56">
        <v>0</v>
      </c>
      <c r="I241" s="55">
        <f>G241*H241</f>
        <v>0</v>
      </c>
      <c r="J241" s="55">
        <v>0</v>
      </c>
      <c r="K241" s="55">
        <f>G241*J241</f>
        <v>0</v>
      </c>
      <c r="L241" s="57" t="s">
        <v>124</v>
      </c>
      <c r="Z241" s="55">
        <f>IF(AQ241="5",BJ241,0)</f>
        <v>0</v>
      </c>
      <c r="AB241" s="55">
        <f>IF(AQ241="1",BH241,0)</f>
        <v>0</v>
      </c>
      <c r="AC241" s="55">
        <f>IF(AQ241="1",BI241,0)</f>
        <v>0</v>
      </c>
      <c r="AD241" s="55">
        <f>IF(AQ241="7",BH241,0)</f>
        <v>0</v>
      </c>
      <c r="AE241" s="55">
        <f>IF(AQ241="7",BI241,0)</f>
        <v>0</v>
      </c>
      <c r="AF241" s="55">
        <f>IF(AQ241="2",BH241,0)</f>
        <v>0</v>
      </c>
      <c r="AG241" s="55">
        <f>IF(AQ241="2",BI241,0)</f>
        <v>0</v>
      </c>
      <c r="AH241" s="55">
        <f>IF(AQ241="0",BJ241,0)</f>
        <v>0</v>
      </c>
      <c r="AI241" s="34" t="s">
        <v>116</v>
      </c>
      <c r="AJ241" s="55">
        <f>IF(AN241=0,I241,0)</f>
        <v>0</v>
      </c>
      <c r="AK241" s="55">
        <f>IF(AN241=12,I241,0)</f>
        <v>0</v>
      </c>
      <c r="AL241" s="55">
        <f>IF(AN241=21,I241,0)</f>
        <v>0</v>
      </c>
      <c r="AN241" s="55">
        <v>21</v>
      </c>
      <c r="AO241" s="55">
        <f>H241*0.488372093</f>
        <v>0</v>
      </c>
      <c r="AP241" s="55">
        <f>H241*(1-0.488372093)</f>
        <v>0</v>
      </c>
      <c r="AQ241" s="58" t="s">
        <v>120</v>
      </c>
      <c r="AV241" s="55">
        <f>AW241+AX241</f>
        <v>0</v>
      </c>
      <c r="AW241" s="55">
        <f>G241*AO241</f>
        <v>0</v>
      </c>
      <c r="AX241" s="55">
        <f>G241*AP241</f>
        <v>0</v>
      </c>
      <c r="AY241" s="58" t="s">
        <v>442</v>
      </c>
      <c r="AZ241" s="58" t="s">
        <v>443</v>
      </c>
      <c r="BA241" s="34" t="s">
        <v>128</v>
      </c>
      <c r="BB241" s="67">
        <v>100133</v>
      </c>
      <c r="BC241" s="55">
        <f>AW241+AX241</f>
        <v>0</v>
      </c>
      <c r="BD241" s="55">
        <f>H241/(100-BE241)*100</f>
        <v>0</v>
      </c>
      <c r="BE241" s="55">
        <v>0</v>
      </c>
      <c r="BF241" s="55">
        <f>K241</f>
        <v>0</v>
      </c>
      <c r="BH241" s="55">
        <f>G241*AO241</f>
        <v>0</v>
      </c>
      <c r="BI241" s="55">
        <f>G241*AP241</f>
        <v>0</v>
      </c>
      <c r="BJ241" s="55">
        <f>G241*H241</f>
        <v>0</v>
      </c>
      <c r="BK241" s="55"/>
      <c r="BL241" s="55">
        <v>2222</v>
      </c>
      <c r="BW241" s="55">
        <v>21</v>
      </c>
    </row>
    <row r="242" spans="1:12" ht="13.5" customHeight="1">
      <c r="A242" s="59"/>
      <c r="D242" s="218" t="s">
        <v>129</v>
      </c>
      <c r="E242" s="219"/>
      <c r="F242" s="219"/>
      <c r="G242" s="219"/>
      <c r="H242" s="220"/>
      <c r="I242" s="219"/>
      <c r="J242" s="219"/>
      <c r="K242" s="219"/>
      <c r="L242" s="221"/>
    </row>
    <row r="243" spans="1:75" ht="13.5" customHeight="1">
      <c r="A243" s="1" t="s">
        <v>584</v>
      </c>
      <c r="B243" s="2" t="s">
        <v>116</v>
      </c>
      <c r="C243" s="2" t="s">
        <v>585</v>
      </c>
      <c r="D243" s="147" t="s">
        <v>586</v>
      </c>
      <c r="E243" s="148"/>
      <c r="F243" s="2" t="s">
        <v>174</v>
      </c>
      <c r="G243" s="55">
        <v>50</v>
      </c>
      <c r="H243" s="56">
        <v>0</v>
      </c>
      <c r="I243" s="55">
        <f>G243*H243</f>
        <v>0</v>
      </c>
      <c r="J243" s="55">
        <v>0</v>
      </c>
      <c r="K243" s="55">
        <f>G243*J243</f>
        <v>0</v>
      </c>
      <c r="L243" s="57" t="s">
        <v>124</v>
      </c>
      <c r="Z243" s="55">
        <f>IF(AQ243="5",BJ243,0)</f>
        <v>0</v>
      </c>
      <c r="AB243" s="55">
        <f>IF(AQ243="1",BH243,0)</f>
        <v>0</v>
      </c>
      <c r="AC243" s="55">
        <f>IF(AQ243="1",BI243,0)</f>
        <v>0</v>
      </c>
      <c r="AD243" s="55">
        <f>IF(AQ243="7",BH243,0)</f>
        <v>0</v>
      </c>
      <c r="AE243" s="55">
        <f>IF(AQ243="7",BI243,0)</f>
        <v>0</v>
      </c>
      <c r="AF243" s="55">
        <f>IF(AQ243="2",BH243,0)</f>
        <v>0</v>
      </c>
      <c r="AG243" s="55">
        <f>IF(AQ243="2",BI243,0)</f>
        <v>0</v>
      </c>
      <c r="AH243" s="55">
        <f>IF(AQ243="0",BJ243,0)</f>
        <v>0</v>
      </c>
      <c r="AI243" s="34" t="s">
        <v>116</v>
      </c>
      <c r="AJ243" s="55">
        <f>IF(AN243=0,I243,0)</f>
        <v>0</v>
      </c>
      <c r="AK243" s="55">
        <f>IF(AN243=12,I243,0)</f>
        <v>0</v>
      </c>
      <c r="AL243" s="55">
        <f>IF(AN243=21,I243,0)</f>
        <v>0</v>
      </c>
      <c r="AN243" s="55">
        <v>21</v>
      </c>
      <c r="AO243" s="55">
        <f>H243*0.5</f>
        <v>0</v>
      </c>
      <c r="AP243" s="55">
        <f>H243*(1-0.5)</f>
        <v>0</v>
      </c>
      <c r="AQ243" s="58" t="s">
        <v>120</v>
      </c>
      <c r="AV243" s="55">
        <f>AW243+AX243</f>
        <v>0</v>
      </c>
      <c r="AW243" s="55">
        <f>G243*AO243</f>
        <v>0</v>
      </c>
      <c r="AX243" s="55">
        <f>G243*AP243</f>
        <v>0</v>
      </c>
      <c r="AY243" s="58" t="s">
        <v>442</v>
      </c>
      <c r="AZ243" s="58" t="s">
        <v>443</v>
      </c>
      <c r="BA243" s="34" t="s">
        <v>128</v>
      </c>
      <c r="BB243" s="67">
        <v>100133</v>
      </c>
      <c r="BC243" s="55">
        <f>AW243+AX243</f>
        <v>0</v>
      </c>
      <c r="BD243" s="55">
        <f>H243/(100-BE243)*100</f>
        <v>0</v>
      </c>
      <c r="BE243" s="55">
        <v>0</v>
      </c>
      <c r="BF243" s="55">
        <f>K243</f>
        <v>0</v>
      </c>
      <c r="BH243" s="55">
        <f>G243*AO243</f>
        <v>0</v>
      </c>
      <c r="BI243" s="55">
        <f>G243*AP243</f>
        <v>0</v>
      </c>
      <c r="BJ243" s="55">
        <f>G243*H243</f>
        <v>0</v>
      </c>
      <c r="BK243" s="55"/>
      <c r="BL243" s="55">
        <v>2222</v>
      </c>
      <c r="BW243" s="55">
        <v>21</v>
      </c>
    </row>
    <row r="244" spans="1:12" ht="13.5" customHeight="1">
      <c r="A244" s="59"/>
      <c r="D244" s="218" t="s">
        <v>129</v>
      </c>
      <c r="E244" s="219"/>
      <c r="F244" s="219"/>
      <c r="G244" s="219"/>
      <c r="H244" s="220"/>
      <c r="I244" s="219"/>
      <c r="J244" s="219"/>
      <c r="K244" s="219"/>
      <c r="L244" s="221"/>
    </row>
    <row r="245" spans="1:75" ht="13.5" customHeight="1">
      <c r="A245" s="1" t="s">
        <v>587</v>
      </c>
      <c r="B245" s="2" t="s">
        <v>116</v>
      </c>
      <c r="C245" s="2" t="s">
        <v>588</v>
      </c>
      <c r="D245" s="147" t="s">
        <v>589</v>
      </c>
      <c r="E245" s="148"/>
      <c r="F245" s="2" t="s">
        <v>360</v>
      </c>
      <c r="G245" s="55">
        <v>8</v>
      </c>
      <c r="H245" s="56">
        <v>0</v>
      </c>
      <c r="I245" s="55">
        <f>G245*H245</f>
        <v>0</v>
      </c>
      <c r="J245" s="55">
        <v>0</v>
      </c>
      <c r="K245" s="55">
        <f>G245*J245</f>
        <v>0</v>
      </c>
      <c r="L245" s="57" t="s">
        <v>124</v>
      </c>
      <c r="Z245" s="55">
        <f>IF(AQ245="5",BJ245,0)</f>
        <v>0</v>
      </c>
      <c r="AB245" s="55">
        <f>IF(AQ245="1",BH245,0)</f>
        <v>0</v>
      </c>
      <c r="AC245" s="55">
        <f>IF(AQ245="1",BI245,0)</f>
        <v>0</v>
      </c>
      <c r="AD245" s="55">
        <f>IF(AQ245="7",BH245,0)</f>
        <v>0</v>
      </c>
      <c r="AE245" s="55">
        <f>IF(AQ245="7",BI245,0)</f>
        <v>0</v>
      </c>
      <c r="AF245" s="55">
        <f>IF(AQ245="2",BH245,0)</f>
        <v>0</v>
      </c>
      <c r="AG245" s="55">
        <f>IF(AQ245="2",BI245,0)</f>
        <v>0</v>
      </c>
      <c r="AH245" s="55">
        <f>IF(AQ245="0",BJ245,0)</f>
        <v>0</v>
      </c>
      <c r="AI245" s="34" t="s">
        <v>116</v>
      </c>
      <c r="AJ245" s="55">
        <f>IF(AN245=0,I245,0)</f>
        <v>0</v>
      </c>
      <c r="AK245" s="55">
        <f>IF(AN245=12,I245,0)</f>
        <v>0</v>
      </c>
      <c r="AL245" s="55">
        <f>IF(AN245=21,I245,0)</f>
        <v>0</v>
      </c>
      <c r="AN245" s="55">
        <v>21</v>
      </c>
      <c r="AO245" s="55">
        <f>H245*0</f>
        <v>0</v>
      </c>
      <c r="AP245" s="55">
        <f>H245*(1-0)</f>
        <v>0</v>
      </c>
      <c r="AQ245" s="58" t="s">
        <v>120</v>
      </c>
      <c r="AV245" s="55">
        <f>AW245+AX245</f>
        <v>0</v>
      </c>
      <c r="AW245" s="55">
        <f>G245*AO245</f>
        <v>0</v>
      </c>
      <c r="AX245" s="55">
        <f>G245*AP245</f>
        <v>0</v>
      </c>
      <c r="AY245" s="58" t="s">
        <v>442</v>
      </c>
      <c r="AZ245" s="58" t="s">
        <v>443</v>
      </c>
      <c r="BA245" s="34" t="s">
        <v>128</v>
      </c>
      <c r="BB245" s="67">
        <v>100133</v>
      </c>
      <c r="BC245" s="55">
        <f>AW245+AX245</f>
        <v>0</v>
      </c>
      <c r="BD245" s="55">
        <f>H245/(100-BE245)*100</f>
        <v>0</v>
      </c>
      <c r="BE245" s="55">
        <v>0</v>
      </c>
      <c r="BF245" s="55">
        <f>K245</f>
        <v>0</v>
      </c>
      <c r="BH245" s="55">
        <f>G245*AO245</f>
        <v>0</v>
      </c>
      <c r="BI245" s="55">
        <f>G245*AP245</f>
        <v>0</v>
      </c>
      <c r="BJ245" s="55">
        <f>G245*H245</f>
        <v>0</v>
      </c>
      <c r="BK245" s="55"/>
      <c r="BL245" s="55">
        <v>2222</v>
      </c>
      <c r="BW245" s="55">
        <v>21</v>
      </c>
    </row>
    <row r="246" spans="1:75" ht="13.5" customHeight="1">
      <c r="A246" s="1" t="s">
        <v>590</v>
      </c>
      <c r="B246" s="2" t="s">
        <v>116</v>
      </c>
      <c r="C246" s="2" t="s">
        <v>591</v>
      </c>
      <c r="D246" s="147" t="s">
        <v>592</v>
      </c>
      <c r="E246" s="148"/>
      <c r="F246" s="2" t="s">
        <v>360</v>
      </c>
      <c r="G246" s="55">
        <v>12</v>
      </c>
      <c r="H246" s="56">
        <v>0</v>
      </c>
      <c r="I246" s="55">
        <f>G246*H246</f>
        <v>0</v>
      </c>
      <c r="J246" s="55">
        <v>0</v>
      </c>
      <c r="K246" s="55">
        <f>G246*J246</f>
        <v>0</v>
      </c>
      <c r="L246" s="57" t="s">
        <v>124</v>
      </c>
      <c r="Z246" s="55">
        <f>IF(AQ246="5",BJ246,0)</f>
        <v>0</v>
      </c>
      <c r="AB246" s="55">
        <f>IF(AQ246="1",BH246,0)</f>
        <v>0</v>
      </c>
      <c r="AC246" s="55">
        <f>IF(AQ246="1",BI246,0)</f>
        <v>0</v>
      </c>
      <c r="AD246" s="55">
        <f>IF(AQ246="7",BH246,0)</f>
        <v>0</v>
      </c>
      <c r="AE246" s="55">
        <f>IF(AQ246="7",BI246,0)</f>
        <v>0</v>
      </c>
      <c r="AF246" s="55">
        <f>IF(AQ246="2",BH246,0)</f>
        <v>0</v>
      </c>
      <c r="AG246" s="55">
        <f>IF(AQ246="2",BI246,0)</f>
        <v>0</v>
      </c>
      <c r="AH246" s="55">
        <f>IF(AQ246="0",BJ246,0)</f>
        <v>0</v>
      </c>
      <c r="AI246" s="34" t="s">
        <v>116</v>
      </c>
      <c r="AJ246" s="55">
        <f>IF(AN246=0,I246,0)</f>
        <v>0</v>
      </c>
      <c r="AK246" s="55">
        <f>IF(AN246=12,I246,0)</f>
        <v>0</v>
      </c>
      <c r="AL246" s="55">
        <f>IF(AN246=21,I246,0)</f>
        <v>0</v>
      </c>
      <c r="AN246" s="55">
        <v>21</v>
      </c>
      <c r="AO246" s="55">
        <f>H246*0</f>
        <v>0</v>
      </c>
      <c r="AP246" s="55">
        <f>H246*(1-0)</f>
        <v>0</v>
      </c>
      <c r="AQ246" s="58" t="s">
        <v>120</v>
      </c>
      <c r="AV246" s="55">
        <f>AW246+AX246</f>
        <v>0</v>
      </c>
      <c r="AW246" s="55">
        <f>G246*AO246</f>
        <v>0</v>
      </c>
      <c r="AX246" s="55">
        <f>G246*AP246</f>
        <v>0</v>
      </c>
      <c r="AY246" s="58" t="s">
        <v>442</v>
      </c>
      <c r="AZ246" s="58" t="s">
        <v>443</v>
      </c>
      <c r="BA246" s="34" t="s">
        <v>128</v>
      </c>
      <c r="BB246" s="67">
        <v>100133</v>
      </c>
      <c r="BC246" s="55">
        <f>AW246+AX246</f>
        <v>0</v>
      </c>
      <c r="BD246" s="55">
        <f>H246/(100-BE246)*100</f>
        <v>0</v>
      </c>
      <c r="BE246" s="55">
        <v>0</v>
      </c>
      <c r="BF246" s="55">
        <f>K246</f>
        <v>0</v>
      </c>
      <c r="BH246" s="55">
        <f>G246*AO246</f>
        <v>0</v>
      </c>
      <c r="BI246" s="55">
        <f>G246*AP246</f>
        <v>0</v>
      </c>
      <c r="BJ246" s="55">
        <f>G246*H246</f>
        <v>0</v>
      </c>
      <c r="BK246" s="55"/>
      <c r="BL246" s="55">
        <v>2222</v>
      </c>
      <c r="BW246" s="55">
        <v>21</v>
      </c>
    </row>
    <row r="247" spans="1:75" ht="13.5" customHeight="1">
      <c r="A247" s="1" t="s">
        <v>593</v>
      </c>
      <c r="B247" s="2" t="s">
        <v>116</v>
      </c>
      <c r="C247" s="2" t="s">
        <v>594</v>
      </c>
      <c r="D247" s="147" t="s">
        <v>476</v>
      </c>
      <c r="E247" s="148"/>
      <c r="F247" s="2" t="s">
        <v>360</v>
      </c>
      <c r="G247" s="55">
        <v>32</v>
      </c>
      <c r="H247" s="56">
        <v>0</v>
      </c>
      <c r="I247" s="55">
        <f>G247*H247</f>
        <v>0</v>
      </c>
      <c r="J247" s="55">
        <v>0</v>
      </c>
      <c r="K247" s="55">
        <f>G247*J247</f>
        <v>0</v>
      </c>
      <c r="L247" s="57" t="s">
        <v>124</v>
      </c>
      <c r="Z247" s="55">
        <f>IF(AQ247="5",BJ247,0)</f>
        <v>0</v>
      </c>
      <c r="AB247" s="55">
        <f>IF(AQ247="1",BH247,0)</f>
        <v>0</v>
      </c>
      <c r="AC247" s="55">
        <f>IF(AQ247="1",BI247,0)</f>
        <v>0</v>
      </c>
      <c r="AD247" s="55">
        <f>IF(AQ247="7",BH247,0)</f>
        <v>0</v>
      </c>
      <c r="AE247" s="55">
        <f>IF(AQ247="7",BI247,0)</f>
        <v>0</v>
      </c>
      <c r="AF247" s="55">
        <f>IF(AQ247="2",BH247,0)</f>
        <v>0</v>
      </c>
      <c r="AG247" s="55">
        <f>IF(AQ247="2",BI247,0)</f>
        <v>0</v>
      </c>
      <c r="AH247" s="55">
        <f>IF(AQ247="0",BJ247,0)</f>
        <v>0</v>
      </c>
      <c r="AI247" s="34" t="s">
        <v>116</v>
      </c>
      <c r="AJ247" s="55">
        <f>IF(AN247=0,I247,0)</f>
        <v>0</v>
      </c>
      <c r="AK247" s="55">
        <f>IF(AN247=12,I247,0)</f>
        <v>0</v>
      </c>
      <c r="AL247" s="55">
        <f>IF(AN247=21,I247,0)</f>
        <v>0</v>
      </c>
      <c r="AN247" s="55">
        <v>21</v>
      </c>
      <c r="AO247" s="55">
        <f>H247*0</f>
        <v>0</v>
      </c>
      <c r="AP247" s="55">
        <f>H247*(1-0)</f>
        <v>0</v>
      </c>
      <c r="AQ247" s="58" t="s">
        <v>120</v>
      </c>
      <c r="AV247" s="55">
        <f>AW247+AX247</f>
        <v>0</v>
      </c>
      <c r="AW247" s="55">
        <f>G247*AO247</f>
        <v>0</v>
      </c>
      <c r="AX247" s="55">
        <f>G247*AP247</f>
        <v>0</v>
      </c>
      <c r="AY247" s="58" t="s">
        <v>442</v>
      </c>
      <c r="AZ247" s="58" t="s">
        <v>443</v>
      </c>
      <c r="BA247" s="34" t="s">
        <v>128</v>
      </c>
      <c r="BB247" s="67">
        <v>100133</v>
      </c>
      <c r="BC247" s="55">
        <f>AW247+AX247</f>
        <v>0</v>
      </c>
      <c r="BD247" s="55">
        <f>H247/(100-BE247)*100</f>
        <v>0</v>
      </c>
      <c r="BE247" s="55">
        <v>0</v>
      </c>
      <c r="BF247" s="55">
        <f>K247</f>
        <v>0</v>
      </c>
      <c r="BH247" s="55">
        <f>G247*AO247</f>
        <v>0</v>
      </c>
      <c r="BI247" s="55">
        <f>G247*AP247</f>
        <v>0</v>
      </c>
      <c r="BJ247" s="55">
        <f>G247*H247</f>
        <v>0</v>
      </c>
      <c r="BK247" s="55"/>
      <c r="BL247" s="55">
        <v>2222</v>
      </c>
      <c r="BW247" s="55">
        <v>21</v>
      </c>
    </row>
    <row r="248" spans="1:75" ht="13.5" customHeight="1">
      <c r="A248" s="1" t="s">
        <v>595</v>
      </c>
      <c r="B248" s="2" t="s">
        <v>116</v>
      </c>
      <c r="C248" s="2" t="s">
        <v>596</v>
      </c>
      <c r="D248" s="147" t="s">
        <v>597</v>
      </c>
      <c r="E248" s="148"/>
      <c r="F248" s="2" t="s">
        <v>360</v>
      </c>
      <c r="G248" s="55">
        <v>24</v>
      </c>
      <c r="H248" s="56">
        <v>0</v>
      </c>
      <c r="I248" s="55">
        <f>G248*H248</f>
        <v>0</v>
      </c>
      <c r="J248" s="55">
        <v>0</v>
      </c>
      <c r="K248" s="55">
        <f>G248*J248</f>
        <v>0</v>
      </c>
      <c r="L248" s="57" t="s">
        <v>124</v>
      </c>
      <c r="Z248" s="55">
        <f>IF(AQ248="5",BJ248,0)</f>
        <v>0</v>
      </c>
      <c r="AB248" s="55">
        <f>IF(AQ248="1",BH248,0)</f>
        <v>0</v>
      </c>
      <c r="AC248" s="55">
        <f>IF(AQ248="1",BI248,0)</f>
        <v>0</v>
      </c>
      <c r="AD248" s="55">
        <f>IF(AQ248="7",BH248,0)</f>
        <v>0</v>
      </c>
      <c r="AE248" s="55">
        <f>IF(AQ248="7",BI248,0)</f>
        <v>0</v>
      </c>
      <c r="AF248" s="55">
        <f>IF(AQ248="2",BH248,0)</f>
        <v>0</v>
      </c>
      <c r="AG248" s="55">
        <f>IF(AQ248="2",BI248,0)</f>
        <v>0</v>
      </c>
      <c r="AH248" s="55">
        <f>IF(AQ248="0",BJ248,0)</f>
        <v>0</v>
      </c>
      <c r="AI248" s="34" t="s">
        <v>116</v>
      </c>
      <c r="AJ248" s="55">
        <f>IF(AN248=0,I248,0)</f>
        <v>0</v>
      </c>
      <c r="AK248" s="55">
        <f>IF(AN248=12,I248,0)</f>
        <v>0</v>
      </c>
      <c r="AL248" s="55">
        <f>IF(AN248=21,I248,0)</f>
        <v>0</v>
      </c>
      <c r="AN248" s="55">
        <v>21</v>
      </c>
      <c r="AO248" s="55">
        <f>H248*0</f>
        <v>0</v>
      </c>
      <c r="AP248" s="55">
        <f>H248*(1-0)</f>
        <v>0</v>
      </c>
      <c r="AQ248" s="58" t="s">
        <v>120</v>
      </c>
      <c r="AV248" s="55">
        <f>AW248+AX248</f>
        <v>0</v>
      </c>
      <c r="AW248" s="55">
        <f>G248*AO248</f>
        <v>0</v>
      </c>
      <c r="AX248" s="55">
        <f>G248*AP248</f>
        <v>0</v>
      </c>
      <c r="AY248" s="58" t="s">
        <v>442</v>
      </c>
      <c r="AZ248" s="58" t="s">
        <v>443</v>
      </c>
      <c r="BA248" s="34" t="s">
        <v>128</v>
      </c>
      <c r="BB248" s="67">
        <v>100133</v>
      </c>
      <c r="BC248" s="55">
        <f>AW248+AX248</f>
        <v>0</v>
      </c>
      <c r="BD248" s="55">
        <f>H248/(100-BE248)*100</f>
        <v>0</v>
      </c>
      <c r="BE248" s="55">
        <v>0</v>
      </c>
      <c r="BF248" s="55">
        <f>K248</f>
        <v>0</v>
      </c>
      <c r="BH248" s="55">
        <f>G248*AO248</f>
        <v>0</v>
      </c>
      <c r="BI248" s="55">
        <f>G248*AP248</f>
        <v>0</v>
      </c>
      <c r="BJ248" s="55">
        <f>G248*H248</f>
        <v>0</v>
      </c>
      <c r="BK248" s="55"/>
      <c r="BL248" s="55">
        <v>2222</v>
      </c>
      <c r="BW248" s="55">
        <v>21</v>
      </c>
    </row>
    <row r="249" spans="1:47" ht="14.4">
      <c r="A249" s="50" t="s">
        <v>4</v>
      </c>
      <c r="B249" s="51" t="s">
        <v>116</v>
      </c>
      <c r="C249" s="51" t="s">
        <v>598</v>
      </c>
      <c r="D249" s="222" t="s">
        <v>599</v>
      </c>
      <c r="E249" s="223"/>
      <c r="F249" s="52" t="s">
        <v>79</v>
      </c>
      <c r="G249" s="52" t="s">
        <v>79</v>
      </c>
      <c r="H249" s="53" t="s">
        <v>79</v>
      </c>
      <c r="I249" s="27">
        <f>SUM(I250:I288)</f>
        <v>0</v>
      </c>
      <c r="J249" s="34" t="s">
        <v>4</v>
      </c>
      <c r="K249" s="27">
        <f>SUM(K250:K288)</f>
        <v>0</v>
      </c>
      <c r="L249" s="54" t="s">
        <v>4</v>
      </c>
      <c r="AI249" s="34" t="s">
        <v>116</v>
      </c>
      <c r="AS249" s="27">
        <f>SUM(AJ250:AJ288)</f>
        <v>0</v>
      </c>
      <c r="AT249" s="27">
        <f>SUM(AK250:AK288)</f>
        <v>0</v>
      </c>
      <c r="AU249" s="27">
        <f>SUM(AL250:AL288)</f>
        <v>0</v>
      </c>
    </row>
    <row r="250" spans="1:75" ht="13.5" customHeight="1">
      <c r="A250" s="1" t="s">
        <v>600</v>
      </c>
      <c r="B250" s="2" t="s">
        <v>116</v>
      </c>
      <c r="C250" s="2" t="s">
        <v>601</v>
      </c>
      <c r="D250" s="147" t="s">
        <v>602</v>
      </c>
      <c r="E250" s="148"/>
      <c r="F250" s="2" t="s">
        <v>123</v>
      </c>
      <c r="G250" s="55">
        <v>1</v>
      </c>
      <c r="H250" s="56">
        <v>0</v>
      </c>
      <c r="I250" s="55">
        <f>G250*H250</f>
        <v>0</v>
      </c>
      <c r="J250" s="55">
        <v>0</v>
      </c>
      <c r="K250" s="55">
        <f>G250*J250</f>
        <v>0</v>
      </c>
      <c r="L250" s="57" t="s">
        <v>124</v>
      </c>
      <c r="Z250" s="55">
        <f>IF(AQ250="5",BJ250,0)</f>
        <v>0</v>
      </c>
      <c r="AB250" s="55">
        <f>IF(AQ250="1",BH250,0)</f>
        <v>0</v>
      </c>
      <c r="AC250" s="55">
        <f>IF(AQ250="1",BI250,0)</f>
        <v>0</v>
      </c>
      <c r="AD250" s="55">
        <f>IF(AQ250="7",BH250,0)</f>
        <v>0</v>
      </c>
      <c r="AE250" s="55">
        <f>IF(AQ250="7",BI250,0)</f>
        <v>0</v>
      </c>
      <c r="AF250" s="55">
        <f>IF(AQ250="2",BH250,0)</f>
        <v>0</v>
      </c>
      <c r="AG250" s="55">
        <f>IF(AQ250="2",BI250,0)</f>
        <v>0</v>
      </c>
      <c r="AH250" s="55">
        <f>IF(AQ250="0",BJ250,0)</f>
        <v>0</v>
      </c>
      <c r="AI250" s="34" t="s">
        <v>116</v>
      </c>
      <c r="AJ250" s="55">
        <f>IF(AN250=0,I250,0)</f>
        <v>0</v>
      </c>
      <c r="AK250" s="55">
        <f>IF(AN250=12,I250,0)</f>
        <v>0</v>
      </c>
      <c r="AL250" s="55">
        <f>IF(AN250=21,I250,0)</f>
        <v>0</v>
      </c>
      <c r="AN250" s="55">
        <v>21</v>
      </c>
      <c r="AO250" s="55">
        <f>H250*0.857142857</f>
        <v>0</v>
      </c>
      <c r="AP250" s="55">
        <f>H250*(1-0.857142857)</f>
        <v>0</v>
      </c>
      <c r="AQ250" s="58" t="s">
        <v>120</v>
      </c>
      <c r="AV250" s="55">
        <f>AW250+AX250</f>
        <v>0</v>
      </c>
      <c r="AW250" s="55">
        <f>G250*AO250</f>
        <v>0</v>
      </c>
      <c r="AX250" s="55">
        <f>G250*AP250</f>
        <v>0</v>
      </c>
      <c r="AY250" s="58" t="s">
        <v>603</v>
      </c>
      <c r="AZ250" s="58" t="s">
        <v>443</v>
      </c>
      <c r="BA250" s="34" t="s">
        <v>128</v>
      </c>
      <c r="BB250" s="67">
        <v>100136</v>
      </c>
      <c r="BC250" s="55">
        <f>AW250+AX250</f>
        <v>0</v>
      </c>
      <c r="BD250" s="55">
        <f>H250/(100-BE250)*100</f>
        <v>0</v>
      </c>
      <c r="BE250" s="55">
        <v>0</v>
      </c>
      <c r="BF250" s="55">
        <f>K250</f>
        <v>0</v>
      </c>
      <c r="BH250" s="55">
        <f>G250*AO250</f>
        <v>0</v>
      </c>
      <c r="BI250" s="55">
        <f>G250*AP250</f>
        <v>0</v>
      </c>
      <c r="BJ250" s="55">
        <f>G250*H250</f>
        <v>0</v>
      </c>
      <c r="BK250" s="55"/>
      <c r="BL250" s="55">
        <v>2223</v>
      </c>
      <c r="BW250" s="55">
        <v>21</v>
      </c>
    </row>
    <row r="251" spans="1:12" ht="13.5" customHeight="1">
      <c r="A251" s="59"/>
      <c r="D251" s="218" t="s">
        <v>129</v>
      </c>
      <c r="E251" s="219"/>
      <c r="F251" s="219"/>
      <c r="G251" s="219"/>
      <c r="H251" s="220"/>
      <c r="I251" s="219"/>
      <c r="J251" s="219"/>
      <c r="K251" s="219"/>
      <c r="L251" s="221"/>
    </row>
    <row r="252" spans="1:75" ht="13.5" customHeight="1">
      <c r="A252" s="1" t="s">
        <v>604</v>
      </c>
      <c r="B252" s="2" t="s">
        <v>116</v>
      </c>
      <c r="C252" s="2" t="s">
        <v>605</v>
      </c>
      <c r="D252" s="147" t="s">
        <v>606</v>
      </c>
      <c r="E252" s="148"/>
      <c r="F252" s="2" t="s">
        <v>123</v>
      </c>
      <c r="G252" s="55">
        <v>1</v>
      </c>
      <c r="H252" s="56">
        <v>0</v>
      </c>
      <c r="I252" s="55">
        <f>G252*H252</f>
        <v>0</v>
      </c>
      <c r="J252" s="55">
        <v>0</v>
      </c>
      <c r="K252" s="55">
        <f>G252*J252</f>
        <v>0</v>
      </c>
      <c r="L252" s="57" t="s">
        <v>124</v>
      </c>
      <c r="Z252" s="55">
        <f>IF(AQ252="5",BJ252,0)</f>
        <v>0</v>
      </c>
      <c r="AB252" s="55">
        <f>IF(AQ252="1",BH252,0)</f>
        <v>0</v>
      </c>
      <c r="AC252" s="55">
        <f>IF(AQ252="1",BI252,0)</f>
        <v>0</v>
      </c>
      <c r="AD252" s="55">
        <f>IF(AQ252="7",BH252,0)</f>
        <v>0</v>
      </c>
      <c r="AE252" s="55">
        <f>IF(AQ252="7",BI252,0)</f>
        <v>0</v>
      </c>
      <c r="AF252" s="55">
        <f>IF(AQ252="2",BH252,0)</f>
        <v>0</v>
      </c>
      <c r="AG252" s="55">
        <f>IF(AQ252="2",BI252,0)</f>
        <v>0</v>
      </c>
      <c r="AH252" s="55">
        <f>IF(AQ252="0",BJ252,0)</f>
        <v>0</v>
      </c>
      <c r="AI252" s="34" t="s">
        <v>116</v>
      </c>
      <c r="AJ252" s="55">
        <f>IF(AN252=0,I252,0)</f>
        <v>0</v>
      </c>
      <c r="AK252" s="55">
        <f>IF(AN252=12,I252,0)</f>
        <v>0</v>
      </c>
      <c r="AL252" s="55">
        <f>IF(AN252=21,I252,0)</f>
        <v>0</v>
      </c>
      <c r="AN252" s="55">
        <v>21</v>
      </c>
      <c r="AO252" s="55">
        <f>H252*0.885496183</f>
        <v>0</v>
      </c>
      <c r="AP252" s="55">
        <f>H252*(1-0.885496183)</f>
        <v>0</v>
      </c>
      <c r="AQ252" s="58" t="s">
        <v>120</v>
      </c>
      <c r="AV252" s="55">
        <f>AW252+AX252</f>
        <v>0</v>
      </c>
      <c r="AW252" s="55">
        <f>G252*AO252</f>
        <v>0</v>
      </c>
      <c r="AX252" s="55">
        <f>G252*AP252</f>
        <v>0</v>
      </c>
      <c r="AY252" s="58" t="s">
        <v>603</v>
      </c>
      <c r="AZ252" s="58" t="s">
        <v>443</v>
      </c>
      <c r="BA252" s="34" t="s">
        <v>128</v>
      </c>
      <c r="BB252" s="67">
        <v>100136</v>
      </c>
      <c r="BC252" s="55">
        <f>AW252+AX252</f>
        <v>0</v>
      </c>
      <c r="BD252" s="55">
        <f>H252/(100-BE252)*100</f>
        <v>0</v>
      </c>
      <c r="BE252" s="55">
        <v>0</v>
      </c>
      <c r="BF252" s="55">
        <f>K252</f>
        <v>0</v>
      </c>
      <c r="BH252" s="55">
        <f>G252*AO252</f>
        <v>0</v>
      </c>
      <c r="BI252" s="55">
        <f>G252*AP252</f>
        <v>0</v>
      </c>
      <c r="BJ252" s="55">
        <f>G252*H252</f>
        <v>0</v>
      </c>
      <c r="BK252" s="55"/>
      <c r="BL252" s="55">
        <v>2223</v>
      </c>
      <c r="BW252" s="55">
        <v>21</v>
      </c>
    </row>
    <row r="253" spans="1:12" ht="13.5" customHeight="1">
      <c r="A253" s="59"/>
      <c r="D253" s="218" t="s">
        <v>129</v>
      </c>
      <c r="E253" s="219"/>
      <c r="F253" s="219"/>
      <c r="G253" s="219"/>
      <c r="H253" s="220"/>
      <c r="I253" s="219"/>
      <c r="J253" s="219"/>
      <c r="K253" s="219"/>
      <c r="L253" s="221"/>
    </row>
    <row r="254" spans="1:75" ht="13.5" customHeight="1">
      <c r="A254" s="1" t="s">
        <v>607</v>
      </c>
      <c r="B254" s="2" t="s">
        <v>116</v>
      </c>
      <c r="C254" s="2" t="s">
        <v>608</v>
      </c>
      <c r="D254" s="147" t="s">
        <v>609</v>
      </c>
      <c r="E254" s="148"/>
      <c r="F254" s="2" t="s">
        <v>123</v>
      </c>
      <c r="G254" s="55">
        <v>1</v>
      </c>
      <c r="H254" s="56">
        <v>0</v>
      </c>
      <c r="I254" s="55">
        <f>G254*H254</f>
        <v>0</v>
      </c>
      <c r="J254" s="55">
        <v>0</v>
      </c>
      <c r="K254" s="55">
        <f>G254*J254</f>
        <v>0</v>
      </c>
      <c r="L254" s="57" t="s">
        <v>124</v>
      </c>
      <c r="Z254" s="55">
        <f>IF(AQ254="5",BJ254,0)</f>
        <v>0</v>
      </c>
      <c r="AB254" s="55">
        <f>IF(AQ254="1",BH254,0)</f>
        <v>0</v>
      </c>
      <c r="AC254" s="55">
        <f>IF(AQ254="1",BI254,0)</f>
        <v>0</v>
      </c>
      <c r="AD254" s="55">
        <f>IF(AQ254="7",BH254,0)</f>
        <v>0</v>
      </c>
      <c r="AE254" s="55">
        <f>IF(AQ254="7",BI254,0)</f>
        <v>0</v>
      </c>
      <c r="AF254" s="55">
        <f>IF(AQ254="2",BH254,0)</f>
        <v>0</v>
      </c>
      <c r="AG254" s="55">
        <f>IF(AQ254="2",BI254,0)</f>
        <v>0</v>
      </c>
      <c r="AH254" s="55">
        <f>IF(AQ254="0",BJ254,0)</f>
        <v>0</v>
      </c>
      <c r="AI254" s="34" t="s">
        <v>116</v>
      </c>
      <c r="AJ254" s="55">
        <f>IF(AN254=0,I254,0)</f>
        <v>0</v>
      </c>
      <c r="AK254" s="55">
        <f>IF(AN254=12,I254,0)</f>
        <v>0</v>
      </c>
      <c r="AL254" s="55">
        <f>IF(AN254=21,I254,0)</f>
        <v>0</v>
      </c>
      <c r="AN254" s="55">
        <v>21</v>
      </c>
      <c r="AO254" s="55">
        <f>H254*0.873684211</f>
        <v>0</v>
      </c>
      <c r="AP254" s="55">
        <f>H254*(1-0.873684211)</f>
        <v>0</v>
      </c>
      <c r="AQ254" s="58" t="s">
        <v>120</v>
      </c>
      <c r="AV254" s="55">
        <f>AW254+AX254</f>
        <v>0</v>
      </c>
      <c r="AW254" s="55">
        <f>G254*AO254</f>
        <v>0</v>
      </c>
      <c r="AX254" s="55">
        <f>G254*AP254</f>
        <v>0</v>
      </c>
      <c r="AY254" s="58" t="s">
        <v>603</v>
      </c>
      <c r="AZ254" s="58" t="s">
        <v>443</v>
      </c>
      <c r="BA254" s="34" t="s">
        <v>128</v>
      </c>
      <c r="BB254" s="67">
        <v>100136</v>
      </c>
      <c r="BC254" s="55">
        <f>AW254+AX254</f>
        <v>0</v>
      </c>
      <c r="BD254" s="55">
        <f>H254/(100-BE254)*100</f>
        <v>0</v>
      </c>
      <c r="BE254" s="55">
        <v>0</v>
      </c>
      <c r="BF254" s="55">
        <f>K254</f>
        <v>0</v>
      </c>
      <c r="BH254" s="55">
        <f>G254*AO254</f>
        <v>0</v>
      </c>
      <c r="BI254" s="55">
        <f>G254*AP254</f>
        <v>0</v>
      </c>
      <c r="BJ254" s="55">
        <f>G254*H254</f>
        <v>0</v>
      </c>
      <c r="BK254" s="55"/>
      <c r="BL254" s="55">
        <v>2223</v>
      </c>
      <c r="BW254" s="55">
        <v>21</v>
      </c>
    </row>
    <row r="255" spans="1:12" ht="13.5" customHeight="1">
      <c r="A255" s="59"/>
      <c r="D255" s="218" t="s">
        <v>129</v>
      </c>
      <c r="E255" s="219"/>
      <c r="F255" s="219"/>
      <c r="G255" s="219"/>
      <c r="H255" s="220"/>
      <c r="I255" s="219"/>
      <c r="J255" s="219"/>
      <c r="K255" s="219"/>
      <c r="L255" s="221"/>
    </row>
    <row r="256" spans="1:75" ht="13.5" customHeight="1">
      <c r="A256" s="1" t="s">
        <v>610</v>
      </c>
      <c r="B256" s="2" t="s">
        <v>116</v>
      </c>
      <c r="C256" s="2" t="s">
        <v>611</v>
      </c>
      <c r="D256" s="147" t="s">
        <v>612</v>
      </c>
      <c r="E256" s="148"/>
      <c r="F256" s="2" t="s">
        <v>123</v>
      </c>
      <c r="G256" s="55">
        <v>7</v>
      </c>
      <c r="H256" s="56">
        <v>0</v>
      </c>
      <c r="I256" s="55">
        <f>G256*H256</f>
        <v>0</v>
      </c>
      <c r="J256" s="55">
        <v>0</v>
      </c>
      <c r="K256" s="55">
        <f>G256*J256</f>
        <v>0</v>
      </c>
      <c r="L256" s="57" t="s">
        <v>124</v>
      </c>
      <c r="Z256" s="55">
        <f>IF(AQ256="5",BJ256,0)</f>
        <v>0</v>
      </c>
      <c r="AB256" s="55">
        <f>IF(AQ256="1",BH256,0)</f>
        <v>0</v>
      </c>
      <c r="AC256" s="55">
        <f>IF(AQ256="1",BI256,0)</f>
        <v>0</v>
      </c>
      <c r="AD256" s="55">
        <f>IF(AQ256="7",BH256,0)</f>
        <v>0</v>
      </c>
      <c r="AE256" s="55">
        <f>IF(AQ256="7",BI256,0)</f>
        <v>0</v>
      </c>
      <c r="AF256" s="55">
        <f>IF(AQ256="2",BH256,0)</f>
        <v>0</v>
      </c>
      <c r="AG256" s="55">
        <f>IF(AQ256="2",BI256,0)</f>
        <v>0</v>
      </c>
      <c r="AH256" s="55">
        <f>IF(AQ256="0",BJ256,0)</f>
        <v>0</v>
      </c>
      <c r="AI256" s="34" t="s">
        <v>116</v>
      </c>
      <c r="AJ256" s="55">
        <f>IF(AN256=0,I256,0)</f>
        <v>0</v>
      </c>
      <c r="AK256" s="55">
        <f>IF(AN256=12,I256,0)</f>
        <v>0</v>
      </c>
      <c r="AL256" s="55">
        <f>IF(AN256=21,I256,0)</f>
        <v>0</v>
      </c>
      <c r="AN256" s="55">
        <v>21</v>
      </c>
      <c r="AO256" s="55">
        <f>H256*0.890243902</f>
        <v>0</v>
      </c>
      <c r="AP256" s="55">
        <f>H256*(1-0.890243902)</f>
        <v>0</v>
      </c>
      <c r="AQ256" s="58" t="s">
        <v>120</v>
      </c>
      <c r="AV256" s="55">
        <f>AW256+AX256</f>
        <v>0</v>
      </c>
      <c r="AW256" s="55">
        <f>G256*AO256</f>
        <v>0</v>
      </c>
      <c r="AX256" s="55">
        <f>G256*AP256</f>
        <v>0</v>
      </c>
      <c r="AY256" s="58" t="s">
        <v>603</v>
      </c>
      <c r="AZ256" s="58" t="s">
        <v>443</v>
      </c>
      <c r="BA256" s="34" t="s">
        <v>128</v>
      </c>
      <c r="BB256" s="67">
        <v>100136</v>
      </c>
      <c r="BC256" s="55">
        <f>AW256+AX256</f>
        <v>0</v>
      </c>
      <c r="BD256" s="55">
        <f>H256/(100-BE256)*100</f>
        <v>0</v>
      </c>
      <c r="BE256" s="55">
        <v>0</v>
      </c>
      <c r="BF256" s="55">
        <f>K256</f>
        <v>0</v>
      </c>
      <c r="BH256" s="55">
        <f>G256*AO256</f>
        <v>0</v>
      </c>
      <c r="BI256" s="55">
        <f>G256*AP256</f>
        <v>0</v>
      </c>
      <c r="BJ256" s="55">
        <f>G256*H256</f>
        <v>0</v>
      </c>
      <c r="BK256" s="55"/>
      <c r="BL256" s="55">
        <v>2223</v>
      </c>
      <c r="BW256" s="55">
        <v>21</v>
      </c>
    </row>
    <row r="257" spans="1:12" ht="13.5" customHeight="1">
      <c r="A257" s="59"/>
      <c r="D257" s="218" t="s">
        <v>129</v>
      </c>
      <c r="E257" s="219"/>
      <c r="F257" s="219"/>
      <c r="G257" s="219"/>
      <c r="H257" s="220"/>
      <c r="I257" s="219"/>
      <c r="J257" s="219"/>
      <c r="K257" s="219"/>
      <c r="L257" s="221"/>
    </row>
    <row r="258" spans="1:75" ht="13.5" customHeight="1">
      <c r="A258" s="1" t="s">
        <v>613</v>
      </c>
      <c r="B258" s="2" t="s">
        <v>116</v>
      </c>
      <c r="C258" s="2" t="s">
        <v>614</v>
      </c>
      <c r="D258" s="147" t="s">
        <v>615</v>
      </c>
      <c r="E258" s="148"/>
      <c r="F258" s="2" t="s">
        <v>123</v>
      </c>
      <c r="G258" s="55">
        <v>13</v>
      </c>
      <c r="H258" s="56">
        <v>0</v>
      </c>
      <c r="I258" s="55">
        <f>G258*H258</f>
        <v>0</v>
      </c>
      <c r="J258" s="55">
        <v>0</v>
      </c>
      <c r="K258" s="55">
        <f>G258*J258</f>
        <v>0</v>
      </c>
      <c r="L258" s="57" t="s">
        <v>124</v>
      </c>
      <c r="Z258" s="55">
        <f>IF(AQ258="5",BJ258,0)</f>
        <v>0</v>
      </c>
      <c r="AB258" s="55">
        <f>IF(AQ258="1",BH258,0)</f>
        <v>0</v>
      </c>
      <c r="AC258" s="55">
        <f>IF(AQ258="1",BI258,0)</f>
        <v>0</v>
      </c>
      <c r="AD258" s="55">
        <f>IF(AQ258="7",BH258,0)</f>
        <v>0</v>
      </c>
      <c r="AE258" s="55">
        <f>IF(AQ258="7",BI258,0)</f>
        <v>0</v>
      </c>
      <c r="AF258" s="55">
        <f>IF(AQ258="2",BH258,0)</f>
        <v>0</v>
      </c>
      <c r="AG258" s="55">
        <f>IF(AQ258="2",BI258,0)</f>
        <v>0</v>
      </c>
      <c r="AH258" s="55">
        <f>IF(AQ258="0",BJ258,0)</f>
        <v>0</v>
      </c>
      <c r="AI258" s="34" t="s">
        <v>116</v>
      </c>
      <c r="AJ258" s="55">
        <f>IF(AN258=0,I258,0)</f>
        <v>0</v>
      </c>
      <c r="AK258" s="55">
        <f>IF(AN258=12,I258,0)</f>
        <v>0</v>
      </c>
      <c r="AL258" s="55">
        <f>IF(AN258=21,I258,0)</f>
        <v>0</v>
      </c>
      <c r="AN258" s="55">
        <v>21</v>
      </c>
      <c r="AO258" s="55">
        <f>H258*0.751633987</f>
        <v>0</v>
      </c>
      <c r="AP258" s="55">
        <f>H258*(1-0.751633987)</f>
        <v>0</v>
      </c>
      <c r="AQ258" s="58" t="s">
        <v>120</v>
      </c>
      <c r="AV258" s="55">
        <f>AW258+AX258</f>
        <v>0</v>
      </c>
      <c r="AW258" s="55">
        <f>G258*AO258</f>
        <v>0</v>
      </c>
      <c r="AX258" s="55">
        <f>G258*AP258</f>
        <v>0</v>
      </c>
      <c r="AY258" s="58" t="s">
        <v>603</v>
      </c>
      <c r="AZ258" s="58" t="s">
        <v>443</v>
      </c>
      <c r="BA258" s="34" t="s">
        <v>128</v>
      </c>
      <c r="BB258" s="67">
        <v>100136</v>
      </c>
      <c r="BC258" s="55">
        <f>AW258+AX258</f>
        <v>0</v>
      </c>
      <c r="BD258" s="55">
        <f>H258/(100-BE258)*100</f>
        <v>0</v>
      </c>
      <c r="BE258" s="55">
        <v>0</v>
      </c>
      <c r="BF258" s="55">
        <f>K258</f>
        <v>0</v>
      </c>
      <c r="BH258" s="55">
        <f>G258*AO258</f>
        <v>0</v>
      </c>
      <c r="BI258" s="55">
        <f>G258*AP258</f>
        <v>0</v>
      </c>
      <c r="BJ258" s="55">
        <f>G258*H258</f>
        <v>0</v>
      </c>
      <c r="BK258" s="55"/>
      <c r="BL258" s="55">
        <v>2223</v>
      </c>
      <c r="BW258" s="55">
        <v>21</v>
      </c>
    </row>
    <row r="259" spans="1:12" ht="13.5" customHeight="1">
      <c r="A259" s="59"/>
      <c r="D259" s="218" t="s">
        <v>129</v>
      </c>
      <c r="E259" s="219"/>
      <c r="F259" s="219"/>
      <c r="G259" s="219"/>
      <c r="H259" s="220"/>
      <c r="I259" s="219"/>
      <c r="J259" s="219"/>
      <c r="K259" s="219"/>
      <c r="L259" s="221"/>
    </row>
    <row r="260" spans="1:75" ht="13.5" customHeight="1">
      <c r="A260" s="1" t="s">
        <v>616</v>
      </c>
      <c r="B260" s="2" t="s">
        <v>116</v>
      </c>
      <c r="C260" s="2" t="s">
        <v>617</v>
      </c>
      <c r="D260" s="147" t="s">
        <v>618</v>
      </c>
      <c r="E260" s="148"/>
      <c r="F260" s="2" t="s">
        <v>123</v>
      </c>
      <c r="G260" s="55">
        <v>0</v>
      </c>
      <c r="H260" s="56">
        <v>0</v>
      </c>
      <c r="I260" s="55">
        <f>G260*H260</f>
        <v>0</v>
      </c>
      <c r="J260" s="55">
        <v>0</v>
      </c>
      <c r="K260" s="55">
        <f>G260*J260</f>
        <v>0</v>
      </c>
      <c r="L260" s="57" t="s">
        <v>124</v>
      </c>
      <c r="Z260" s="55">
        <f>IF(AQ260="5",BJ260,0)</f>
        <v>0</v>
      </c>
      <c r="AB260" s="55">
        <f>IF(AQ260="1",BH260,0)</f>
        <v>0</v>
      </c>
      <c r="AC260" s="55">
        <f>IF(AQ260="1",BI260,0)</f>
        <v>0</v>
      </c>
      <c r="AD260" s="55">
        <f>IF(AQ260="7",BH260,0)</f>
        <v>0</v>
      </c>
      <c r="AE260" s="55">
        <f>IF(AQ260="7",BI260,0)</f>
        <v>0</v>
      </c>
      <c r="AF260" s="55">
        <f>IF(AQ260="2",BH260,0)</f>
        <v>0</v>
      </c>
      <c r="AG260" s="55">
        <f>IF(AQ260="2",BI260,0)</f>
        <v>0</v>
      </c>
      <c r="AH260" s="55">
        <f>IF(AQ260="0",BJ260,0)</f>
        <v>0</v>
      </c>
      <c r="AI260" s="34" t="s">
        <v>116</v>
      </c>
      <c r="AJ260" s="55">
        <f>IF(AN260=0,I260,0)</f>
        <v>0</v>
      </c>
      <c r="AK260" s="55">
        <f>IF(AN260=12,I260,0)</f>
        <v>0</v>
      </c>
      <c r="AL260" s="55">
        <f>IF(AN260=21,I260,0)</f>
        <v>0</v>
      </c>
      <c r="AN260" s="55">
        <v>21</v>
      </c>
      <c r="AO260" s="55">
        <f>H260*0</f>
        <v>0</v>
      </c>
      <c r="AP260" s="55">
        <f>H260*(1-0)</f>
        <v>0</v>
      </c>
      <c r="AQ260" s="58" t="s">
        <v>120</v>
      </c>
      <c r="AV260" s="55">
        <f>AW260+AX260</f>
        <v>0</v>
      </c>
      <c r="AW260" s="55">
        <f>G260*AO260</f>
        <v>0</v>
      </c>
      <c r="AX260" s="55">
        <f>G260*AP260</f>
        <v>0</v>
      </c>
      <c r="AY260" s="58" t="s">
        <v>603</v>
      </c>
      <c r="AZ260" s="58" t="s">
        <v>443</v>
      </c>
      <c r="BA260" s="34" t="s">
        <v>128</v>
      </c>
      <c r="BB260" s="67">
        <v>100136</v>
      </c>
      <c r="BC260" s="55">
        <f>AW260+AX260</f>
        <v>0</v>
      </c>
      <c r="BD260" s="55">
        <f>H260/(100-BE260)*100</f>
        <v>0</v>
      </c>
      <c r="BE260" s="55">
        <v>0</v>
      </c>
      <c r="BF260" s="55">
        <f>K260</f>
        <v>0</v>
      </c>
      <c r="BH260" s="55">
        <f>G260*AO260</f>
        <v>0</v>
      </c>
      <c r="BI260" s="55">
        <f>G260*AP260</f>
        <v>0</v>
      </c>
      <c r="BJ260" s="55">
        <f>G260*H260</f>
        <v>0</v>
      </c>
      <c r="BK260" s="55"/>
      <c r="BL260" s="55">
        <v>2223</v>
      </c>
      <c r="BW260" s="55">
        <v>21</v>
      </c>
    </row>
    <row r="261" spans="1:12" ht="13.5" customHeight="1">
      <c r="A261" s="59"/>
      <c r="D261" s="218" t="s">
        <v>129</v>
      </c>
      <c r="E261" s="219"/>
      <c r="F261" s="219"/>
      <c r="G261" s="219"/>
      <c r="H261" s="220"/>
      <c r="I261" s="219"/>
      <c r="J261" s="219"/>
      <c r="K261" s="219"/>
      <c r="L261" s="221"/>
    </row>
    <row r="262" spans="1:75" ht="13.5" customHeight="1">
      <c r="A262" s="1" t="s">
        <v>619</v>
      </c>
      <c r="B262" s="2" t="s">
        <v>116</v>
      </c>
      <c r="C262" s="2" t="s">
        <v>620</v>
      </c>
      <c r="D262" s="147" t="s">
        <v>621</v>
      </c>
      <c r="E262" s="148"/>
      <c r="F262" s="2" t="s">
        <v>123</v>
      </c>
      <c r="G262" s="55">
        <v>1</v>
      </c>
      <c r="H262" s="56">
        <v>0</v>
      </c>
      <c r="I262" s="55">
        <f>G262*H262</f>
        <v>0</v>
      </c>
      <c r="J262" s="55">
        <v>0</v>
      </c>
      <c r="K262" s="55">
        <f>G262*J262</f>
        <v>0</v>
      </c>
      <c r="L262" s="57" t="s">
        <v>124</v>
      </c>
      <c r="Z262" s="55">
        <f>IF(AQ262="5",BJ262,0)</f>
        <v>0</v>
      </c>
      <c r="AB262" s="55">
        <f>IF(AQ262="1",BH262,0)</f>
        <v>0</v>
      </c>
      <c r="AC262" s="55">
        <f>IF(AQ262="1",BI262,0)</f>
        <v>0</v>
      </c>
      <c r="AD262" s="55">
        <f>IF(AQ262="7",BH262,0)</f>
        <v>0</v>
      </c>
      <c r="AE262" s="55">
        <f>IF(AQ262="7",BI262,0)</f>
        <v>0</v>
      </c>
      <c r="AF262" s="55">
        <f>IF(AQ262="2",BH262,0)</f>
        <v>0</v>
      </c>
      <c r="AG262" s="55">
        <f>IF(AQ262="2",BI262,0)</f>
        <v>0</v>
      </c>
      <c r="AH262" s="55">
        <f>IF(AQ262="0",BJ262,0)</f>
        <v>0</v>
      </c>
      <c r="AI262" s="34" t="s">
        <v>116</v>
      </c>
      <c r="AJ262" s="55">
        <f>IF(AN262=0,I262,0)</f>
        <v>0</v>
      </c>
      <c r="AK262" s="55">
        <f>IF(AN262=12,I262,0)</f>
        <v>0</v>
      </c>
      <c r="AL262" s="55">
        <f>IF(AN262=21,I262,0)</f>
        <v>0</v>
      </c>
      <c r="AN262" s="55">
        <v>21</v>
      </c>
      <c r="AO262" s="55">
        <f>H262*0.736533958</f>
        <v>0</v>
      </c>
      <c r="AP262" s="55">
        <f>H262*(1-0.736533958)</f>
        <v>0</v>
      </c>
      <c r="AQ262" s="58" t="s">
        <v>120</v>
      </c>
      <c r="AV262" s="55">
        <f>AW262+AX262</f>
        <v>0</v>
      </c>
      <c r="AW262" s="55">
        <f>G262*AO262</f>
        <v>0</v>
      </c>
      <c r="AX262" s="55">
        <f>G262*AP262</f>
        <v>0</v>
      </c>
      <c r="AY262" s="58" t="s">
        <v>603</v>
      </c>
      <c r="AZ262" s="58" t="s">
        <v>443</v>
      </c>
      <c r="BA262" s="34" t="s">
        <v>128</v>
      </c>
      <c r="BB262" s="67">
        <v>100136</v>
      </c>
      <c r="BC262" s="55">
        <f>AW262+AX262</f>
        <v>0</v>
      </c>
      <c r="BD262" s="55">
        <f>H262/(100-BE262)*100</f>
        <v>0</v>
      </c>
      <c r="BE262" s="55">
        <v>0</v>
      </c>
      <c r="BF262" s="55">
        <f>K262</f>
        <v>0</v>
      </c>
      <c r="BH262" s="55">
        <f>G262*AO262</f>
        <v>0</v>
      </c>
      <c r="BI262" s="55">
        <f>G262*AP262</f>
        <v>0</v>
      </c>
      <c r="BJ262" s="55">
        <f>G262*H262</f>
        <v>0</v>
      </c>
      <c r="BK262" s="55"/>
      <c r="BL262" s="55">
        <v>2223</v>
      </c>
      <c r="BW262" s="55">
        <v>21</v>
      </c>
    </row>
    <row r="263" spans="1:12" ht="13.5" customHeight="1">
      <c r="A263" s="59"/>
      <c r="D263" s="218" t="s">
        <v>129</v>
      </c>
      <c r="E263" s="219"/>
      <c r="F263" s="219"/>
      <c r="G263" s="219"/>
      <c r="H263" s="220"/>
      <c r="I263" s="219"/>
      <c r="J263" s="219"/>
      <c r="K263" s="219"/>
      <c r="L263" s="221"/>
    </row>
    <row r="264" spans="1:75" ht="13.5" customHeight="1">
      <c r="A264" s="1" t="s">
        <v>622</v>
      </c>
      <c r="B264" s="2" t="s">
        <v>116</v>
      </c>
      <c r="C264" s="2" t="s">
        <v>623</v>
      </c>
      <c r="D264" s="147" t="s">
        <v>624</v>
      </c>
      <c r="E264" s="148"/>
      <c r="F264" s="2" t="s">
        <v>123</v>
      </c>
      <c r="G264" s="55">
        <v>4</v>
      </c>
      <c r="H264" s="56">
        <v>0</v>
      </c>
      <c r="I264" s="55">
        <f>G264*H264</f>
        <v>0</v>
      </c>
      <c r="J264" s="55">
        <v>0</v>
      </c>
      <c r="K264" s="55">
        <f>G264*J264</f>
        <v>0</v>
      </c>
      <c r="L264" s="57" t="s">
        <v>124</v>
      </c>
      <c r="Z264" s="55">
        <f>IF(AQ264="5",BJ264,0)</f>
        <v>0</v>
      </c>
      <c r="AB264" s="55">
        <f>IF(AQ264="1",BH264,0)</f>
        <v>0</v>
      </c>
      <c r="AC264" s="55">
        <f>IF(AQ264="1",BI264,0)</f>
        <v>0</v>
      </c>
      <c r="AD264" s="55">
        <f>IF(AQ264="7",BH264,0)</f>
        <v>0</v>
      </c>
      <c r="AE264" s="55">
        <f>IF(AQ264="7",BI264,0)</f>
        <v>0</v>
      </c>
      <c r="AF264" s="55">
        <f>IF(AQ264="2",BH264,0)</f>
        <v>0</v>
      </c>
      <c r="AG264" s="55">
        <f>IF(AQ264="2",BI264,0)</f>
        <v>0</v>
      </c>
      <c r="AH264" s="55">
        <f>IF(AQ264="0",BJ264,0)</f>
        <v>0</v>
      </c>
      <c r="AI264" s="34" t="s">
        <v>116</v>
      </c>
      <c r="AJ264" s="55">
        <f>IF(AN264=0,I264,0)</f>
        <v>0</v>
      </c>
      <c r="AK264" s="55">
        <f>IF(AN264=12,I264,0)</f>
        <v>0</v>
      </c>
      <c r="AL264" s="55">
        <f>IF(AN264=21,I264,0)</f>
        <v>0</v>
      </c>
      <c r="AN264" s="55">
        <v>21</v>
      </c>
      <c r="AO264" s="55">
        <f>H264*0.915413534</f>
        <v>0</v>
      </c>
      <c r="AP264" s="55">
        <f>H264*(1-0.915413534)</f>
        <v>0</v>
      </c>
      <c r="AQ264" s="58" t="s">
        <v>120</v>
      </c>
      <c r="AV264" s="55">
        <f>AW264+AX264</f>
        <v>0</v>
      </c>
      <c r="AW264" s="55">
        <f>G264*AO264</f>
        <v>0</v>
      </c>
      <c r="AX264" s="55">
        <f>G264*AP264</f>
        <v>0</v>
      </c>
      <c r="AY264" s="58" t="s">
        <v>603</v>
      </c>
      <c r="AZ264" s="58" t="s">
        <v>443</v>
      </c>
      <c r="BA264" s="34" t="s">
        <v>128</v>
      </c>
      <c r="BB264" s="67">
        <v>100136</v>
      </c>
      <c r="BC264" s="55">
        <f>AW264+AX264</f>
        <v>0</v>
      </c>
      <c r="BD264" s="55">
        <f>H264/(100-BE264)*100</f>
        <v>0</v>
      </c>
      <c r="BE264" s="55">
        <v>0</v>
      </c>
      <c r="BF264" s="55">
        <f>K264</f>
        <v>0</v>
      </c>
      <c r="BH264" s="55">
        <f>G264*AO264</f>
        <v>0</v>
      </c>
      <c r="BI264" s="55">
        <f>G264*AP264</f>
        <v>0</v>
      </c>
      <c r="BJ264" s="55">
        <f>G264*H264</f>
        <v>0</v>
      </c>
      <c r="BK264" s="55"/>
      <c r="BL264" s="55">
        <v>2223</v>
      </c>
      <c r="BW264" s="55">
        <v>21</v>
      </c>
    </row>
    <row r="265" spans="1:12" ht="13.5" customHeight="1">
      <c r="A265" s="59"/>
      <c r="D265" s="218" t="s">
        <v>129</v>
      </c>
      <c r="E265" s="219"/>
      <c r="F265" s="219"/>
      <c r="G265" s="219"/>
      <c r="H265" s="220"/>
      <c r="I265" s="219"/>
      <c r="J265" s="219"/>
      <c r="K265" s="219"/>
      <c r="L265" s="221"/>
    </row>
    <row r="266" spans="1:75" ht="13.5" customHeight="1">
      <c r="A266" s="1" t="s">
        <v>625</v>
      </c>
      <c r="B266" s="2" t="s">
        <v>116</v>
      </c>
      <c r="C266" s="2" t="s">
        <v>626</v>
      </c>
      <c r="D266" s="147" t="s">
        <v>627</v>
      </c>
      <c r="E266" s="148"/>
      <c r="F266" s="2" t="s">
        <v>628</v>
      </c>
      <c r="G266" s="55">
        <v>1</v>
      </c>
      <c r="H266" s="56">
        <v>0</v>
      </c>
      <c r="I266" s="55">
        <f>G266*H266</f>
        <v>0</v>
      </c>
      <c r="J266" s="55">
        <v>0</v>
      </c>
      <c r="K266" s="55">
        <f>G266*J266</f>
        <v>0</v>
      </c>
      <c r="L266" s="57" t="s">
        <v>124</v>
      </c>
      <c r="Z266" s="55">
        <f>IF(AQ266="5",BJ266,0)</f>
        <v>0</v>
      </c>
      <c r="AB266" s="55">
        <f>IF(AQ266="1",BH266,0)</f>
        <v>0</v>
      </c>
      <c r="AC266" s="55">
        <f>IF(AQ266="1",BI266,0)</f>
        <v>0</v>
      </c>
      <c r="AD266" s="55">
        <f>IF(AQ266="7",BH266,0)</f>
        <v>0</v>
      </c>
      <c r="AE266" s="55">
        <f>IF(AQ266="7",BI266,0)</f>
        <v>0</v>
      </c>
      <c r="AF266" s="55">
        <f>IF(AQ266="2",BH266,0)</f>
        <v>0</v>
      </c>
      <c r="AG266" s="55">
        <f>IF(AQ266="2",BI266,0)</f>
        <v>0</v>
      </c>
      <c r="AH266" s="55">
        <f>IF(AQ266="0",BJ266,0)</f>
        <v>0</v>
      </c>
      <c r="AI266" s="34" t="s">
        <v>116</v>
      </c>
      <c r="AJ266" s="55">
        <f>IF(AN266=0,I266,0)</f>
        <v>0</v>
      </c>
      <c r="AK266" s="55">
        <f>IF(AN266=12,I266,0)</f>
        <v>0</v>
      </c>
      <c r="AL266" s="55">
        <f>IF(AN266=21,I266,0)</f>
        <v>0</v>
      </c>
      <c r="AN266" s="55">
        <v>21</v>
      </c>
      <c r="AO266" s="55">
        <f>H266*0.5</f>
        <v>0</v>
      </c>
      <c r="AP266" s="55">
        <f>H266*(1-0.5)</f>
        <v>0</v>
      </c>
      <c r="AQ266" s="58" t="s">
        <v>120</v>
      </c>
      <c r="AV266" s="55">
        <f>AW266+AX266</f>
        <v>0</v>
      </c>
      <c r="AW266" s="55">
        <f>G266*AO266</f>
        <v>0</v>
      </c>
      <c r="AX266" s="55">
        <f>G266*AP266</f>
        <v>0</v>
      </c>
      <c r="AY266" s="58" t="s">
        <v>603</v>
      </c>
      <c r="AZ266" s="58" t="s">
        <v>443</v>
      </c>
      <c r="BA266" s="34" t="s">
        <v>128</v>
      </c>
      <c r="BB266" s="67">
        <v>100136</v>
      </c>
      <c r="BC266" s="55">
        <f>AW266+AX266</f>
        <v>0</v>
      </c>
      <c r="BD266" s="55">
        <f>H266/(100-BE266)*100</f>
        <v>0</v>
      </c>
      <c r="BE266" s="55">
        <v>0</v>
      </c>
      <c r="BF266" s="55">
        <f>K266</f>
        <v>0</v>
      </c>
      <c r="BH266" s="55">
        <f>G266*AO266</f>
        <v>0</v>
      </c>
      <c r="BI266" s="55">
        <f>G266*AP266</f>
        <v>0</v>
      </c>
      <c r="BJ266" s="55">
        <f>G266*H266</f>
        <v>0</v>
      </c>
      <c r="BK266" s="55"/>
      <c r="BL266" s="55">
        <v>2223</v>
      </c>
      <c r="BW266" s="55">
        <v>21</v>
      </c>
    </row>
    <row r="267" spans="1:12" ht="13.5" customHeight="1">
      <c r="A267" s="59"/>
      <c r="D267" s="218" t="s">
        <v>129</v>
      </c>
      <c r="E267" s="219"/>
      <c r="F267" s="219"/>
      <c r="G267" s="219"/>
      <c r="H267" s="220"/>
      <c r="I267" s="219"/>
      <c r="J267" s="219"/>
      <c r="K267" s="219"/>
      <c r="L267" s="221"/>
    </row>
    <row r="268" spans="1:75" ht="13.5" customHeight="1">
      <c r="A268" s="1" t="s">
        <v>629</v>
      </c>
      <c r="B268" s="2" t="s">
        <v>116</v>
      </c>
      <c r="C268" s="2" t="s">
        <v>630</v>
      </c>
      <c r="D268" s="147" t="s">
        <v>631</v>
      </c>
      <c r="E268" s="148"/>
      <c r="F268" s="2" t="s">
        <v>123</v>
      </c>
      <c r="G268" s="55">
        <v>1</v>
      </c>
      <c r="H268" s="56">
        <v>0</v>
      </c>
      <c r="I268" s="55">
        <f>G268*H268</f>
        <v>0</v>
      </c>
      <c r="J268" s="55">
        <v>0</v>
      </c>
      <c r="K268" s="55">
        <f>G268*J268</f>
        <v>0</v>
      </c>
      <c r="L268" s="57" t="s">
        <v>124</v>
      </c>
      <c r="Z268" s="55">
        <f>IF(AQ268="5",BJ268,0)</f>
        <v>0</v>
      </c>
      <c r="AB268" s="55">
        <f>IF(AQ268="1",BH268,0)</f>
        <v>0</v>
      </c>
      <c r="AC268" s="55">
        <f>IF(AQ268="1",BI268,0)</f>
        <v>0</v>
      </c>
      <c r="AD268" s="55">
        <f>IF(AQ268="7",BH268,0)</f>
        <v>0</v>
      </c>
      <c r="AE268" s="55">
        <f>IF(AQ268="7",BI268,0)</f>
        <v>0</v>
      </c>
      <c r="AF268" s="55">
        <f>IF(AQ268="2",BH268,0)</f>
        <v>0</v>
      </c>
      <c r="AG268" s="55">
        <f>IF(AQ268="2",BI268,0)</f>
        <v>0</v>
      </c>
      <c r="AH268" s="55">
        <f>IF(AQ268="0",BJ268,0)</f>
        <v>0</v>
      </c>
      <c r="AI268" s="34" t="s">
        <v>116</v>
      </c>
      <c r="AJ268" s="55">
        <f>IF(AN268=0,I268,0)</f>
        <v>0</v>
      </c>
      <c r="AK268" s="55">
        <f>IF(AN268=12,I268,0)</f>
        <v>0</v>
      </c>
      <c r="AL268" s="55">
        <f>IF(AN268=21,I268,0)</f>
        <v>0</v>
      </c>
      <c r="AN268" s="55">
        <v>21</v>
      </c>
      <c r="AO268" s="55">
        <f>H268*0.590909091</f>
        <v>0</v>
      </c>
      <c r="AP268" s="55">
        <f>H268*(1-0.590909091)</f>
        <v>0</v>
      </c>
      <c r="AQ268" s="58" t="s">
        <v>120</v>
      </c>
      <c r="AV268" s="55">
        <f>AW268+AX268</f>
        <v>0</v>
      </c>
      <c r="AW268" s="55">
        <f>G268*AO268</f>
        <v>0</v>
      </c>
      <c r="AX268" s="55">
        <f>G268*AP268</f>
        <v>0</v>
      </c>
      <c r="AY268" s="58" t="s">
        <v>603</v>
      </c>
      <c r="AZ268" s="58" t="s">
        <v>443</v>
      </c>
      <c r="BA268" s="34" t="s">
        <v>128</v>
      </c>
      <c r="BB268" s="67">
        <v>100136</v>
      </c>
      <c r="BC268" s="55">
        <f>AW268+AX268</f>
        <v>0</v>
      </c>
      <c r="BD268" s="55">
        <f>H268/(100-BE268)*100</f>
        <v>0</v>
      </c>
      <c r="BE268" s="55">
        <v>0</v>
      </c>
      <c r="BF268" s="55">
        <f>K268</f>
        <v>0</v>
      </c>
      <c r="BH268" s="55">
        <f>G268*AO268</f>
        <v>0</v>
      </c>
      <c r="BI268" s="55">
        <f>G268*AP268</f>
        <v>0</v>
      </c>
      <c r="BJ268" s="55">
        <f>G268*H268</f>
        <v>0</v>
      </c>
      <c r="BK268" s="55"/>
      <c r="BL268" s="55">
        <v>2223</v>
      </c>
      <c r="BW268" s="55">
        <v>21</v>
      </c>
    </row>
    <row r="269" spans="1:12" ht="13.5" customHeight="1">
      <c r="A269" s="59"/>
      <c r="D269" s="218" t="s">
        <v>129</v>
      </c>
      <c r="E269" s="219"/>
      <c r="F269" s="219"/>
      <c r="G269" s="219"/>
      <c r="H269" s="220"/>
      <c r="I269" s="219"/>
      <c r="J269" s="219"/>
      <c r="K269" s="219"/>
      <c r="L269" s="221"/>
    </row>
    <row r="270" spans="1:75" ht="13.5" customHeight="1">
      <c r="A270" s="1" t="s">
        <v>632</v>
      </c>
      <c r="B270" s="2" t="s">
        <v>116</v>
      </c>
      <c r="C270" s="2" t="s">
        <v>633</v>
      </c>
      <c r="D270" s="147" t="s">
        <v>634</v>
      </c>
      <c r="E270" s="148"/>
      <c r="F270" s="2" t="s">
        <v>123</v>
      </c>
      <c r="G270" s="55">
        <v>1</v>
      </c>
      <c r="H270" s="56">
        <v>0</v>
      </c>
      <c r="I270" s="55">
        <f>G270*H270</f>
        <v>0</v>
      </c>
      <c r="J270" s="55">
        <v>0</v>
      </c>
      <c r="K270" s="55">
        <f>G270*J270</f>
        <v>0</v>
      </c>
      <c r="L270" s="57" t="s">
        <v>124</v>
      </c>
      <c r="Z270" s="55">
        <f>IF(AQ270="5",BJ270,0)</f>
        <v>0</v>
      </c>
      <c r="AB270" s="55">
        <f>IF(AQ270="1",BH270,0)</f>
        <v>0</v>
      </c>
      <c r="AC270" s="55">
        <f>IF(AQ270="1",BI270,0)</f>
        <v>0</v>
      </c>
      <c r="AD270" s="55">
        <f>IF(AQ270="7",BH270,0)</f>
        <v>0</v>
      </c>
      <c r="AE270" s="55">
        <f>IF(AQ270="7",BI270,0)</f>
        <v>0</v>
      </c>
      <c r="AF270" s="55">
        <f>IF(AQ270="2",BH270,0)</f>
        <v>0</v>
      </c>
      <c r="AG270" s="55">
        <f>IF(AQ270="2",BI270,0)</f>
        <v>0</v>
      </c>
      <c r="AH270" s="55">
        <f>IF(AQ270="0",BJ270,0)</f>
        <v>0</v>
      </c>
      <c r="AI270" s="34" t="s">
        <v>116</v>
      </c>
      <c r="AJ270" s="55">
        <f>IF(AN270=0,I270,0)</f>
        <v>0</v>
      </c>
      <c r="AK270" s="55">
        <f>IF(AN270=12,I270,0)</f>
        <v>0</v>
      </c>
      <c r="AL270" s="55">
        <f>IF(AN270=21,I270,0)</f>
        <v>0</v>
      </c>
      <c r="AN270" s="55">
        <v>21</v>
      </c>
      <c r="AO270" s="55">
        <f>H270*0.685314685</f>
        <v>0</v>
      </c>
      <c r="AP270" s="55">
        <f>H270*(1-0.685314685)</f>
        <v>0</v>
      </c>
      <c r="AQ270" s="58" t="s">
        <v>120</v>
      </c>
      <c r="AV270" s="55">
        <f>AW270+AX270</f>
        <v>0</v>
      </c>
      <c r="AW270" s="55">
        <f>G270*AO270</f>
        <v>0</v>
      </c>
      <c r="AX270" s="55">
        <f>G270*AP270</f>
        <v>0</v>
      </c>
      <c r="AY270" s="58" t="s">
        <v>603</v>
      </c>
      <c r="AZ270" s="58" t="s">
        <v>443</v>
      </c>
      <c r="BA270" s="34" t="s">
        <v>128</v>
      </c>
      <c r="BB270" s="67">
        <v>100136</v>
      </c>
      <c r="BC270" s="55">
        <f>AW270+AX270</f>
        <v>0</v>
      </c>
      <c r="BD270" s="55">
        <f>H270/(100-BE270)*100</f>
        <v>0</v>
      </c>
      <c r="BE270" s="55">
        <v>0</v>
      </c>
      <c r="BF270" s="55">
        <f>K270</f>
        <v>0</v>
      </c>
      <c r="BH270" s="55">
        <f>G270*AO270</f>
        <v>0</v>
      </c>
      <c r="BI270" s="55">
        <f>G270*AP270</f>
        <v>0</v>
      </c>
      <c r="BJ270" s="55">
        <f>G270*H270</f>
        <v>0</v>
      </c>
      <c r="BK270" s="55"/>
      <c r="BL270" s="55">
        <v>2223</v>
      </c>
      <c r="BW270" s="55">
        <v>21</v>
      </c>
    </row>
    <row r="271" spans="1:12" ht="13.5" customHeight="1">
      <c r="A271" s="59"/>
      <c r="D271" s="218" t="s">
        <v>129</v>
      </c>
      <c r="E271" s="219"/>
      <c r="F271" s="219"/>
      <c r="G271" s="219"/>
      <c r="H271" s="220"/>
      <c r="I271" s="219"/>
      <c r="J271" s="219"/>
      <c r="K271" s="219"/>
      <c r="L271" s="221"/>
    </row>
    <row r="272" spans="1:75" ht="13.5" customHeight="1">
      <c r="A272" s="1" t="s">
        <v>635</v>
      </c>
      <c r="B272" s="2" t="s">
        <v>116</v>
      </c>
      <c r="C272" s="2" t="s">
        <v>636</v>
      </c>
      <c r="D272" s="147" t="s">
        <v>637</v>
      </c>
      <c r="E272" s="148"/>
      <c r="F272" s="2" t="s">
        <v>174</v>
      </c>
      <c r="G272" s="55">
        <v>250</v>
      </c>
      <c r="H272" s="56">
        <v>0</v>
      </c>
      <c r="I272" s="55">
        <f>G272*H272</f>
        <v>0</v>
      </c>
      <c r="J272" s="55">
        <v>0</v>
      </c>
      <c r="K272" s="55">
        <f>G272*J272</f>
        <v>0</v>
      </c>
      <c r="L272" s="57" t="s">
        <v>124</v>
      </c>
      <c r="Z272" s="55">
        <f>IF(AQ272="5",BJ272,0)</f>
        <v>0</v>
      </c>
      <c r="AB272" s="55">
        <f>IF(AQ272="1",BH272,0)</f>
        <v>0</v>
      </c>
      <c r="AC272" s="55">
        <f>IF(AQ272="1",BI272,0)</f>
        <v>0</v>
      </c>
      <c r="AD272" s="55">
        <f>IF(AQ272="7",BH272,0)</f>
        <v>0</v>
      </c>
      <c r="AE272" s="55">
        <f>IF(AQ272="7",BI272,0)</f>
        <v>0</v>
      </c>
      <c r="AF272" s="55">
        <f>IF(AQ272="2",BH272,0)</f>
        <v>0</v>
      </c>
      <c r="AG272" s="55">
        <f>IF(AQ272="2",BI272,0)</f>
        <v>0</v>
      </c>
      <c r="AH272" s="55">
        <f>IF(AQ272="0",BJ272,0)</f>
        <v>0</v>
      </c>
      <c r="AI272" s="34" t="s">
        <v>116</v>
      </c>
      <c r="AJ272" s="55">
        <f>IF(AN272=0,I272,0)</f>
        <v>0</v>
      </c>
      <c r="AK272" s="55">
        <f>IF(AN272=12,I272,0)</f>
        <v>0</v>
      </c>
      <c r="AL272" s="55">
        <f>IF(AN272=21,I272,0)</f>
        <v>0</v>
      </c>
      <c r="AN272" s="55">
        <v>21</v>
      </c>
      <c r="AO272" s="55">
        <f>H272*0.45</f>
        <v>0</v>
      </c>
      <c r="AP272" s="55">
        <f>H272*(1-0.45)</f>
        <v>0</v>
      </c>
      <c r="AQ272" s="58" t="s">
        <v>120</v>
      </c>
      <c r="AV272" s="55">
        <f>AW272+AX272</f>
        <v>0</v>
      </c>
      <c r="AW272" s="55">
        <f>G272*AO272</f>
        <v>0</v>
      </c>
      <c r="AX272" s="55">
        <f>G272*AP272</f>
        <v>0</v>
      </c>
      <c r="AY272" s="58" t="s">
        <v>603</v>
      </c>
      <c r="AZ272" s="58" t="s">
        <v>443</v>
      </c>
      <c r="BA272" s="34" t="s">
        <v>128</v>
      </c>
      <c r="BB272" s="67">
        <v>100136</v>
      </c>
      <c r="BC272" s="55">
        <f>AW272+AX272</f>
        <v>0</v>
      </c>
      <c r="BD272" s="55">
        <f>H272/(100-BE272)*100</f>
        <v>0</v>
      </c>
      <c r="BE272" s="55">
        <v>0</v>
      </c>
      <c r="BF272" s="55">
        <f>K272</f>
        <v>0</v>
      </c>
      <c r="BH272" s="55">
        <f>G272*AO272</f>
        <v>0</v>
      </c>
      <c r="BI272" s="55">
        <f>G272*AP272</f>
        <v>0</v>
      </c>
      <c r="BJ272" s="55">
        <f>G272*H272</f>
        <v>0</v>
      </c>
      <c r="BK272" s="55"/>
      <c r="BL272" s="55">
        <v>2223</v>
      </c>
      <c r="BW272" s="55">
        <v>21</v>
      </c>
    </row>
    <row r="273" spans="1:12" ht="13.5" customHeight="1">
      <c r="A273" s="59"/>
      <c r="D273" s="218" t="s">
        <v>129</v>
      </c>
      <c r="E273" s="219"/>
      <c r="F273" s="219"/>
      <c r="G273" s="219"/>
      <c r="H273" s="220"/>
      <c r="I273" s="219"/>
      <c r="J273" s="219"/>
      <c r="K273" s="219"/>
      <c r="L273" s="221"/>
    </row>
    <row r="274" spans="1:75" ht="13.5" customHeight="1">
      <c r="A274" s="1" t="s">
        <v>638</v>
      </c>
      <c r="B274" s="2" t="s">
        <v>116</v>
      </c>
      <c r="C274" s="2" t="s">
        <v>639</v>
      </c>
      <c r="D274" s="147" t="s">
        <v>640</v>
      </c>
      <c r="E274" s="148"/>
      <c r="F274" s="2" t="s">
        <v>174</v>
      </c>
      <c r="G274" s="55">
        <v>250</v>
      </c>
      <c r="H274" s="56">
        <v>0</v>
      </c>
      <c r="I274" s="55">
        <f>G274*H274</f>
        <v>0</v>
      </c>
      <c r="J274" s="55">
        <v>0</v>
      </c>
      <c r="K274" s="55">
        <f>G274*J274</f>
        <v>0</v>
      </c>
      <c r="L274" s="57" t="s">
        <v>124</v>
      </c>
      <c r="Z274" s="55">
        <f>IF(AQ274="5",BJ274,0)</f>
        <v>0</v>
      </c>
      <c r="AB274" s="55">
        <f>IF(AQ274="1",BH274,0)</f>
        <v>0</v>
      </c>
      <c r="AC274" s="55">
        <f>IF(AQ274="1",BI274,0)</f>
        <v>0</v>
      </c>
      <c r="AD274" s="55">
        <f>IF(AQ274="7",BH274,0)</f>
        <v>0</v>
      </c>
      <c r="AE274" s="55">
        <f>IF(AQ274="7",BI274,0)</f>
        <v>0</v>
      </c>
      <c r="AF274" s="55">
        <f>IF(AQ274="2",BH274,0)</f>
        <v>0</v>
      </c>
      <c r="AG274" s="55">
        <f>IF(AQ274="2",BI274,0)</f>
        <v>0</v>
      </c>
      <c r="AH274" s="55">
        <f>IF(AQ274="0",BJ274,0)</f>
        <v>0</v>
      </c>
      <c r="AI274" s="34" t="s">
        <v>116</v>
      </c>
      <c r="AJ274" s="55">
        <f>IF(AN274=0,I274,0)</f>
        <v>0</v>
      </c>
      <c r="AK274" s="55">
        <f>IF(AN274=12,I274,0)</f>
        <v>0</v>
      </c>
      <c r="AL274" s="55">
        <f>IF(AN274=21,I274,0)</f>
        <v>0</v>
      </c>
      <c r="AN274" s="55">
        <v>21</v>
      </c>
      <c r="AO274" s="55">
        <f>H274*0.431818182</f>
        <v>0</v>
      </c>
      <c r="AP274" s="55">
        <f>H274*(1-0.431818182)</f>
        <v>0</v>
      </c>
      <c r="AQ274" s="58" t="s">
        <v>120</v>
      </c>
      <c r="AV274" s="55">
        <f>AW274+AX274</f>
        <v>0</v>
      </c>
      <c r="AW274" s="55">
        <f>G274*AO274</f>
        <v>0</v>
      </c>
      <c r="AX274" s="55">
        <f>G274*AP274</f>
        <v>0</v>
      </c>
      <c r="AY274" s="58" t="s">
        <v>603</v>
      </c>
      <c r="AZ274" s="58" t="s">
        <v>443</v>
      </c>
      <c r="BA274" s="34" t="s">
        <v>128</v>
      </c>
      <c r="BB274" s="67">
        <v>100136</v>
      </c>
      <c r="BC274" s="55">
        <f>AW274+AX274</f>
        <v>0</v>
      </c>
      <c r="BD274" s="55">
        <f>H274/(100-BE274)*100</f>
        <v>0</v>
      </c>
      <c r="BE274" s="55">
        <v>0</v>
      </c>
      <c r="BF274" s="55">
        <f>K274</f>
        <v>0</v>
      </c>
      <c r="BH274" s="55">
        <f>G274*AO274</f>
        <v>0</v>
      </c>
      <c r="BI274" s="55">
        <f>G274*AP274</f>
        <v>0</v>
      </c>
      <c r="BJ274" s="55">
        <f>G274*H274</f>
        <v>0</v>
      </c>
      <c r="BK274" s="55"/>
      <c r="BL274" s="55">
        <v>2223</v>
      </c>
      <c r="BW274" s="55">
        <v>21</v>
      </c>
    </row>
    <row r="275" spans="1:12" ht="13.5" customHeight="1">
      <c r="A275" s="59"/>
      <c r="D275" s="218" t="s">
        <v>129</v>
      </c>
      <c r="E275" s="219"/>
      <c r="F275" s="219"/>
      <c r="G275" s="219"/>
      <c r="H275" s="220"/>
      <c r="I275" s="219"/>
      <c r="J275" s="219"/>
      <c r="K275" s="219"/>
      <c r="L275" s="221"/>
    </row>
    <row r="276" spans="1:75" ht="13.5" customHeight="1">
      <c r="A276" s="1" t="s">
        <v>641</v>
      </c>
      <c r="B276" s="2" t="s">
        <v>116</v>
      </c>
      <c r="C276" s="2" t="s">
        <v>642</v>
      </c>
      <c r="D276" s="147" t="s">
        <v>643</v>
      </c>
      <c r="E276" s="148"/>
      <c r="F276" s="2" t="s">
        <v>174</v>
      </c>
      <c r="G276" s="55">
        <v>450</v>
      </c>
      <c r="H276" s="56">
        <v>0</v>
      </c>
      <c r="I276" s="55">
        <f>G276*H276</f>
        <v>0</v>
      </c>
      <c r="J276" s="55">
        <v>0</v>
      </c>
      <c r="K276" s="55">
        <f>G276*J276</f>
        <v>0</v>
      </c>
      <c r="L276" s="57" t="s">
        <v>124</v>
      </c>
      <c r="Z276" s="55">
        <f>IF(AQ276="5",BJ276,0)</f>
        <v>0</v>
      </c>
      <c r="AB276" s="55">
        <f>IF(AQ276="1",BH276,0)</f>
        <v>0</v>
      </c>
      <c r="AC276" s="55">
        <f>IF(AQ276="1",BI276,0)</f>
        <v>0</v>
      </c>
      <c r="AD276" s="55">
        <f>IF(AQ276="7",BH276,0)</f>
        <v>0</v>
      </c>
      <c r="AE276" s="55">
        <f>IF(AQ276="7",BI276,0)</f>
        <v>0</v>
      </c>
      <c r="AF276" s="55">
        <f>IF(AQ276="2",BH276,0)</f>
        <v>0</v>
      </c>
      <c r="AG276" s="55">
        <f>IF(AQ276="2",BI276,0)</f>
        <v>0</v>
      </c>
      <c r="AH276" s="55">
        <f>IF(AQ276="0",BJ276,0)</f>
        <v>0</v>
      </c>
      <c r="AI276" s="34" t="s">
        <v>116</v>
      </c>
      <c r="AJ276" s="55">
        <f>IF(AN276=0,I276,0)</f>
        <v>0</v>
      </c>
      <c r="AK276" s="55">
        <f>IF(AN276=12,I276,0)</f>
        <v>0</v>
      </c>
      <c r="AL276" s="55">
        <f>IF(AN276=21,I276,0)</f>
        <v>0</v>
      </c>
      <c r="AN276" s="55">
        <v>21</v>
      </c>
      <c r="AO276" s="55">
        <f>H276*0.333333333</f>
        <v>0</v>
      </c>
      <c r="AP276" s="55">
        <f>H276*(1-0.333333333)</f>
        <v>0</v>
      </c>
      <c r="AQ276" s="58" t="s">
        <v>120</v>
      </c>
      <c r="AV276" s="55">
        <f>AW276+AX276</f>
        <v>0</v>
      </c>
      <c r="AW276" s="55">
        <f>G276*AO276</f>
        <v>0</v>
      </c>
      <c r="AX276" s="55">
        <f>G276*AP276</f>
        <v>0</v>
      </c>
      <c r="AY276" s="58" t="s">
        <v>603</v>
      </c>
      <c r="AZ276" s="58" t="s">
        <v>443</v>
      </c>
      <c r="BA276" s="34" t="s">
        <v>128</v>
      </c>
      <c r="BB276" s="67">
        <v>100136</v>
      </c>
      <c r="BC276" s="55">
        <f>AW276+AX276</f>
        <v>0</v>
      </c>
      <c r="BD276" s="55">
        <f>H276/(100-BE276)*100</f>
        <v>0</v>
      </c>
      <c r="BE276" s="55">
        <v>0</v>
      </c>
      <c r="BF276" s="55">
        <f>K276</f>
        <v>0</v>
      </c>
      <c r="BH276" s="55">
        <f>G276*AO276</f>
        <v>0</v>
      </c>
      <c r="BI276" s="55">
        <f>G276*AP276</f>
        <v>0</v>
      </c>
      <c r="BJ276" s="55">
        <f>G276*H276</f>
        <v>0</v>
      </c>
      <c r="BK276" s="55"/>
      <c r="BL276" s="55">
        <v>2223</v>
      </c>
      <c r="BW276" s="55">
        <v>21</v>
      </c>
    </row>
    <row r="277" spans="1:12" ht="13.5" customHeight="1">
      <c r="A277" s="59"/>
      <c r="D277" s="218" t="s">
        <v>129</v>
      </c>
      <c r="E277" s="219"/>
      <c r="F277" s="219"/>
      <c r="G277" s="219"/>
      <c r="H277" s="220"/>
      <c r="I277" s="219"/>
      <c r="J277" s="219"/>
      <c r="K277" s="219"/>
      <c r="L277" s="221"/>
    </row>
    <row r="278" spans="1:75" ht="13.5" customHeight="1">
      <c r="A278" s="1" t="s">
        <v>644</v>
      </c>
      <c r="B278" s="2" t="s">
        <v>116</v>
      </c>
      <c r="C278" s="2" t="s">
        <v>645</v>
      </c>
      <c r="D278" s="147" t="s">
        <v>646</v>
      </c>
      <c r="E278" s="148"/>
      <c r="F278" s="2" t="s">
        <v>174</v>
      </c>
      <c r="G278" s="55">
        <v>50</v>
      </c>
      <c r="H278" s="56">
        <v>0</v>
      </c>
      <c r="I278" s="55">
        <f>G278*H278</f>
        <v>0</v>
      </c>
      <c r="J278" s="55">
        <v>0</v>
      </c>
      <c r="K278" s="55">
        <f>G278*J278</f>
        <v>0</v>
      </c>
      <c r="L278" s="57" t="s">
        <v>124</v>
      </c>
      <c r="Z278" s="55">
        <f>IF(AQ278="5",BJ278,0)</f>
        <v>0</v>
      </c>
      <c r="AB278" s="55">
        <f>IF(AQ278="1",BH278,0)</f>
        <v>0</v>
      </c>
      <c r="AC278" s="55">
        <f>IF(AQ278="1",BI278,0)</f>
        <v>0</v>
      </c>
      <c r="AD278" s="55">
        <f>IF(AQ278="7",BH278,0)</f>
        <v>0</v>
      </c>
      <c r="AE278" s="55">
        <f>IF(AQ278="7",BI278,0)</f>
        <v>0</v>
      </c>
      <c r="AF278" s="55">
        <f>IF(AQ278="2",BH278,0)</f>
        <v>0</v>
      </c>
      <c r="AG278" s="55">
        <f>IF(AQ278="2",BI278,0)</f>
        <v>0</v>
      </c>
      <c r="AH278" s="55">
        <f>IF(AQ278="0",BJ278,0)</f>
        <v>0</v>
      </c>
      <c r="AI278" s="34" t="s">
        <v>116</v>
      </c>
      <c r="AJ278" s="55">
        <f>IF(AN278=0,I278,0)</f>
        <v>0</v>
      </c>
      <c r="AK278" s="55">
        <f>IF(AN278=12,I278,0)</f>
        <v>0</v>
      </c>
      <c r="AL278" s="55">
        <f>IF(AN278=21,I278,0)</f>
        <v>0</v>
      </c>
      <c r="AN278" s="55">
        <v>21</v>
      </c>
      <c r="AO278" s="55">
        <f>H278*0.466666667</f>
        <v>0</v>
      </c>
      <c r="AP278" s="55">
        <f>H278*(1-0.466666667)</f>
        <v>0</v>
      </c>
      <c r="AQ278" s="58" t="s">
        <v>120</v>
      </c>
      <c r="AV278" s="55">
        <f>AW278+AX278</f>
        <v>0</v>
      </c>
      <c r="AW278" s="55">
        <f>G278*AO278</f>
        <v>0</v>
      </c>
      <c r="AX278" s="55">
        <f>G278*AP278</f>
        <v>0</v>
      </c>
      <c r="AY278" s="58" t="s">
        <v>603</v>
      </c>
      <c r="AZ278" s="58" t="s">
        <v>443</v>
      </c>
      <c r="BA278" s="34" t="s">
        <v>128</v>
      </c>
      <c r="BB278" s="67">
        <v>100136</v>
      </c>
      <c r="BC278" s="55">
        <f>AW278+AX278</f>
        <v>0</v>
      </c>
      <c r="BD278" s="55">
        <f>H278/(100-BE278)*100</f>
        <v>0</v>
      </c>
      <c r="BE278" s="55">
        <v>0</v>
      </c>
      <c r="BF278" s="55">
        <f>K278</f>
        <v>0</v>
      </c>
      <c r="BH278" s="55">
        <f>G278*AO278</f>
        <v>0</v>
      </c>
      <c r="BI278" s="55">
        <f>G278*AP278</f>
        <v>0</v>
      </c>
      <c r="BJ278" s="55">
        <f>G278*H278</f>
        <v>0</v>
      </c>
      <c r="BK278" s="55"/>
      <c r="BL278" s="55">
        <v>2223</v>
      </c>
      <c r="BW278" s="55">
        <v>21</v>
      </c>
    </row>
    <row r="279" spans="1:12" ht="13.5" customHeight="1">
      <c r="A279" s="59"/>
      <c r="D279" s="218" t="s">
        <v>129</v>
      </c>
      <c r="E279" s="219"/>
      <c r="F279" s="219"/>
      <c r="G279" s="219"/>
      <c r="H279" s="220"/>
      <c r="I279" s="219"/>
      <c r="J279" s="219"/>
      <c r="K279" s="219"/>
      <c r="L279" s="221"/>
    </row>
    <row r="280" spans="1:75" ht="13.5" customHeight="1">
      <c r="A280" s="1" t="s">
        <v>647</v>
      </c>
      <c r="B280" s="2" t="s">
        <v>116</v>
      </c>
      <c r="C280" s="2" t="s">
        <v>648</v>
      </c>
      <c r="D280" s="147" t="s">
        <v>649</v>
      </c>
      <c r="E280" s="148"/>
      <c r="F280" s="2" t="s">
        <v>174</v>
      </c>
      <c r="G280" s="55">
        <v>50</v>
      </c>
      <c r="H280" s="56">
        <v>0</v>
      </c>
      <c r="I280" s="55">
        <f>G280*H280</f>
        <v>0</v>
      </c>
      <c r="J280" s="55">
        <v>0</v>
      </c>
      <c r="K280" s="55">
        <f>G280*J280</f>
        <v>0</v>
      </c>
      <c r="L280" s="57" t="s">
        <v>124</v>
      </c>
      <c r="Z280" s="55">
        <f>IF(AQ280="5",BJ280,0)</f>
        <v>0</v>
      </c>
      <c r="AB280" s="55">
        <f>IF(AQ280="1",BH280,0)</f>
        <v>0</v>
      </c>
      <c r="AC280" s="55">
        <f>IF(AQ280="1",BI280,0)</f>
        <v>0</v>
      </c>
      <c r="AD280" s="55">
        <f>IF(AQ280="7",BH280,0)</f>
        <v>0</v>
      </c>
      <c r="AE280" s="55">
        <f>IF(AQ280="7",BI280,0)</f>
        <v>0</v>
      </c>
      <c r="AF280" s="55">
        <f>IF(AQ280="2",BH280,0)</f>
        <v>0</v>
      </c>
      <c r="AG280" s="55">
        <f>IF(AQ280="2",BI280,0)</f>
        <v>0</v>
      </c>
      <c r="AH280" s="55">
        <f>IF(AQ280="0",BJ280,0)</f>
        <v>0</v>
      </c>
      <c r="AI280" s="34" t="s">
        <v>116</v>
      </c>
      <c r="AJ280" s="55">
        <f>IF(AN280=0,I280,0)</f>
        <v>0</v>
      </c>
      <c r="AK280" s="55">
        <f>IF(AN280=12,I280,0)</f>
        <v>0</v>
      </c>
      <c r="AL280" s="55">
        <f>IF(AN280=21,I280,0)</f>
        <v>0</v>
      </c>
      <c r="AN280" s="55">
        <v>21</v>
      </c>
      <c r="AO280" s="55">
        <f>H280*0.428571429</f>
        <v>0</v>
      </c>
      <c r="AP280" s="55">
        <f>H280*(1-0.428571429)</f>
        <v>0</v>
      </c>
      <c r="AQ280" s="58" t="s">
        <v>120</v>
      </c>
      <c r="AV280" s="55">
        <f>AW280+AX280</f>
        <v>0</v>
      </c>
      <c r="AW280" s="55">
        <f>G280*AO280</f>
        <v>0</v>
      </c>
      <c r="AX280" s="55">
        <f>G280*AP280</f>
        <v>0</v>
      </c>
      <c r="AY280" s="58" t="s">
        <v>603</v>
      </c>
      <c r="AZ280" s="58" t="s">
        <v>443</v>
      </c>
      <c r="BA280" s="34" t="s">
        <v>128</v>
      </c>
      <c r="BB280" s="67">
        <v>100136</v>
      </c>
      <c r="BC280" s="55">
        <f>AW280+AX280</f>
        <v>0</v>
      </c>
      <c r="BD280" s="55">
        <f>H280/(100-BE280)*100</f>
        <v>0</v>
      </c>
      <c r="BE280" s="55">
        <v>0</v>
      </c>
      <c r="BF280" s="55">
        <f>K280</f>
        <v>0</v>
      </c>
      <c r="BH280" s="55">
        <f>G280*AO280</f>
        <v>0</v>
      </c>
      <c r="BI280" s="55">
        <f>G280*AP280</f>
        <v>0</v>
      </c>
      <c r="BJ280" s="55">
        <f>G280*H280</f>
        <v>0</v>
      </c>
      <c r="BK280" s="55"/>
      <c r="BL280" s="55">
        <v>2223</v>
      </c>
      <c r="BW280" s="55">
        <v>21</v>
      </c>
    </row>
    <row r="281" spans="1:12" ht="13.5" customHeight="1">
      <c r="A281" s="59"/>
      <c r="D281" s="218" t="s">
        <v>129</v>
      </c>
      <c r="E281" s="219"/>
      <c r="F281" s="219"/>
      <c r="G281" s="219"/>
      <c r="H281" s="220"/>
      <c r="I281" s="219"/>
      <c r="J281" s="219"/>
      <c r="K281" s="219"/>
      <c r="L281" s="221"/>
    </row>
    <row r="282" spans="1:75" ht="13.5" customHeight="1">
      <c r="A282" s="1" t="s">
        <v>650</v>
      </c>
      <c r="B282" s="2" t="s">
        <v>116</v>
      </c>
      <c r="C282" s="2" t="s">
        <v>651</v>
      </c>
      <c r="D282" s="147" t="s">
        <v>652</v>
      </c>
      <c r="E282" s="148"/>
      <c r="F282" s="2" t="s">
        <v>123</v>
      </c>
      <c r="G282" s="55">
        <v>1</v>
      </c>
      <c r="H282" s="56">
        <v>0</v>
      </c>
      <c r="I282" s="55">
        <f>G282*H282</f>
        <v>0</v>
      </c>
      <c r="J282" s="55">
        <v>0</v>
      </c>
      <c r="K282" s="55">
        <f>G282*J282</f>
        <v>0</v>
      </c>
      <c r="L282" s="57" t="s">
        <v>124</v>
      </c>
      <c r="Z282" s="55">
        <f>IF(AQ282="5",BJ282,0)</f>
        <v>0</v>
      </c>
      <c r="AB282" s="55">
        <f>IF(AQ282="1",BH282,0)</f>
        <v>0</v>
      </c>
      <c r="AC282" s="55">
        <f>IF(AQ282="1",BI282,0)</f>
        <v>0</v>
      </c>
      <c r="AD282" s="55">
        <f>IF(AQ282="7",BH282,0)</f>
        <v>0</v>
      </c>
      <c r="AE282" s="55">
        <f>IF(AQ282="7",BI282,0)</f>
        <v>0</v>
      </c>
      <c r="AF282" s="55">
        <f>IF(AQ282="2",BH282,0)</f>
        <v>0</v>
      </c>
      <c r="AG282" s="55">
        <f>IF(AQ282="2",BI282,0)</f>
        <v>0</v>
      </c>
      <c r="AH282" s="55">
        <f>IF(AQ282="0",BJ282,0)</f>
        <v>0</v>
      </c>
      <c r="AI282" s="34" t="s">
        <v>116</v>
      </c>
      <c r="AJ282" s="55">
        <f>IF(AN282=0,I282,0)</f>
        <v>0</v>
      </c>
      <c r="AK282" s="55">
        <f>IF(AN282=12,I282,0)</f>
        <v>0</v>
      </c>
      <c r="AL282" s="55">
        <f>IF(AN282=21,I282,0)</f>
        <v>0</v>
      </c>
      <c r="AN282" s="55">
        <v>21</v>
      </c>
      <c r="AO282" s="55">
        <f>H282*0.545454545</f>
        <v>0</v>
      </c>
      <c r="AP282" s="55">
        <f>H282*(1-0.545454545)</f>
        <v>0</v>
      </c>
      <c r="AQ282" s="58" t="s">
        <v>120</v>
      </c>
      <c r="AV282" s="55">
        <f>AW282+AX282</f>
        <v>0</v>
      </c>
      <c r="AW282" s="55">
        <f>G282*AO282</f>
        <v>0</v>
      </c>
      <c r="AX282" s="55">
        <f>G282*AP282</f>
        <v>0</v>
      </c>
      <c r="AY282" s="58" t="s">
        <v>603</v>
      </c>
      <c r="AZ282" s="58" t="s">
        <v>443</v>
      </c>
      <c r="BA282" s="34" t="s">
        <v>128</v>
      </c>
      <c r="BB282" s="67">
        <v>100136</v>
      </c>
      <c r="BC282" s="55">
        <f>AW282+AX282</f>
        <v>0</v>
      </c>
      <c r="BD282" s="55">
        <f>H282/(100-BE282)*100</f>
        <v>0</v>
      </c>
      <c r="BE282" s="55">
        <v>0</v>
      </c>
      <c r="BF282" s="55">
        <f>K282</f>
        <v>0</v>
      </c>
      <c r="BH282" s="55">
        <f>G282*AO282</f>
        <v>0</v>
      </c>
      <c r="BI282" s="55">
        <f>G282*AP282</f>
        <v>0</v>
      </c>
      <c r="BJ282" s="55">
        <f>G282*H282</f>
        <v>0</v>
      </c>
      <c r="BK282" s="55"/>
      <c r="BL282" s="55">
        <v>2223</v>
      </c>
      <c r="BW282" s="55">
        <v>21</v>
      </c>
    </row>
    <row r="283" spans="1:12" ht="13.5" customHeight="1">
      <c r="A283" s="59"/>
      <c r="D283" s="218" t="s">
        <v>129</v>
      </c>
      <c r="E283" s="219"/>
      <c r="F283" s="219"/>
      <c r="G283" s="219"/>
      <c r="H283" s="220"/>
      <c r="I283" s="219"/>
      <c r="J283" s="219"/>
      <c r="K283" s="219"/>
      <c r="L283" s="221"/>
    </row>
    <row r="284" spans="1:75" ht="13.5" customHeight="1">
      <c r="A284" s="1" t="s">
        <v>653</v>
      </c>
      <c r="B284" s="2" t="s">
        <v>116</v>
      </c>
      <c r="C284" s="2" t="s">
        <v>654</v>
      </c>
      <c r="D284" s="147" t="s">
        <v>655</v>
      </c>
      <c r="E284" s="148"/>
      <c r="F284" s="2" t="s">
        <v>360</v>
      </c>
      <c r="G284" s="55">
        <v>12</v>
      </c>
      <c r="H284" s="56">
        <v>0</v>
      </c>
      <c r="I284" s="55">
        <f>G284*H284</f>
        <v>0</v>
      </c>
      <c r="J284" s="55">
        <v>0</v>
      </c>
      <c r="K284" s="55">
        <f>G284*J284</f>
        <v>0</v>
      </c>
      <c r="L284" s="57" t="s">
        <v>124</v>
      </c>
      <c r="Z284" s="55">
        <f>IF(AQ284="5",BJ284,0)</f>
        <v>0</v>
      </c>
      <c r="AB284" s="55">
        <f>IF(AQ284="1",BH284,0)</f>
        <v>0</v>
      </c>
      <c r="AC284" s="55">
        <f>IF(AQ284="1",BI284,0)</f>
        <v>0</v>
      </c>
      <c r="AD284" s="55">
        <f>IF(AQ284="7",BH284,0)</f>
        <v>0</v>
      </c>
      <c r="AE284" s="55">
        <f>IF(AQ284="7",BI284,0)</f>
        <v>0</v>
      </c>
      <c r="AF284" s="55">
        <f>IF(AQ284="2",BH284,0)</f>
        <v>0</v>
      </c>
      <c r="AG284" s="55">
        <f>IF(AQ284="2",BI284,0)</f>
        <v>0</v>
      </c>
      <c r="AH284" s="55">
        <f>IF(AQ284="0",BJ284,0)</f>
        <v>0</v>
      </c>
      <c r="AI284" s="34" t="s">
        <v>116</v>
      </c>
      <c r="AJ284" s="55">
        <f>IF(AN284=0,I284,0)</f>
        <v>0</v>
      </c>
      <c r="AK284" s="55">
        <f>IF(AN284=12,I284,0)</f>
        <v>0</v>
      </c>
      <c r="AL284" s="55">
        <f>IF(AN284=21,I284,0)</f>
        <v>0</v>
      </c>
      <c r="AN284" s="55">
        <v>21</v>
      </c>
      <c r="AO284" s="55">
        <f>H284*0</f>
        <v>0</v>
      </c>
      <c r="AP284" s="55">
        <f>H284*(1-0)</f>
        <v>0</v>
      </c>
      <c r="AQ284" s="58" t="s">
        <v>120</v>
      </c>
      <c r="AV284" s="55">
        <f>AW284+AX284</f>
        <v>0</v>
      </c>
      <c r="AW284" s="55">
        <f>G284*AO284</f>
        <v>0</v>
      </c>
      <c r="AX284" s="55">
        <f>G284*AP284</f>
        <v>0</v>
      </c>
      <c r="AY284" s="58" t="s">
        <v>603</v>
      </c>
      <c r="AZ284" s="58" t="s">
        <v>443</v>
      </c>
      <c r="BA284" s="34" t="s">
        <v>128</v>
      </c>
      <c r="BB284" s="67">
        <v>100136</v>
      </c>
      <c r="BC284" s="55">
        <f>AW284+AX284</f>
        <v>0</v>
      </c>
      <c r="BD284" s="55">
        <f>H284/(100-BE284)*100</f>
        <v>0</v>
      </c>
      <c r="BE284" s="55">
        <v>0</v>
      </c>
      <c r="BF284" s="55">
        <f>K284</f>
        <v>0</v>
      </c>
      <c r="BH284" s="55">
        <f>G284*AO284</f>
        <v>0</v>
      </c>
      <c r="BI284" s="55">
        <f>G284*AP284</f>
        <v>0</v>
      </c>
      <c r="BJ284" s="55">
        <f>G284*H284</f>
        <v>0</v>
      </c>
      <c r="BK284" s="55"/>
      <c r="BL284" s="55">
        <v>2223</v>
      </c>
      <c r="BW284" s="55">
        <v>21</v>
      </c>
    </row>
    <row r="285" spans="1:75" ht="13.5" customHeight="1">
      <c r="A285" s="1" t="s">
        <v>656</v>
      </c>
      <c r="B285" s="2" t="s">
        <v>116</v>
      </c>
      <c r="C285" s="2" t="s">
        <v>657</v>
      </c>
      <c r="D285" s="147" t="s">
        <v>658</v>
      </c>
      <c r="E285" s="148"/>
      <c r="F285" s="2" t="s">
        <v>360</v>
      </c>
      <c r="G285" s="55">
        <v>8</v>
      </c>
      <c r="H285" s="56">
        <v>0</v>
      </c>
      <c r="I285" s="55">
        <f>G285*H285</f>
        <v>0</v>
      </c>
      <c r="J285" s="55">
        <v>0</v>
      </c>
      <c r="K285" s="55">
        <f>G285*J285</f>
        <v>0</v>
      </c>
      <c r="L285" s="57" t="s">
        <v>124</v>
      </c>
      <c r="Z285" s="55">
        <f>IF(AQ285="5",BJ285,0)</f>
        <v>0</v>
      </c>
      <c r="AB285" s="55">
        <f>IF(AQ285="1",BH285,0)</f>
        <v>0</v>
      </c>
      <c r="AC285" s="55">
        <f>IF(AQ285="1",BI285,0)</f>
        <v>0</v>
      </c>
      <c r="AD285" s="55">
        <f>IF(AQ285="7",BH285,0)</f>
        <v>0</v>
      </c>
      <c r="AE285" s="55">
        <f>IF(AQ285="7",BI285,0)</f>
        <v>0</v>
      </c>
      <c r="AF285" s="55">
        <f>IF(AQ285="2",BH285,0)</f>
        <v>0</v>
      </c>
      <c r="AG285" s="55">
        <f>IF(AQ285="2",BI285,0)</f>
        <v>0</v>
      </c>
      <c r="AH285" s="55">
        <f>IF(AQ285="0",BJ285,0)</f>
        <v>0</v>
      </c>
      <c r="AI285" s="34" t="s">
        <v>116</v>
      </c>
      <c r="AJ285" s="55">
        <f>IF(AN285=0,I285,0)</f>
        <v>0</v>
      </c>
      <c r="AK285" s="55">
        <f>IF(AN285=12,I285,0)</f>
        <v>0</v>
      </c>
      <c r="AL285" s="55">
        <f>IF(AN285=21,I285,0)</f>
        <v>0</v>
      </c>
      <c r="AN285" s="55">
        <v>21</v>
      </c>
      <c r="AO285" s="55">
        <f>H285*0</f>
        <v>0</v>
      </c>
      <c r="AP285" s="55">
        <f>H285*(1-0)</f>
        <v>0</v>
      </c>
      <c r="AQ285" s="58" t="s">
        <v>120</v>
      </c>
      <c r="AV285" s="55">
        <f>AW285+AX285</f>
        <v>0</v>
      </c>
      <c r="AW285" s="55">
        <f>G285*AO285</f>
        <v>0</v>
      </c>
      <c r="AX285" s="55">
        <f>G285*AP285</f>
        <v>0</v>
      </c>
      <c r="AY285" s="58" t="s">
        <v>603</v>
      </c>
      <c r="AZ285" s="58" t="s">
        <v>443</v>
      </c>
      <c r="BA285" s="34" t="s">
        <v>128</v>
      </c>
      <c r="BB285" s="67">
        <v>100136</v>
      </c>
      <c r="BC285" s="55">
        <f>AW285+AX285</f>
        <v>0</v>
      </c>
      <c r="BD285" s="55">
        <f>H285/(100-BE285)*100</f>
        <v>0</v>
      </c>
      <c r="BE285" s="55">
        <v>0</v>
      </c>
      <c r="BF285" s="55">
        <f>K285</f>
        <v>0</v>
      </c>
      <c r="BH285" s="55">
        <f>G285*AO285</f>
        <v>0</v>
      </c>
      <c r="BI285" s="55">
        <f>G285*AP285</f>
        <v>0</v>
      </c>
      <c r="BJ285" s="55">
        <f>G285*H285</f>
        <v>0</v>
      </c>
      <c r="BK285" s="55"/>
      <c r="BL285" s="55">
        <v>2223</v>
      </c>
      <c r="BW285" s="55">
        <v>21</v>
      </c>
    </row>
    <row r="286" spans="1:75" ht="13.5" customHeight="1">
      <c r="A286" s="1" t="s">
        <v>659</v>
      </c>
      <c r="B286" s="2" t="s">
        <v>116</v>
      </c>
      <c r="C286" s="2" t="s">
        <v>660</v>
      </c>
      <c r="D286" s="147" t="s">
        <v>476</v>
      </c>
      <c r="E286" s="148"/>
      <c r="F286" s="2" t="s">
        <v>360</v>
      </c>
      <c r="G286" s="55">
        <v>16</v>
      </c>
      <c r="H286" s="56">
        <v>0</v>
      </c>
      <c r="I286" s="55">
        <f>G286*H286</f>
        <v>0</v>
      </c>
      <c r="J286" s="55">
        <v>0</v>
      </c>
      <c r="K286" s="55">
        <f>G286*J286</f>
        <v>0</v>
      </c>
      <c r="L286" s="57" t="s">
        <v>124</v>
      </c>
      <c r="Z286" s="55">
        <f>IF(AQ286="5",BJ286,0)</f>
        <v>0</v>
      </c>
      <c r="AB286" s="55">
        <f>IF(AQ286="1",BH286,0)</f>
        <v>0</v>
      </c>
      <c r="AC286" s="55">
        <f>IF(AQ286="1",BI286,0)</f>
        <v>0</v>
      </c>
      <c r="AD286" s="55">
        <f>IF(AQ286="7",BH286,0)</f>
        <v>0</v>
      </c>
      <c r="AE286" s="55">
        <f>IF(AQ286="7",BI286,0)</f>
        <v>0</v>
      </c>
      <c r="AF286" s="55">
        <f>IF(AQ286="2",BH286,0)</f>
        <v>0</v>
      </c>
      <c r="AG286" s="55">
        <f>IF(AQ286="2",BI286,0)</f>
        <v>0</v>
      </c>
      <c r="AH286" s="55">
        <f>IF(AQ286="0",BJ286,0)</f>
        <v>0</v>
      </c>
      <c r="AI286" s="34" t="s">
        <v>116</v>
      </c>
      <c r="AJ286" s="55">
        <f>IF(AN286=0,I286,0)</f>
        <v>0</v>
      </c>
      <c r="AK286" s="55">
        <f>IF(AN286=12,I286,0)</f>
        <v>0</v>
      </c>
      <c r="AL286" s="55">
        <f>IF(AN286=21,I286,0)</f>
        <v>0</v>
      </c>
      <c r="AN286" s="55">
        <v>21</v>
      </c>
      <c r="AO286" s="55">
        <f>H286*0</f>
        <v>0</v>
      </c>
      <c r="AP286" s="55">
        <f>H286*(1-0)</f>
        <v>0</v>
      </c>
      <c r="AQ286" s="58" t="s">
        <v>120</v>
      </c>
      <c r="AV286" s="55">
        <f>AW286+AX286</f>
        <v>0</v>
      </c>
      <c r="AW286" s="55">
        <f>G286*AO286</f>
        <v>0</v>
      </c>
      <c r="AX286" s="55">
        <f>G286*AP286</f>
        <v>0</v>
      </c>
      <c r="AY286" s="58" t="s">
        <v>603</v>
      </c>
      <c r="AZ286" s="58" t="s">
        <v>443</v>
      </c>
      <c r="BA286" s="34" t="s">
        <v>128</v>
      </c>
      <c r="BB286" s="67">
        <v>100136</v>
      </c>
      <c r="BC286" s="55">
        <f>AW286+AX286</f>
        <v>0</v>
      </c>
      <c r="BD286" s="55">
        <f>H286/(100-BE286)*100</f>
        <v>0</v>
      </c>
      <c r="BE286" s="55">
        <v>0</v>
      </c>
      <c r="BF286" s="55">
        <f>K286</f>
        <v>0</v>
      </c>
      <c r="BH286" s="55">
        <f>G286*AO286</f>
        <v>0</v>
      </c>
      <c r="BI286" s="55">
        <f>G286*AP286</f>
        <v>0</v>
      </c>
      <c r="BJ286" s="55">
        <f>G286*H286</f>
        <v>0</v>
      </c>
      <c r="BK286" s="55"/>
      <c r="BL286" s="55">
        <v>2223</v>
      </c>
      <c r="BW286" s="55">
        <v>21</v>
      </c>
    </row>
    <row r="287" spans="1:75" ht="13.5" customHeight="1">
      <c r="A287" s="1" t="s">
        <v>661</v>
      </c>
      <c r="B287" s="2" t="s">
        <v>116</v>
      </c>
      <c r="C287" s="2" t="s">
        <v>662</v>
      </c>
      <c r="D287" s="147" t="s">
        <v>480</v>
      </c>
      <c r="E287" s="148"/>
      <c r="F287" s="2" t="s">
        <v>360</v>
      </c>
      <c r="G287" s="55">
        <v>8</v>
      </c>
      <c r="H287" s="56">
        <v>0</v>
      </c>
      <c r="I287" s="55">
        <f>G287*H287</f>
        <v>0</v>
      </c>
      <c r="J287" s="55">
        <v>0</v>
      </c>
      <c r="K287" s="55">
        <f>G287*J287</f>
        <v>0</v>
      </c>
      <c r="L287" s="57" t="s">
        <v>124</v>
      </c>
      <c r="Z287" s="55">
        <f>IF(AQ287="5",BJ287,0)</f>
        <v>0</v>
      </c>
      <c r="AB287" s="55">
        <f>IF(AQ287="1",BH287,0)</f>
        <v>0</v>
      </c>
      <c r="AC287" s="55">
        <f>IF(AQ287="1",BI287,0)</f>
        <v>0</v>
      </c>
      <c r="AD287" s="55">
        <f>IF(AQ287="7",BH287,0)</f>
        <v>0</v>
      </c>
      <c r="AE287" s="55">
        <f>IF(AQ287="7",BI287,0)</f>
        <v>0</v>
      </c>
      <c r="AF287" s="55">
        <f>IF(AQ287="2",BH287,0)</f>
        <v>0</v>
      </c>
      <c r="AG287" s="55">
        <f>IF(AQ287="2",BI287,0)</f>
        <v>0</v>
      </c>
      <c r="AH287" s="55">
        <f>IF(AQ287="0",BJ287,0)</f>
        <v>0</v>
      </c>
      <c r="AI287" s="34" t="s">
        <v>116</v>
      </c>
      <c r="AJ287" s="55">
        <f>IF(AN287=0,I287,0)</f>
        <v>0</v>
      </c>
      <c r="AK287" s="55">
        <f>IF(AN287=12,I287,0)</f>
        <v>0</v>
      </c>
      <c r="AL287" s="55">
        <f>IF(AN287=21,I287,0)</f>
        <v>0</v>
      </c>
      <c r="AN287" s="55">
        <v>21</v>
      </c>
      <c r="AO287" s="55">
        <f>H287*0</f>
        <v>0</v>
      </c>
      <c r="AP287" s="55">
        <f>H287*(1-0)</f>
        <v>0</v>
      </c>
      <c r="AQ287" s="58" t="s">
        <v>120</v>
      </c>
      <c r="AV287" s="55">
        <f>AW287+AX287</f>
        <v>0</v>
      </c>
      <c r="AW287" s="55">
        <f>G287*AO287</f>
        <v>0</v>
      </c>
      <c r="AX287" s="55">
        <f>G287*AP287</f>
        <v>0</v>
      </c>
      <c r="AY287" s="58" t="s">
        <v>603</v>
      </c>
      <c r="AZ287" s="58" t="s">
        <v>443</v>
      </c>
      <c r="BA287" s="34" t="s">
        <v>128</v>
      </c>
      <c r="BB287" s="67">
        <v>100136</v>
      </c>
      <c r="BC287" s="55">
        <f>AW287+AX287</f>
        <v>0</v>
      </c>
      <c r="BD287" s="55">
        <f>H287/(100-BE287)*100</f>
        <v>0</v>
      </c>
      <c r="BE287" s="55">
        <v>0</v>
      </c>
      <c r="BF287" s="55">
        <f>K287</f>
        <v>0</v>
      </c>
      <c r="BH287" s="55">
        <f>G287*AO287</f>
        <v>0</v>
      </c>
      <c r="BI287" s="55">
        <f>G287*AP287</f>
        <v>0</v>
      </c>
      <c r="BJ287" s="55">
        <f>G287*H287</f>
        <v>0</v>
      </c>
      <c r="BK287" s="55"/>
      <c r="BL287" s="55">
        <v>2223</v>
      </c>
      <c r="BW287" s="55">
        <v>21</v>
      </c>
    </row>
    <row r="288" spans="1:75" ht="13.5" customHeight="1">
      <c r="A288" s="1" t="s">
        <v>663</v>
      </c>
      <c r="B288" s="2" t="s">
        <v>116</v>
      </c>
      <c r="C288" s="2" t="s">
        <v>664</v>
      </c>
      <c r="D288" s="147" t="s">
        <v>483</v>
      </c>
      <c r="E288" s="148"/>
      <c r="F288" s="2" t="s">
        <v>360</v>
      </c>
      <c r="G288" s="55">
        <v>8</v>
      </c>
      <c r="H288" s="56">
        <v>0</v>
      </c>
      <c r="I288" s="55">
        <f>G288*H288</f>
        <v>0</v>
      </c>
      <c r="J288" s="55">
        <v>0</v>
      </c>
      <c r="K288" s="55">
        <f>G288*J288</f>
        <v>0</v>
      </c>
      <c r="L288" s="57" t="s">
        <v>124</v>
      </c>
      <c r="Z288" s="55">
        <f>IF(AQ288="5",BJ288,0)</f>
        <v>0</v>
      </c>
      <c r="AB288" s="55">
        <f>IF(AQ288="1",BH288,0)</f>
        <v>0</v>
      </c>
      <c r="AC288" s="55">
        <f>IF(AQ288="1",BI288,0)</f>
        <v>0</v>
      </c>
      <c r="AD288" s="55">
        <f>IF(AQ288="7",BH288,0)</f>
        <v>0</v>
      </c>
      <c r="AE288" s="55">
        <f>IF(AQ288="7",BI288,0)</f>
        <v>0</v>
      </c>
      <c r="AF288" s="55">
        <f>IF(AQ288="2",BH288,0)</f>
        <v>0</v>
      </c>
      <c r="AG288" s="55">
        <f>IF(AQ288="2",BI288,0)</f>
        <v>0</v>
      </c>
      <c r="AH288" s="55">
        <f>IF(AQ288="0",BJ288,0)</f>
        <v>0</v>
      </c>
      <c r="AI288" s="34" t="s">
        <v>116</v>
      </c>
      <c r="AJ288" s="55">
        <f>IF(AN288=0,I288,0)</f>
        <v>0</v>
      </c>
      <c r="AK288" s="55">
        <f>IF(AN288=12,I288,0)</f>
        <v>0</v>
      </c>
      <c r="AL288" s="55">
        <f>IF(AN288=21,I288,0)</f>
        <v>0</v>
      </c>
      <c r="AN288" s="55">
        <v>21</v>
      </c>
      <c r="AO288" s="55">
        <f>H288*0</f>
        <v>0</v>
      </c>
      <c r="AP288" s="55">
        <f>H288*(1-0)</f>
        <v>0</v>
      </c>
      <c r="AQ288" s="58" t="s">
        <v>120</v>
      </c>
      <c r="AV288" s="55">
        <f>AW288+AX288</f>
        <v>0</v>
      </c>
      <c r="AW288" s="55">
        <f>G288*AO288</f>
        <v>0</v>
      </c>
      <c r="AX288" s="55">
        <f>G288*AP288</f>
        <v>0</v>
      </c>
      <c r="AY288" s="58" t="s">
        <v>603</v>
      </c>
      <c r="AZ288" s="58" t="s">
        <v>443</v>
      </c>
      <c r="BA288" s="34" t="s">
        <v>128</v>
      </c>
      <c r="BB288" s="67">
        <v>100136</v>
      </c>
      <c r="BC288" s="55">
        <f>AW288+AX288</f>
        <v>0</v>
      </c>
      <c r="BD288" s="55">
        <f>H288/(100-BE288)*100</f>
        <v>0</v>
      </c>
      <c r="BE288" s="55">
        <v>0</v>
      </c>
      <c r="BF288" s="55">
        <f>K288</f>
        <v>0</v>
      </c>
      <c r="BH288" s="55">
        <f>G288*AO288</f>
        <v>0</v>
      </c>
      <c r="BI288" s="55">
        <f>G288*AP288</f>
        <v>0</v>
      </c>
      <c r="BJ288" s="55">
        <f>G288*H288</f>
        <v>0</v>
      </c>
      <c r="BK288" s="55"/>
      <c r="BL288" s="55">
        <v>2223</v>
      </c>
      <c r="BW288" s="55">
        <v>21</v>
      </c>
    </row>
    <row r="289" spans="1:47" ht="14.4">
      <c r="A289" s="50" t="s">
        <v>4</v>
      </c>
      <c r="B289" s="51" t="s">
        <v>116</v>
      </c>
      <c r="C289" s="51" t="s">
        <v>665</v>
      </c>
      <c r="D289" s="222" t="s">
        <v>666</v>
      </c>
      <c r="E289" s="223"/>
      <c r="F289" s="52" t="s">
        <v>79</v>
      </c>
      <c r="G289" s="52" t="s">
        <v>79</v>
      </c>
      <c r="H289" s="53" t="s">
        <v>79</v>
      </c>
      <c r="I289" s="27">
        <f>SUM(I290:I334)</f>
        <v>0</v>
      </c>
      <c r="J289" s="34" t="s">
        <v>4</v>
      </c>
      <c r="K289" s="27">
        <f>SUM(K290:K334)</f>
        <v>0</v>
      </c>
      <c r="L289" s="54" t="s">
        <v>4</v>
      </c>
      <c r="AI289" s="34" t="s">
        <v>116</v>
      </c>
      <c r="AS289" s="27">
        <f>SUM(AJ290:AJ334)</f>
        <v>0</v>
      </c>
      <c r="AT289" s="27">
        <f>SUM(AK290:AK334)</f>
        <v>0</v>
      </c>
      <c r="AU289" s="27">
        <f>SUM(AL290:AL334)</f>
        <v>0</v>
      </c>
    </row>
    <row r="290" spans="1:75" ht="13.5" customHeight="1">
      <c r="A290" s="1" t="s">
        <v>667</v>
      </c>
      <c r="B290" s="2" t="s">
        <v>116</v>
      </c>
      <c r="C290" s="2" t="s">
        <v>668</v>
      </c>
      <c r="D290" s="147" t="s">
        <v>669</v>
      </c>
      <c r="E290" s="148"/>
      <c r="F290" s="2" t="s">
        <v>174</v>
      </c>
      <c r="G290" s="55">
        <v>4</v>
      </c>
      <c r="H290" s="56">
        <v>0</v>
      </c>
      <c r="I290" s="55">
        <f>G290*H290</f>
        <v>0</v>
      </c>
      <c r="J290" s="55">
        <v>0</v>
      </c>
      <c r="K290" s="55">
        <f>G290*J290</f>
        <v>0</v>
      </c>
      <c r="L290" s="57" t="s">
        <v>124</v>
      </c>
      <c r="Z290" s="55">
        <f>IF(AQ290="5",BJ290,0)</f>
        <v>0</v>
      </c>
      <c r="AB290" s="55">
        <f>IF(AQ290="1",BH290,0)</f>
        <v>0</v>
      </c>
      <c r="AC290" s="55">
        <f>IF(AQ290="1",BI290,0)</f>
        <v>0</v>
      </c>
      <c r="AD290" s="55">
        <f>IF(AQ290="7",BH290,0)</f>
        <v>0</v>
      </c>
      <c r="AE290" s="55">
        <f>IF(AQ290="7",BI290,0)</f>
        <v>0</v>
      </c>
      <c r="AF290" s="55">
        <f>IF(AQ290="2",BH290,0)</f>
        <v>0</v>
      </c>
      <c r="AG290" s="55">
        <f>IF(AQ290="2",BI290,0)</f>
        <v>0</v>
      </c>
      <c r="AH290" s="55">
        <f>IF(AQ290="0",BJ290,0)</f>
        <v>0</v>
      </c>
      <c r="AI290" s="34" t="s">
        <v>116</v>
      </c>
      <c r="AJ290" s="55">
        <f>IF(AN290=0,I290,0)</f>
        <v>0</v>
      </c>
      <c r="AK290" s="55">
        <f>IF(AN290=12,I290,0)</f>
        <v>0</v>
      </c>
      <c r="AL290" s="55">
        <f>IF(AN290=21,I290,0)</f>
        <v>0</v>
      </c>
      <c r="AN290" s="55">
        <v>21</v>
      </c>
      <c r="AO290" s="55">
        <f>H290*0.766573296</f>
        <v>0</v>
      </c>
      <c r="AP290" s="55">
        <f>H290*(1-0.766573296)</f>
        <v>0</v>
      </c>
      <c r="AQ290" s="58" t="s">
        <v>120</v>
      </c>
      <c r="AV290" s="55">
        <f>AW290+AX290</f>
        <v>0</v>
      </c>
      <c r="AW290" s="55">
        <f>G290*AO290</f>
        <v>0</v>
      </c>
      <c r="AX290" s="55">
        <f>G290*AP290</f>
        <v>0</v>
      </c>
      <c r="AY290" s="58" t="s">
        <v>670</v>
      </c>
      <c r="AZ290" s="58" t="s">
        <v>443</v>
      </c>
      <c r="BA290" s="34" t="s">
        <v>128</v>
      </c>
      <c r="BB290" s="67">
        <v>100138</v>
      </c>
      <c r="BC290" s="55">
        <f>AW290+AX290</f>
        <v>0</v>
      </c>
      <c r="BD290" s="55">
        <f>H290/(100-BE290)*100</f>
        <v>0</v>
      </c>
      <c r="BE290" s="55">
        <v>0</v>
      </c>
      <c r="BF290" s="55">
        <f>K290</f>
        <v>0</v>
      </c>
      <c r="BH290" s="55">
        <f>G290*AO290</f>
        <v>0</v>
      </c>
      <c r="BI290" s="55">
        <f>G290*AP290</f>
        <v>0</v>
      </c>
      <c r="BJ290" s="55">
        <f>G290*H290</f>
        <v>0</v>
      </c>
      <c r="BK290" s="55"/>
      <c r="BL290" s="55">
        <v>2225</v>
      </c>
      <c r="BW290" s="55">
        <v>21</v>
      </c>
    </row>
    <row r="291" spans="1:12" ht="13.5" customHeight="1">
      <c r="A291" s="59"/>
      <c r="D291" s="218" t="s">
        <v>129</v>
      </c>
      <c r="E291" s="219"/>
      <c r="F291" s="219"/>
      <c r="G291" s="219"/>
      <c r="H291" s="220"/>
      <c r="I291" s="219"/>
      <c r="J291" s="219"/>
      <c r="K291" s="219"/>
      <c r="L291" s="221"/>
    </row>
    <row r="292" spans="1:75" ht="13.5" customHeight="1">
      <c r="A292" s="1" t="s">
        <v>671</v>
      </c>
      <c r="B292" s="2" t="s">
        <v>116</v>
      </c>
      <c r="C292" s="2" t="s">
        <v>672</v>
      </c>
      <c r="D292" s="147" t="s">
        <v>673</v>
      </c>
      <c r="E292" s="148"/>
      <c r="F292" s="2" t="s">
        <v>174</v>
      </c>
      <c r="G292" s="55">
        <v>4</v>
      </c>
      <c r="H292" s="56">
        <v>0</v>
      </c>
      <c r="I292" s="55">
        <f>G292*H292</f>
        <v>0</v>
      </c>
      <c r="J292" s="55">
        <v>0</v>
      </c>
      <c r="K292" s="55">
        <f>G292*J292</f>
        <v>0</v>
      </c>
      <c r="L292" s="57" t="s">
        <v>124</v>
      </c>
      <c r="Z292" s="55">
        <f>IF(AQ292="5",BJ292,0)</f>
        <v>0</v>
      </c>
      <c r="AB292" s="55">
        <f>IF(AQ292="1",BH292,0)</f>
        <v>0</v>
      </c>
      <c r="AC292" s="55">
        <f>IF(AQ292="1",BI292,0)</f>
        <v>0</v>
      </c>
      <c r="AD292" s="55">
        <f>IF(AQ292="7",BH292,0)</f>
        <v>0</v>
      </c>
      <c r="AE292" s="55">
        <f>IF(AQ292="7",BI292,0)</f>
        <v>0</v>
      </c>
      <c r="AF292" s="55">
        <f>IF(AQ292="2",BH292,0)</f>
        <v>0</v>
      </c>
      <c r="AG292" s="55">
        <f>IF(AQ292="2",BI292,0)</f>
        <v>0</v>
      </c>
      <c r="AH292" s="55">
        <f>IF(AQ292="0",BJ292,0)</f>
        <v>0</v>
      </c>
      <c r="AI292" s="34" t="s">
        <v>116</v>
      </c>
      <c r="AJ292" s="55">
        <f>IF(AN292=0,I292,0)</f>
        <v>0</v>
      </c>
      <c r="AK292" s="55">
        <f>IF(AN292=12,I292,0)</f>
        <v>0</v>
      </c>
      <c r="AL292" s="55">
        <f>IF(AN292=21,I292,0)</f>
        <v>0</v>
      </c>
      <c r="AN292" s="55">
        <v>21</v>
      </c>
      <c r="AO292" s="55">
        <f>H292*0.75975976</f>
        <v>0</v>
      </c>
      <c r="AP292" s="55">
        <f>H292*(1-0.75975976)</f>
        <v>0</v>
      </c>
      <c r="AQ292" s="58" t="s">
        <v>120</v>
      </c>
      <c r="AV292" s="55">
        <f>AW292+AX292</f>
        <v>0</v>
      </c>
      <c r="AW292" s="55">
        <f>G292*AO292</f>
        <v>0</v>
      </c>
      <c r="AX292" s="55">
        <f>G292*AP292</f>
        <v>0</v>
      </c>
      <c r="AY292" s="58" t="s">
        <v>670</v>
      </c>
      <c r="AZ292" s="58" t="s">
        <v>443</v>
      </c>
      <c r="BA292" s="34" t="s">
        <v>128</v>
      </c>
      <c r="BB292" s="67">
        <v>100138</v>
      </c>
      <c r="BC292" s="55">
        <f>AW292+AX292</f>
        <v>0</v>
      </c>
      <c r="BD292" s="55">
        <f>H292/(100-BE292)*100</f>
        <v>0</v>
      </c>
      <c r="BE292" s="55">
        <v>0</v>
      </c>
      <c r="BF292" s="55">
        <f>K292</f>
        <v>0</v>
      </c>
      <c r="BH292" s="55">
        <f>G292*AO292</f>
        <v>0</v>
      </c>
      <c r="BI292" s="55">
        <f>G292*AP292</f>
        <v>0</v>
      </c>
      <c r="BJ292" s="55">
        <f>G292*H292</f>
        <v>0</v>
      </c>
      <c r="BK292" s="55"/>
      <c r="BL292" s="55">
        <v>2225</v>
      </c>
      <c r="BW292" s="55">
        <v>21</v>
      </c>
    </row>
    <row r="293" spans="1:12" ht="13.5" customHeight="1">
      <c r="A293" s="59"/>
      <c r="D293" s="218" t="s">
        <v>129</v>
      </c>
      <c r="E293" s="219"/>
      <c r="F293" s="219"/>
      <c r="G293" s="219"/>
      <c r="H293" s="220"/>
      <c r="I293" s="219"/>
      <c r="J293" s="219"/>
      <c r="K293" s="219"/>
      <c r="L293" s="221"/>
    </row>
    <row r="294" spans="1:75" ht="13.5" customHeight="1">
      <c r="A294" s="1" t="s">
        <v>674</v>
      </c>
      <c r="B294" s="2" t="s">
        <v>116</v>
      </c>
      <c r="C294" s="2" t="s">
        <v>675</v>
      </c>
      <c r="D294" s="147" t="s">
        <v>676</v>
      </c>
      <c r="E294" s="148"/>
      <c r="F294" s="2" t="s">
        <v>123</v>
      </c>
      <c r="G294" s="55">
        <v>2</v>
      </c>
      <c r="H294" s="56">
        <v>0</v>
      </c>
      <c r="I294" s="55">
        <f>G294*H294</f>
        <v>0</v>
      </c>
      <c r="J294" s="55">
        <v>0</v>
      </c>
      <c r="K294" s="55">
        <f>G294*J294</f>
        <v>0</v>
      </c>
      <c r="L294" s="57" t="s">
        <v>124</v>
      </c>
      <c r="Z294" s="55">
        <f>IF(AQ294="5",BJ294,0)</f>
        <v>0</v>
      </c>
      <c r="AB294" s="55">
        <f>IF(AQ294="1",BH294,0)</f>
        <v>0</v>
      </c>
      <c r="AC294" s="55">
        <f>IF(AQ294="1",BI294,0)</f>
        <v>0</v>
      </c>
      <c r="AD294" s="55">
        <f>IF(AQ294="7",BH294,0)</f>
        <v>0</v>
      </c>
      <c r="AE294" s="55">
        <f>IF(AQ294="7",BI294,0)</f>
        <v>0</v>
      </c>
      <c r="AF294" s="55">
        <f>IF(AQ294="2",BH294,0)</f>
        <v>0</v>
      </c>
      <c r="AG294" s="55">
        <f>IF(AQ294="2",BI294,0)</f>
        <v>0</v>
      </c>
      <c r="AH294" s="55">
        <f>IF(AQ294="0",BJ294,0)</f>
        <v>0</v>
      </c>
      <c r="AI294" s="34" t="s">
        <v>116</v>
      </c>
      <c r="AJ294" s="55">
        <f>IF(AN294=0,I294,0)</f>
        <v>0</v>
      </c>
      <c r="AK294" s="55">
        <f>IF(AN294=12,I294,0)</f>
        <v>0</v>
      </c>
      <c r="AL294" s="55">
        <f>IF(AN294=21,I294,0)</f>
        <v>0</v>
      </c>
      <c r="AN294" s="55">
        <v>21</v>
      </c>
      <c r="AO294" s="55">
        <f>H294*0.671052632</f>
        <v>0</v>
      </c>
      <c r="AP294" s="55">
        <f>H294*(1-0.671052632)</f>
        <v>0</v>
      </c>
      <c r="AQ294" s="58" t="s">
        <v>120</v>
      </c>
      <c r="AV294" s="55">
        <f>AW294+AX294</f>
        <v>0</v>
      </c>
      <c r="AW294" s="55">
        <f>G294*AO294</f>
        <v>0</v>
      </c>
      <c r="AX294" s="55">
        <f>G294*AP294</f>
        <v>0</v>
      </c>
      <c r="AY294" s="58" t="s">
        <v>670</v>
      </c>
      <c r="AZ294" s="58" t="s">
        <v>443</v>
      </c>
      <c r="BA294" s="34" t="s">
        <v>128</v>
      </c>
      <c r="BB294" s="67">
        <v>100138</v>
      </c>
      <c r="BC294" s="55">
        <f>AW294+AX294</f>
        <v>0</v>
      </c>
      <c r="BD294" s="55">
        <f>H294/(100-BE294)*100</f>
        <v>0</v>
      </c>
      <c r="BE294" s="55">
        <v>0</v>
      </c>
      <c r="BF294" s="55">
        <f>K294</f>
        <v>0</v>
      </c>
      <c r="BH294" s="55">
        <f>G294*AO294</f>
        <v>0</v>
      </c>
      <c r="BI294" s="55">
        <f>G294*AP294</f>
        <v>0</v>
      </c>
      <c r="BJ294" s="55">
        <f>G294*H294</f>
        <v>0</v>
      </c>
      <c r="BK294" s="55"/>
      <c r="BL294" s="55">
        <v>2225</v>
      </c>
      <c r="BW294" s="55">
        <v>21</v>
      </c>
    </row>
    <row r="295" spans="1:12" ht="13.5" customHeight="1">
      <c r="A295" s="59"/>
      <c r="D295" s="218" t="s">
        <v>129</v>
      </c>
      <c r="E295" s="219"/>
      <c r="F295" s="219"/>
      <c r="G295" s="219"/>
      <c r="H295" s="220"/>
      <c r="I295" s="219"/>
      <c r="J295" s="219"/>
      <c r="K295" s="219"/>
      <c r="L295" s="221"/>
    </row>
    <row r="296" spans="1:75" ht="13.5" customHeight="1">
      <c r="A296" s="1" t="s">
        <v>677</v>
      </c>
      <c r="B296" s="2" t="s">
        <v>116</v>
      </c>
      <c r="C296" s="2" t="s">
        <v>678</v>
      </c>
      <c r="D296" s="147" t="s">
        <v>679</v>
      </c>
      <c r="E296" s="148"/>
      <c r="F296" s="2" t="s">
        <v>123</v>
      </c>
      <c r="G296" s="55">
        <v>2</v>
      </c>
      <c r="H296" s="56">
        <v>0</v>
      </c>
      <c r="I296" s="55">
        <f>G296*H296</f>
        <v>0</v>
      </c>
      <c r="J296" s="55">
        <v>0</v>
      </c>
      <c r="K296" s="55">
        <f>G296*J296</f>
        <v>0</v>
      </c>
      <c r="L296" s="57" t="s">
        <v>124</v>
      </c>
      <c r="Z296" s="55">
        <f>IF(AQ296="5",BJ296,0)</f>
        <v>0</v>
      </c>
      <c r="AB296" s="55">
        <f>IF(AQ296="1",BH296,0)</f>
        <v>0</v>
      </c>
      <c r="AC296" s="55">
        <f>IF(AQ296="1",BI296,0)</f>
        <v>0</v>
      </c>
      <c r="AD296" s="55">
        <f>IF(AQ296="7",BH296,0)</f>
        <v>0</v>
      </c>
      <c r="AE296" s="55">
        <f>IF(AQ296="7",BI296,0)</f>
        <v>0</v>
      </c>
      <c r="AF296" s="55">
        <f>IF(AQ296="2",BH296,0)</f>
        <v>0</v>
      </c>
      <c r="AG296" s="55">
        <f>IF(AQ296="2",BI296,0)</f>
        <v>0</v>
      </c>
      <c r="AH296" s="55">
        <f>IF(AQ296="0",BJ296,0)</f>
        <v>0</v>
      </c>
      <c r="AI296" s="34" t="s">
        <v>116</v>
      </c>
      <c r="AJ296" s="55">
        <f>IF(AN296=0,I296,0)</f>
        <v>0</v>
      </c>
      <c r="AK296" s="55">
        <f>IF(AN296=12,I296,0)</f>
        <v>0</v>
      </c>
      <c r="AL296" s="55">
        <f>IF(AN296=21,I296,0)</f>
        <v>0</v>
      </c>
      <c r="AN296" s="55">
        <v>21</v>
      </c>
      <c r="AO296" s="55">
        <f>H296*0.933110368</f>
        <v>0</v>
      </c>
      <c r="AP296" s="55">
        <f>H296*(1-0.933110368)</f>
        <v>0</v>
      </c>
      <c r="AQ296" s="58" t="s">
        <v>120</v>
      </c>
      <c r="AV296" s="55">
        <f>AW296+AX296</f>
        <v>0</v>
      </c>
      <c r="AW296" s="55">
        <f>G296*AO296</f>
        <v>0</v>
      </c>
      <c r="AX296" s="55">
        <f>G296*AP296</f>
        <v>0</v>
      </c>
      <c r="AY296" s="58" t="s">
        <v>670</v>
      </c>
      <c r="AZ296" s="58" t="s">
        <v>443</v>
      </c>
      <c r="BA296" s="34" t="s">
        <v>128</v>
      </c>
      <c r="BB296" s="67">
        <v>100138</v>
      </c>
      <c r="BC296" s="55">
        <f>AW296+AX296</f>
        <v>0</v>
      </c>
      <c r="BD296" s="55">
        <f>H296/(100-BE296)*100</f>
        <v>0</v>
      </c>
      <c r="BE296" s="55">
        <v>0</v>
      </c>
      <c r="BF296" s="55">
        <f>K296</f>
        <v>0</v>
      </c>
      <c r="BH296" s="55">
        <f>G296*AO296</f>
        <v>0</v>
      </c>
      <c r="BI296" s="55">
        <f>G296*AP296</f>
        <v>0</v>
      </c>
      <c r="BJ296" s="55">
        <f>G296*H296</f>
        <v>0</v>
      </c>
      <c r="BK296" s="55"/>
      <c r="BL296" s="55">
        <v>2225</v>
      </c>
      <c r="BW296" s="55">
        <v>21</v>
      </c>
    </row>
    <row r="297" spans="1:12" ht="13.5" customHeight="1">
      <c r="A297" s="59"/>
      <c r="D297" s="218" t="s">
        <v>129</v>
      </c>
      <c r="E297" s="219"/>
      <c r="F297" s="219"/>
      <c r="G297" s="219"/>
      <c r="H297" s="220"/>
      <c r="I297" s="219"/>
      <c r="J297" s="219"/>
      <c r="K297" s="219"/>
      <c r="L297" s="221"/>
    </row>
    <row r="298" spans="1:75" ht="13.5" customHeight="1">
      <c r="A298" s="1" t="s">
        <v>680</v>
      </c>
      <c r="B298" s="2" t="s">
        <v>116</v>
      </c>
      <c r="C298" s="2" t="s">
        <v>681</v>
      </c>
      <c r="D298" s="147" t="s">
        <v>682</v>
      </c>
      <c r="E298" s="148"/>
      <c r="F298" s="2" t="s">
        <v>174</v>
      </c>
      <c r="G298" s="55">
        <v>4</v>
      </c>
      <c r="H298" s="56">
        <v>0</v>
      </c>
      <c r="I298" s="55">
        <f>G298*H298</f>
        <v>0</v>
      </c>
      <c r="J298" s="55">
        <v>0</v>
      </c>
      <c r="K298" s="55">
        <f>G298*J298</f>
        <v>0</v>
      </c>
      <c r="L298" s="57" t="s">
        <v>124</v>
      </c>
      <c r="Z298" s="55">
        <f>IF(AQ298="5",BJ298,0)</f>
        <v>0</v>
      </c>
      <c r="AB298" s="55">
        <f>IF(AQ298="1",BH298,0)</f>
        <v>0</v>
      </c>
      <c r="AC298" s="55">
        <f>IF(AQ298="1",BI298,0)</f>
        <v>0</v>
      </c>
      <c r="AD298" s="55">
        <f>IF(AQ298="7",BH298,0)</f>
        <v>0</v>
      </c>
      <c r="AE298" s="55">
        <f>IF(AQ298="7",BI298,0)</f>
        <v>0</v>
      </c>
      <c r="AF298" s="55">
        <f>IF(AQ298="2",BH298,0)</f>
        <v>0</v>
      </c>
      <c r="AG298" s="55">
        <f>IF(AQ298="2",BI298,0)</f>
        <v>0</v>
      </c>
      <c r="AH298" s="55">
        <f>IF(AQ298="0",BJ298,0)</f>
        <v>0</v>
      </c>
      <c r="AI298" s="34" t="s">
        <v>116</v>
      </c>
      <c r="AJ298" s="55">
        <f>IF(AN298=0,I298,0)</f>
        <v>0</v>
      </c>
      <c r="AK298" s="55">
        <f>IF(AN298=12,I298,0)</f>
        <v>0</v>
      </c>
      <c r="AL298" s="55">
        <f>IF(AN298=21,I298,0)</f>
        <v>0</v>
      </c>
      <c r="AN298" s="55">
        <v>21</v>
      </c>
      <c r="AO298" s="55">
        <f>H298*0.826388889</f>
        <v>0</v>
      </c>
      <c r="AP298" s="55">
        <f>H298*(1-0.826388889)</f>
        <v>0</v>
      </c>
      <c r="AQ298" s="58" t="s">
        <v>120</v>
      </c>
      <c r="AV298" s="55">
        <f>AW298+AX298</f>
        <v>0</v>
      </c>
      <c r="AW298" s="55">
        <f>G298*AO298</f>
        <v>0</v>
      </c>
      <c r="AX298" s="55">
        <f>G298*AP298</f>
        <v>0</v>
      </c>
      <c r="AY298" s="58" t="s">
        <v>670</v>
      </c>
      <c r="AZ298" s="58" t="s">
        <v>443</v>
      </c>
      <c r="BA298" s="34" t="s">
        <v>128</v>
      </c>
      <c r="BB298" s="67">
        <v>100138</v>
      </c>
      <c r="BC298" s="55">
        <f>AW298+AX298</f>
        <v>0</v>
      </c>
      <c r="BD298" s="55">
        <f>H298/(100-BE298)*100</f>
        <v>0</v>
      </c>
      <c r="BE298" s="55">
        <v>0</v>
      </c>
      <c r="BF298" s="55">
        <f>K298</f>
        <v>0</v>
      </c>
      <c r="BH298" s="55">
        <f>G298*AO298</f>
        <v>0</v>
      </c>
      <c r="BI298" s="55">
        <f>G298*AP298</f>
        <v>0</v>
      </c>
      <c r="BJ298" s="55">
        <f>G298*H298</f>
        <v>0</v>
      </c>
      <c r="BK298" s="55"/>
      <c r="BL298" s="55">
        <v>2225</v>
      </c>
      <c r="BW298" s="55">
        <v>21</v>
      </c>
    </row>
    <row r="299" spans="1:12" ht="13.5" customHeight="1">
      <c r="A299" s="59"/>
      <c r="D299" s="218" t="s">
        <v>129</v>
      </c>
      <c r="E299" s="219"/>
      <c r="F299" s="219"/>
      <c r="G299" s="219"/>
      <c r="H299" s="220"/>
      <c r="I299" s="219"/>
      <c r="J299" s="219"/>
      <c r="K299" s="219"/>
      <c r="L299" s="221"/>
    </row>
    <row r="300" spans="1:75" ht="13.5" customHeight="1">
      <c r="A300" s="1" t="s">
        <v>683</v>
      </c>
      <c r="B300" s="2" t="s">
        <v>116</v>
      </c>
      <c r="C300" s="2" t="s">
        <v>684</v>
      </c>
      <c r="D300" s="147" t="s">
        <v>685</v>
      </c>
      <c r="E300" s="148"/>
      <c r="F300" s="2" t="s">
        <v>174</v>
      </c>
      <c r="G300" s="55">
        <v>880</v>
      </c>
      <c r="H300" s="56">
        <v>0</v>
      </c>
      <c r="I300" s="55">
        <f>G300*H300</f>
        <v>0</v>
      </c>
      <c r="J300" s="55">
        <v>0</v>
      </c>
      <c r="K300" s="55">
        <f>G300*J300</f>
        <v>0</v>
      </c>
      <c r="L300" s="57" t="s">
        <v>124</v>
      </c>
      <c r="Z300" s="55">
        <f>IF(AQ300="5",BJ300,0)</f>
        <v>0</v>
      </c>
      <c r="AB300" s="55">
        <f>IF(AQ300="1",BH300,0)</f>
        <v>0</v>
      </c>
      <c r="AC300" s="55">
        <f>IF(AQ300="1",BI300,0)</f>
        <v>0</v>
      </c>
      <c r="AD300" s="55">
        <f>IF(AQ300="7",BH300,0)</f>
        <v>0</v>
      </c>
      <c r="AE300" s="55">
        <f>IF(AQ300="7",BI300,0)</f>
        <v>0</v>
      </c>
      <c r="AF300" s="55">
        <f>IF(AQ300="2",BH300,0)</f>
        <v>0</v>
      </c>
      <c r="AG300" s="55">
        <f>IF(AQ300="2",BI300,0)</f>
        <v>0</v>
      </c>
      <c r="AH300" s="55">
        <f>IF(AQ300="0",BJ300,0)</f>
        <v>0</v>
      </c>
      <c r="AI300" s="34" t="s">
        <v>116</v>
      </c>
      <c r="AJ300" s="55">
        <f>IF(AN300=0,I300,0)</f>
        <v>0</v>
      </c>
      <c r="AK300" s="55">
        <f>IF(AN300=12,I300,0)</f>
        <v>0</v>
      </c>
      <c r="AL300" s="55">
        <f>IF(AN300=21,I300,0)</f>
        <v>0</v>
      </c>
      <c r="AN300" s="55">
        <v>21</v>
      </c>
      <c r="AO300" s="55">
        <f>H300*0.256427491</f>
        <v>0</v>
      </c>
      <c r="AP300" s="55">
        <f>H300*(1-0.256427491)</f>
        <v>0</v>
      </c>
      <c r="AQ300" s="58" t="s">
        <v>120</v>
      </c>
      <c r="AV300" s="55">
        <f>AW300+AX300</f>
        <v>0</v>
      </c>
      <c r="AW300" s="55">
        <f>G300*AO300</f>
        <v>0</v>
      </c>
      <c r="AX300" s="55">
        <f>G300*AP300</f>
        <v>0</v>
      </c>
      <c r="AY300" s="58" t="s">
        <v>670</v>
      </c>
      <c r="AZ300" s="58" t="s">
        <v>443</v>
      </c>
      <c r="BA300" s="34" t="s">
        <v>128</v>
      </c>
      <c r="BB300" s="67">
        <v>100138</v>
      </c>
      <c r="BC300" s="55">
        <f>AW300+AX300</f>
        <v>0</v>
      </c>
      <c r="BD300" s="55">
        <f>H300/(100-BE300)*100</f>
        <v>0</v>
      </c>
      <c r="BE300" s="55">
        <v>0</v>
      </c>
      <c r="BF300" s="55">
        <f>K300</f>
        <v>0</v>
      </c>
      <c r="BH300" s="55">
        <f>G300*AO300</f>
        <v>0</v>
      </c>
      <c r="BI300" s="55">
        <f>G300*AP300</f>
        <v>0</v>
      </c>
      <c r="BJ300" s="55">
        <f>G300*H300</f>
        <v>0</v>
      </c>
      <c r="BK300" s="55"/>
      <c r="BL300" s="55">
        <v>2225</v>
      </c>
      <c r="BW300" s="55">
        <v>21</v>
      </c>
    </row>
    <row r="301" spans="1:12" ht="13.5" customHeight="1">
      <c r="A301" s="59"/>
      <c r="D301" s="218" t="s">
        <v>129</v>
      </c>
      <c r="E301" s="219"/>
      <c r="F301" s="219"/>
      <c r="G301" s="219"/>
      <c r="H301" s="220"/>
      <c r="I301" s="219"/>
      <c r="J301" s="219"/>
      <c r="K301" s="219"/>
      <c r="L301" s="221"/>
    </row>
    <row r="302" spans="1:75" ht="13.5" customHeight="1">
      <c r="A302" s="1" t="s">
        <v>686</v>
      </c>
      <c r="B302" s="2" t="s">
        <v>116</v>
      </c>
      <c r="C302" s="2" t="s">
        <v>687</v>
      </c>
      <c r="D302" s="147" t="s">
        <v>688</v>
      </c>
      <c r="E302" s="148"/>
      <c r="F302" s="2" t="s">
        <v>174</v>
      </c>
      <c r="G302" s="55">
        <v>188</v>
      </c>
      <c r="H302" s="56">
        <v>0</v>
      </c>
      <c r="I302" s="55">
        <f>G302*H302</f>
        <v>0</v>
      </c>
      <c r="J302" s="55">
        <v>0</v>
      </c>
      <c r="K302" s="55">
        <f>G302*J302</f>
        <v>0</v>
      </c>
      <c r="L302" s="57" t="s">
        <v>124</v>
      </c>
      <c r="Z302" s="55">
        <f>IF(AQ302="5",BJ302,0)</f>
        <v>0</v>
      </c>
      <c r="AB302" s="55">
        <f>IF(AQ302="1",BH302,0)</f>
        <v>0</v>
      </c>
      <c r="AC302" s="55">
        <f>IF(AQ302="1",BI302,0)</f>
        <v>0</v>
      </c>
      <c r="AD302" s="55">
        <f>IF(AQ302="7",BH302,0)</f>
        <v>0</v>
      </c>
      <c r="AE302" s="55">
        <f>IF(AQ302="7",BI302,0)</f>
        <v>0</v>
      </c>
      <c r="AF302" s="55">
        <f>IF(AQ302="2",BH302,0)</f>
        <v>0</v>
      </c>
      <c r="AG302" s="55">
        <f>IF(AQ302="2",BI302,0)</f>
        <v>0</v>
      </c>
      <c r="AH302" s="55">
        <f>IF(AQ302="0",BJ302,0)</f>
        <v>0</v>
      </c>
      <c r="AI302" s="34" t="s">
        <v>116</v>
      </c>
      <c r="AJ302" s="55">
        <f>IF(AN302=0,I302,0)</f>
        <v>0</v>
      </c>
      <c r="AK302" s="55">
        <f>IF(AN302=12,I302,0)</f>
        <v>0</v>
      </c>
      <c r="AL302" s="55">
        <f>IF(AN302=21,I302,0)</f>
        <v>0</v>
      </c>
      <c r="AN302" s="55">
        <v>21</v>
      </c>
      <c r="AO302" s="55">
        <f>H302*0.324532714</f>
        <v>0</v>
      </c>
      <c r="AP302" s="55">
        <f>H302*(1-0.324532714)</f>
        <v>0</v>
      </c>
      <c r="AQ302" s="58" t="s">
        <v>120</v>
      </c>
      <c r="AV302" s="55">
        <f>AW302+AX302</f>
        <v>0</v>
      </c>
      <c r="AW302" s="55">
        <f>G302*AO302</f>
        <v>0</v>
      </c>
      <c r="AX302" s="55">
        <f>G302*AP302</f>
        <v>0</v>
      </c>
      <c r="AY302" s="58" t="s">
        <v>670</v>
      </c>
      <c r="AZ302" s="58" t="s">
        <v>443</v>
      </c>
      <c r="BA302" s="34" t="s">
        <v>128</v>
      </c>
      <c r="BB302" s="67">
        <v>100138</v>
      </c>
      <c r="BC302" s="55">
        <f>AW302+AX302</f>
        <v>0</v>
      </c>
      <c r="BD302" s="55">
        <f>H302/(100-BE302)*100</f>
        <v>0</v>
      </c>
      <c r="BE302" s="55">
        <v>0</v>
      </c>
      <c r="BF302" s="55">
        <f>K302</f>
        <v>0</v>
      </c>
      <c r="BH302" s="55">
        <f>G302*AO302</f>
        <v>0</v>
      </c>
      <c r="BI302" s="55">
        <f>G302*AP302</f>
        <v>0</v>
      </c>
      <c r="BJ302" s="55">
        <f>G302*H302</f>
        <v>0</v>
      </c>
      <c r="BK302" s="55"/>
      <c r="BL302" s="55">
        <v>2225</v>
      </c>
      <c r="BW302" s="55">
        <v>21</v>
      </c>
    </row>
    <row r="303" spans="1:12" ht="13.5" customHeight="1">
      <c r="A303" s="59"/>
      <c r="D303" s="218" t="s">
        <v>129</v>
      </c>
      <c r="E303" s="219"/>
      <c r="F303" s="219"/>
      <c r="G303" s="219"/>
      <c r="H303" s="220"/>
      <c r="I303" s="219"/>
      <c r="J303" s="219"/>
      <c r="K303" s="219"/>
      <c r="L303" s="221"/>
    </row>
    <row r="304" spans="1:75" ht="13.5" customHeight="1">
      <c r="A304" s="1" t="s">
        <v>689</v>
      </c>
      <c r="B304" s="2" t="s">
        <v>116</v>
      </c>
      <c r="C304" s="2" t="s">
        <v>690</v>
      </c>
      <c r="D304" s="147" t="s">
        <v>691</v>
      </c>
      <c r="E304" s="148"/>
      <c r="F304" s="2" t="s">
        <v>174</v>
      </c>
      <c r="G304" s="55">
        <v>420</v>
      </c>
      <c r="H304" s="56">
        <v>0</v>
      </c>
      <c r="I304" s="55">
        <f>G304*H304</f>
        <v>0</v>
      </c>
      <c r="J304" s="55">
        <v>0</v>
      </c>
      <c r="K304" s="55">
        <f>G304*J304</f>
        <v>0</v>
      </c>
      <c r="L304" s="57" t="s">
        <v>124</v>
      </c>
      <c r="Z304" s="55">
        <f>IF(AQ304="5",BJ304,0)</f>
        <v>0</v>
      </c>
      <c r="AB304" s="55">
        <f>IF(AQ304="1",BH304,0)</f>
        <v>0</v>
      </c>
      <c r="AC304" s="55">
        <f>IF(AQ304="1",BI304,0)</f>
        <v>0</v>
      </c>
      <c r="AD304" s="55">
        <f>IF(AQ304="7",BH304,0)</f>
        <v>0</v>
      </c>
      <c r="AE304" s="55">
        <f>IF(AQ304="7",BI304,0)</f>
        <v>0</v>
      </c>
      <c r="AF304" s="55">
        <f>IF(AQ304="2",BH304,0)</f>
        <v>0</v>
      </c>
      <c r="AG304" s="55">
        <f>IF(AQ304="2",BI304,0)</f>
        <v>0</v>
      </c>
      <c r="AH304" s="55">
        <f>IF(AQ304="0",BJ304,0)</f>
        <v>0</v>
      </c>
      <c r="AI304" s="34" t="s">
        <v>116</v>
      </c>
      <c r="AJ304" s="55">
        <f>IF(AN304=0,I304,0)</f>
        <v>0</v>
      </c>
      <c r="AK304" s="55">
        <f>IF(AN304=12,I304,0)</f>
        <v>0</v>
      </c>
      <c r="AL304" s="55">
        <f>IF(AN304=21,I304,0)</f>
        <v>0</v>
      </c>
      <c r="AN304" s="55">
        <v>21</v>
      </c>
      <c r="AO304" s="55">
        <f>H304*0.331193151</f>
        <v>0</v>
      </c>
      <c r="AP304" s="55">
        <f>H304*(1-0.331193151)</f>
        <v>0</v>
      </c>
      <c r="AQ304" s="58" t="s">
        <v>120</v>
      </c>
      <c r="AV304" s="55">
        <f>AW304+AX304</f>
        <v>0</v>
      </c>
      <c r="AW304" s="55">
        <f>G304*AO304</f>
        <v>0</v>
      </c>
      <c r="AX304" s="55">
        <f>G304*AP304</f>
        <v>0</v>
      </c>
      <c r="AY304" s="58" t="s">
        <v>670</v>
      </c>
      <c r="AZ304" s="58" t="s">
        <v>443</v>
      </c>
      <c r="BA304" s="34" t="s">
        <v>128</v>
      </c>
      <c r="BB304" s="67">
        <v>100138</v>
      </c>
      <c r="BC304" s="55">
        <f>AW304+AX304</f>
        <v>0</v>
      </c>
      <c r="BD304" s="55">
        <f>H304/(100-BE304)*100</f>
        <v>0</v>
      </c>
      <c r="BE304" s="55">
        <v>0</v>
      </c>
      <c r="BF304" s="55">
        <f>K304</f>
        <v>0</v>
      </c>
      <c r="BH304" s="55">
        <f>G304*AO304</f>
        <v>0</v>
      </c>
      <c r="BI304" s="55">
        <f>G304*AP304</f>
        <v>0</v>
      </c>
      <c r="BJ304" s="55">
        <f>G304*H304</f>
        <v>0</v>
      </c>
      <c r="BK304" s="55"/>
      <c r="BL304" s="55">
        <v>2225</v>
      </c>
      <c r="BW304" s="55">
        <v>21</v>
      </c>
    </row>
    <row r="305" spans="1:12" ht="13.5" customHeight="1">
      <c r="A305" s="59"/>
      <c r="D305" s="218" t="s">
        <v>129</v>
      </c>
      <c r="E305" s="219"/>
      <c r="F305" s="219"/>
      <c r="G305" s="219"/>
      <c r="H305" s="220"/>
      <c r="I305" s="219"/>
      <c r="J305" s="219"/>
      <c r="K305" s="219"/>
      <c r="L305" s="221"/>
    </row>
    <row r="306" spans="1:75" ht="13.5" customHeight="1">
      <c r="A306" s="1" t="s">
        <v>692</v>
      </c>
      <c r="B306" s="2" t="s">
        <v>116</v>
      </c>
      <c r="C306" s="2" t="s">
        <v>693</v>
      </c>
      <c r="D306" s="147" t="s">
        <v>694</v>
      </c>
      <c r="E306" s="148"/>
      <c r="F306" s="2" t="s">
        <v>174</v>
      </c>
      <c r="G306" s="55">
        <v>60</v>
      </c>
      <c r="H306" s="56">
        <v>0</v>
      </c>
      <c r="I306" s="55">
        <f>G306*H306</f>
        <v>0</v>
      </c>
      <c r="J306" s="55">
        <v>0</v>
      </c>
      <c r="K306" s="55">
        <f>G306*J306</f>
        <v>0</v>
      </c>
      <c r="L306" s="57" t="s">
        <v>124</v>
      </c>
      <c r="Z306" s="55">
        <f>IF(AQ306="5",BJ306,0)</f>
        <v>0</v>
      </c>
      <c r="AB306" s="55">
        <f>IF(AQ306="1",BH306,0)</f>
        <v>0</v>
      </c>
      <c r="AC306" s="55">
        <f>IF(AQ306="1",BI306,0)</f>
        <v>0</v>
      </c>
      <c r="AD306" s="55">
        <f>IF(AQ306="7",BH306,0)</f>
        <v>0</v>
      </c>
      <c r="AE306" s="55">
        <f>IF(AQ306="7",BI306,0)</f>
        <v>0</v>
      </c>
      <c r="AF306" s="55">
        <f>IF(AQ306="2",BH306,0)</f>
        <v>0</v>
      </c>
      <c r="AG306" s="55">
        <f>IF(AQ306="2",BI306,0)</f>
        <v>0</v>
      </c>
      <c r="AH306" s="55">
        <f>IF(AQ306="0",BJ306,0)</f>
        <v>0</v>
      </c>
      <c r="AI306" s="34" t="s">
        <v>116</v>
      </c>
      <c r="AJ306" s="55">
        <f>IF(AN306=0,I306,0)</f>
        <v>0</v>
      </c>
      <c r="AK306" s="55">
        <f>IF(AN306=12,I306,0)</f>
        <v>0</v>
      </c>
      <c r="AL306" s="55">
        <f>IF(AN306=21,I306,0)</f>
        <v>0</v>
      </c>
      <c r="AN306" s="55">
        <v>21</v>
      </c>
      <c r="AO306" s="55">
        <f>H306*0.423728814</f>
        <v>0</v>
      </c>
      <c r="AP306" s="55">
        <f>H306*(1-0.423728814)</f>
        <v>0</v>
      </c>
      <c r="AQ306" s="58" t="s">
        <v>120</v>
      </c>
      <c r="AV306" s="55">
        <f>AW306+AX306</f>
        <v>0</v>
      </c>
      <c r="AW306" s="55">
        <f>G306*AO306</f>
        <v>0</v>
      </c>
      <c r="AX306" s="55">
        <f>G306*AP306</f>
        <v>0</v>
      </c>
      <c r="AY306" s="58" t="s">
        <v>670</v>
      </c>
      <c r="AZ306" s="58" t="s">
        <v>443</v>
      </c>
      <c r="BA306" s="34" t="s">
        <v>128</v>
      </c>
      <c r="BB306" s="67">
        <v>100138</v>
      </c>
      <c r="BC306" s="55">
        <f>AW306+AX306</f>
        <v>0</v>
      </c>
      <c r="BD306" s="55">
        <f>H306/(100-BE306)*100</f>
        <v>0</v>
      </c>
      <c r="BE306" s="55">
        <v>0</v>
      </c>
      <c r="BF306" s="55">
        <f>K306</f>
        <v>0</v>
      </c>
      <c r="BH306" s="55">
        <f>G306*AO306</f>
        <v>0</v>
      </c>
      <c r="BI306" s="55">
        <f>G306*AP306</f>
        <v>0</v>
      </c>
      <c r="BJ306" s="55">
        <f>G306*H306</f>
        <v>0</v>
      </c>
      <c r="BK306" s="55"/>
      <c r="BL306" s="55">
        <v>2225</v>
      </c>
      <c r="BW306" s="55">
        <v>21</v>
      </c>
    </row>
    <row r="307" spans="1:12" ht="13.5" customHeight="1">
      <c r="A307" s="59"/>
      <c r="D307" s="218" t="s">
        <v>129</v>
      </c>
      <c r="E307" s="219"/>
      <c r="F307" s="219"/>
      <c r="G307" s="219"/>
      <c r="H307" s="220"/>
      <c r="I307" s="219"/>
      <c r="J307" s="219"/>
      <c r="K307" s="219"/>
      <c r="L307" s="221"/>
    </row>
    <row r="308" spans="1:75" ht="13.5" customHeight="1">
      <c r="A308" s="1" t="s">
        <v>695</v>
      </c>
      <c r="B308" s="2" t="s">
        <v>116</v>
      </c>
      <c r="C308" s="2" t="s">
        <v>696</v>
      </c>
      <c r="D308" s="147" t="s">
        <v>697</v>
      </c>
      <c r="E308" s="148"/>
      <c r="F308" s="2" t="s">
        <v>174</v>
      </c>
      <c r="G308" s="55">
        <v>34</v>
      </c>
      <c r="H308" s="56">
        <v>0</v>
      </c>
      <c r="I308" s="55">
        <f>G308*H308</f>
        <v>0</v>
      </c>
      <c r="J308" s="55">
        <v>0</v>
      </c>
      <c r="K308" s="55">
        <f>G308*J308</f>
        <v>0</v>
      </c>
      <c r="L308" s="57" t="s">
        <v>124</v>
      </c>
      <c r="Z308" s="55">
        <f>IF(AQ308="5",BJ308,0)</f>
        <v>0</v>
      </c>
      <c r="AB308" s="55">
        <f>IF(AQ308="1",BH308,0)</f>
        <v>0</v>
      </c>
      <c r="AC308" s="55">
        <f>IF(AQ308="1",BI308,0)</f>
        <v>0</v>
      </c>
      <c r="AD308" s="55">
        <f>IF(AQ308="7",BH308,0)</f>
        <v>0</v>
      </c>
      <c r="AE308" s="55">
        <f>IF(AQ308="7",BI308,0)</f>
        <v>0</v>
      </c>
      <c r="AF308" s="55">
        <f>IF(AQ308="2",BH308,0)</f>
        <v>0</v>
      </c>
      <c r="AG308" s="55">
        <f>IF(AQ308="2",BI308,0)</f>
        <v>0</v>
      </c>
      <c r="AH308" s="55">
        <f>IF(AQ308="0",BJ308,0)</f>
        <v>0</v>
      </c>
      <c r="AI308" s="34" t="s">
        <v>116</v>
      </c>
      <c r="AJ308" s="55">
        <f>IF(AN308=0,I308,0)</f>
        <v>0</v>
      </c>
      <c r="AK308" s="55">
        <f>IF(AN308=12,I308,0)</f>
        <v>0</v>
      </c>
      <c r="AL308" s="55">
        <f>IF(AN308=21,I308,0)</f>
        <v>0</v>
      </c>
      <c r="AN308" s="55">
        <v>21</v>
      </c>
      <c r="AO308" s="55">
        <f>H308*0.558139535</f>
        <v>0</v>
      </c>
      <c r="AP308" s="55">
        <f>H308*(1-0.558139535)</f>
        <v>0</v>
      </c>
      <c r="AQ308" s="58" t="s">
        <v>120</v>
      </c>
      <c r="AV308" s="55">
        <f>AW308+AX308</f>
        <v>0</v>
      </c>
      <c r="AW308" s="55">
        <f>G308*AO308</f>
        <v>0</v>
      </c>
      <c r="AX308" s="55">
        <f>G308*AP308</f>
        <v>0</v>
      </c>
      <c r="AY308" s="58" t="s">
        <v>670</v>
      </c>
      <c r="AZ308" s="58" t="s">
        <v>443</v>
      </c>
      <c r="BA308" s="34" t="s">
        <v>128</v>
      </c>
      <c r="BB308" s="67">
        <v>100138</v>
      </c>
      <c r="BC308" s="55">
        <f>AW308+AX308</f>
        <v>0</v>
      </c>
      <c r="BD308" s="55">
        <f>H308/(100-BE308)*100</f>
        <v>0</v>
      </c>
      <c r="BE308" s="55">
        <v>0</v>
      </c>
      <c r="BF308" s="55">
        <f>K308</f>
        <v>0</v>
      </c>
      <c r="BH308" s="55">
        <f>G308*AO308</f>
        <v>0</v>
      </c>
      <c r="BI308" s="55">
        <f>G308*AP308</f>
        <v>0</v>
      </c>
      <c r="BJ308" s="55">
        <f>G308*H308</f>
        <v>0</v>
      </c>
      <c r="BK308" s="55"/>
      <c r="BL308" s="55">
        <v>2225</v>
      </c>
      <c r="BW308" s="55">
        <v>21</v>
      </c>
    </row>
    <row r="309" spans="1:12" ht="13.5" customHeight="1">
      <c r="A309" s="59"/>
      <c r="D309" s="218" t="s">
        <v>129</v>
      </c>
      <c r="E309" s="219"/>
      <c r="F309" s="219"/>
      <c r="G309" s="219"/>
      <c r="H309" s="220"/>
      <c r="I309" s="219"/>
      <c r="J309" s="219"/>
      <c r="K309" s="219"/>
      <c r="L309" s="221"/>
    </row>
    <row r="310" spans="1:75" ht="13.5" customHeight="1">
      <c r="A310" s="1" t="s">
        <v>698</v>
      </c>
      <c r="B310" s="2" t="s">
        <v>116</v>
      </c>
      <c r="C310" s="2" t="s">
        <v>699</v>
      </c>
      <c r="D310" s="147" t="s">
        <v>700</v>
      </c>
      <c r="E310" s="148"/>
      <c r="F310" s="2" t="s">
        <v>123</v>
      </c>
      <c r="G310" s="55">
        <v>30</v>
      </c>
      <c r="H310" s="56">
        <v>0</v>
      </c>
      <c r="I310" s="55">
        <f>G310*H310</f>
        <v>0</v>
      </c>
      <c r="J310" s="55">
        <v>0</v>
      </c>
      <c r="K310" s="55">
        <f>G310*J310</f>
        <v>0</v>
      </c>
      <c r="L310" s="57" t="s">
        <v>124</v>
      </c>
      <c r="Z310" s="55">
        <f>IF(AQ310="5",BJ310,0)</f>
        <v>0</v>
      </c>
      <c r="AB310" s="55">
        <f>IF(AQ310="1",BH310,0)</f>
        <v>0</v>
      </c>
      <c r="AC310" s="55">
        <f>IF(AQ310="1",BI310,0)</f>
        <v>0</v>
      </c>
      <c r="AD310" s="55">
        <f>IF(AQ310="7",BH310,0)</f>
        <v>0</v>
      </c>
      <c r="AE310" s="55">
        <f>IF(AQ310="7",BI310,0)</f>
        <v>0</v>
      </c>
      <c r="AF310" s="55">
        <f>IF(AQ310="2",BH310,0)</f>
        <v>0</v>
      </c>
      <c r="AG310" s="55">
        <f>IF(AQ310="2",BI310,0)</f>
        <v>0</v>
      </c>
      <c r="AH310" s="55">
        <f>IF(AQ310="0",BJ310,0)</f>
        <v>0</v>
      </c>
      <c r="AI310" s="34" t="s">
        <v>116</v>
      </c>
      <c r="AJ310" s="55">
        <f>IF(AN310=0,I310,0)</f>
        <v>0</v>
      </c>
      <c r="AK310" s="55">
        <f>IF(AN310=12,I310,0)</f>
        <v>0</v>
      </c>
      <c r="AL310" s="55">
        <f>IF(AN310=21,I310,0)</f>
        <v>0</v>
      </c>
      <c r="AN310" s="55">
        <v>21</v>
      </c>
      <c r="AO310" s="55">
        <f>H310*0.676561119</f>
        <v>0</v>
      </c>
      <c r="AP310" s="55">
        <f>H310*(1-0.676561119)</f>
        <v>0</v>
      </c>
      <c r="AQ310" s="58" t="s">
        <v>120</v>
      </c>
      <c r="AV310" s="55">
        <f>AW310+AX310</f>
        <v>0</v>
      </c>
      <c r="AW310" s="55">
        <f>G310*AO310</f>
        <v>0</v>
      </c>
      <c r="AX310" s="55">
        <f>G310*AP310</f>
        <v>0</v>
      </c>
      <c r="AY310" s="58" t="s">
        <v>670</v>
      </c>
      <c r="AZ310" s="58" t="s">
        <v>443</v>
      </c>
      <c r="BA310" s="34" t="s">
        <v>128</v>
      </c>
      <c r="BB310" s="67">
        <v>100138</v>
      </c>
      <c r="BC310" s="55">
        <f>AW310+AX310</f>
        <v>0</v>
      </c>
      <c r="BD310" s="55">
        <f>H310/(100-BE310)*100</f>
        <v>0</v>
      </c>
      <c r="BE310" s="55">
        <v>0</v>
      </c>
      <c r="BF310" s="55">
        <f>K310</f>
        <v>0</v>
      </c>
      <c r="BH310" s="55">
        <f>G310*AO310</f>
        <v>0</v>
      </c>
      <c r="BI310" s="55">
        <f>G310*AP310</f>
        <v>0</v>
      </c>
      <c r="BJ310" s="55">
        <f>G310*H310</f>
        <v>0</v>
      </c>
      <c r="BK310" s="55"/>
      <c r="BL310" s="55">
        <v>2225</v>
      </c>
      <c r="BW310" s="55">
        <v>21</v>
      </c>
    </row>
    <row r="311" spans="1:12" ht="13.5" customHeight="1">
      <c r="A311" s="59"/>
      <c r="D311" s="218" t="s">
        <v>129</v>
      </c>
      <c r="E311" s="219"/>
      <c r="F311" s="219"/>
      <c r="G311" s="219"/>
      <c r="H311" s="220"/>
      <c r="I311" s="219"/>
      <c r="J311" s="219"/>
      <c r="K311" s="219"/>
      <c r="L311" s="221"/>
    </row>
    <row r="312" spans="1:75" ht="13.5" customHeight="1">
      <c r="A312" s="1" t="s">
        <v>701</v>
      </c>
      <c r="B312" s="2" t="s">
        <v>116</v>
      </c>
      <c r="C312" s="2" t="s">
        <v>702</v>
      </c>
      <c r="D312" s="147" t="s">
        <v>703</v>
      </c>
      <c r="E312" s="148"/>
      <c r="F312" s="2" t="s">
        <v>123</v>
      </c>
      <c r="G312" s="55">
        <v>10</v>
      </c>
      <c r="H312" s="56">
        <v>0</v>
      </c>
      <c r="I312" s="55">
        <f>G312*H312</f>
        <v>0</v>
      </c>
      <c r="J312" s="55">
        <v>0</v>
      </c>
      <c r="K312" s="55">
        <f>G312*J312</f>
        <v>0</v>
      </c>
      <c r="L312" s="57" t="s">
        <v>124</v>
      </c>
      <c r="Z312" s="55">
        <f>IF(AQ312="5",BJ312,0)</f>
        <v>0</v>
      </c>
      <c r="AB312" s="55">
        <f>IF(AQ312="1",BH312,0)</f>
        <v>0</v>
      </c>
      <c r="AC312" s="55">
        <f>IF(AQ312="1",BI312,0)</f>
        <v>0</v>
      </c>
      <c r="AD312" s="55">
        <f>IF(AQ312="7",BH312,0)</f>
        <v>0</v>
      </c>
      <c r="AE312" s="55">
        <f>IF(AQ312="7",BI312,0)</f>
        <v>0</v>
      </c>
      <c r="AF312" s="55">
        <f>IF(AQ312="2",BH312,0)</f>
        <v>0</v>
      </c>
      <c r="AG312" s="55">
        <f>IF(AQ312="2",BI312,0)</f>
        <v>0</v>
      </c>
      <c r="AH312" s="55">
        <f>IF(AQ312="0",BJ312,0)</f>
        <v>0</v>
      </c>
      <c r="AI312" s="34" t="s">
        <v>116</v>
      </c>
      <c r="AJ312" s="55">
        <f>IF(AN312=0,I312,0)</f>
        <v>0</v>
      </c>
      <c r="AK312" s="55">
        <f>IF(AN312=12,I312,0)</f>
        <v>0</v>
      </c>
      <c r="AL312" s="55">
        <f>IF(AN312=21,I312,0)</f>
        <v>0</v>
      </c>
      <c r="AN312" s="55">
        <v>21</v>
      </c>
      <c r="AO312" s="55">
        <f>H312*0.892929293</f>
        <v>0</v>
      </c>
      <c r="AP312" s="55">
        <f>H312*(1-0.892929293)</f>
        <v>0</v>
      </c>
      <c r="AQ312" s="58" t="s">
        <v>120</v>
      </c>
      <c r="AV312" s="55">
        <f>AW312+AX312</f>
        <v>0</v>
      </c>
      <c r="AW312" s="55">
        <f>G312*AO312</f>
        <v>0</v>
      </c>
      <c r="AX312" s="55">
        <f>G312*AP312</f>
        <v>0</v>
      </c>
      <c r="AY312" s="58" t="s">
        <v>670</v>
      </c>
      <c r="AZ312" s="58" t="s">
        <v>443</v>
      </c>
      <c r="BA312" s="34" t="s">
        <v>128</v>
      </c>
      <c r="BB312" s="67">
        <v>100138</v>
      </c>
      <c r="BC312" s="55">
        <f>AW312+AX312</f>
        <v>0</v>
      </c>
      <c r="BD312" s="55">
        <f>H312/(100-BE312)*100</f>
        <v>0</v>
      </c>
      <c r="BE312" s="55">
        <v>0</v>
      </c>
      <c r="BF312" s="55">
        <f>K312</f>
        <v>0</v>
      </c>
      <c r="BH312" s="55">
        <f>G312*AO312</f>
        <v>0</v>
      </c>
      <c r="BI312" s="55">
        <f>G312*AP312</f>
        <v>0</v>
      </c>
      <c r="BJ312" s="55">
        <f>G312*H312</f>
        <v>0</v>
      </c>
      <c r="BK312" s="55"/>
      <c r="BL312" s="55">
        <v>2225</v>
      </c>
      <c r="BW312" s="55">
        <v>21</v>
      </c>
    </row>
    <row r="313" spans="1:12" ht="13.5" customHeight="1">
      <c r="A313" s="59"/>
      <c r="D313" s="218" t="s">
        <v>129</v>
      </c>
      <c r="E313" s="219"/>
      <c r="F313" s="219"/>
      <c r="G313" s="219"/>
      <c r="H313" s="220"/>
      <c r="I313" s="219"/>
      <c r="J313" s="219"/>
      <c r="K313" s="219"/>
      <c r="L313" s="221"/>
    </row>
    <row r="314" spans="1:75" ht="13.5" customHeight="1">
      <c r="A314" s="1" t="s">
        <v>704</v>
      </c>
      <c r="B314" s="2" t="s">
        <v>116</v>
      </c>
      <c r="C314" s="2" t="s">
        <v>705</v>
      </c>
      <c r="D314" s="147" t="s">
        <v>706</v>
      </c>
      <c r="E314" s="148"/>
      <c r="F314" s="2" t="s">
        <v>174</v>
      </c>
      <c r="G314" s="55">
        <v>150</v>
      </c>
      <c r="H314" s="56">
        <v>0</v>
      </c>
      <c r="I314" s="55">
        <f>G314*H314</f>
        <v>0</v>
      </c>
      <c r="J314" s="55">
        <v>0</v>
      </c>
      <c r="K314" s="55">
        <f>G314*J314</f>
        <v>0</v>
      </c>
      <c r="L314" s="57" t="s">
        <v>124</v>
      </c>
      <c r="Z314" s="55">
        <f>IF(AQ314="5",BJ314,0)</f>
        <v>0</v>
      </c>
      <c r="AB314" s="55">
        <f>IF(AQ314="1",BH314,0)</f>
        <v>0</v>
      </c>
      <c r="AC314" s="55">
        <f>IF(AQ314="1",BI314,0)</f>
        <v>0</v>
      </c>
      <c r="AD314" s="55">
        <f>IF(AQ314="7",BH314,0)</f>
        <v>0</v>
      </c>
      <c r="AE314" s="55">
        <f>IF(AQ314="7",BI314,0)</f>
        <v>0</v>
      </c>
      <c r="AF314" s="55">
        <f>IF(AQ314="2",BH314,0)</f>
        <v>0</v>
      </c>
      <c r="AG314" s="55">
        <f>IF(AQ314="2",BI314,0)</f>
        <v>0</v>
      </c>
      <c r="AH314" s="55">
        <f>IF(AQ314="0",BJ314,0)</f>
        <v>0</v>
      </c>
      <c r="AI314" s="34" t="s">
        <v>116</v>
      </c>
      <c r="AJ314" s="55">
        <f>IF(AN314=0,I314,0)</f>
        <v>0</v>
      </c>
      <c r="AK314" s="55">
        <f>IF(AN314=12,I314,0)</f>
        <v>0</v>
      </c>
      <c r="AL314" s="55">
        <f>IF(AN314=21,I314,0)</f>
        <v>0</v>
      </c>
      <c r="AN314" s="55">
        <v>21</v>
      </c>
      <c r="AO314" s="55">
        <f>H314*0.581939799</f>
        <v>0</v>
      </c>
      <c r="AP314" s="55">
        <f>H314*(1-0.581939799)</f>
        <v>0</v>
      </c>
      <c r="AQ314" s="58" t="s">
        <v>120</v>
      </c>
      <c r="AV314" s="55">
        <f>AW314+AX314</f>
        <v>0</v>
      </c>
      <c r="AW314" s="55">
        <f>G314*AO314</f>
        <v>0</v>
      </c>
      <c r="AX314" s="55">
        <f>G314*AP314</f>
        <v>0</v>
      </c>
      <c r="AY314" s="58" t="s">
        <v>670</v>
      </c>
      <c r="AZ314" s="58" t="s">
        <v>443</v>
      </c>
      <c r="BA314" s="34" t="s">
        <v>128</v>
      </c>
      <c r="BB314" s="67">
        <v>100138</v>
      </c>
      <c r="BC314" s="55">
        <f>AW314+AX314</f>
        <v>0</v>
      </c>
      <c r="BD314" s="55">
        <f>H314/(100-BE314)*100</f>
        <v>0</v>
      </c>
      <c r="BE314" s="55">
        <v>0</v>
      </c>
      <c r="BF314" s="55">
        <f>K314</f>
        <v>0</v>
      </c>
      <c r="BH314" s="55">
        <f>G314*AO314</f>
        <v>0</v>
      </c>
      <c r="BI314" s="55">
        <f>G314*AP314</f>
        <v>0</v>
      </c>
      <c r="BJ314" s="55">
        <f>G314*H314</f>
        <v>0</v>
      </c>
      <c r="BK314" s="55"/>
      <c r="BL314" s="55">
        <v>2225</v>
      </c>
      <c r="BW314" s="55">
        <v>21</v>
      </c>
    </row>
    <row r="315" spans="1:12" ht="13.5" customHeight="1">
      <c r="A315" s="59"/>
      <c r="D315" s="218" t="s">
        <v>129</v>
      </c>
      <c r="E315" s="219"/>
      <c r="F315" s="219"/>
      <c r="G315" s="219"/>
      <c r="H315" s="220"/>
      <c r="I315" s="219"/>
      <c r="J315" s="219"/>
      <c r="K315" s="219"/>
      <c r="L315" s="221"/>
    </row>
    <row r="316" spans="1:75" ht="13.5" customHeight="1">
      <c r="A316" s="1" t="s">
        <v>707</v>
      </c>
      <c r="B316" s="2" t="s">
        <v>116</v>
      </c>
      <c r="C316" s="2" t="s">
        <v>708</v>
      </c>
      <c r="D316" s="147" t="s">
        <v>709</v>
      </c>
      <c r="E316" s="148"/>
      <c r="F316" s="2" t="s">
        <v>174</v>
      </c>
      <c r="G316" s="55">
        <v>150</v>
      </c>
      <c r="H316" s="56">
        <v>0</v>
      </c>
      <c r="I316" s="55">
        <f>G316*H316</f>
        <v>0</v>
      </c>
      <c r="J316" s="55">
        <v>0</v>
      </c>
      <c r="K316" s="55">
        <f>G316*J316</f>
        <v>0</v>
      </c>
      <c r="L316" s="57" t="s">
        <v>124</v>
      </c>
      <c r="Z316" s="55">
        <f>IF(AQ316="5",BJ316,0)</f>
        <v>0</v>
      </c>
      <c r="AB316" s="55">
        <f>IF(AQ316="1",BH316,0)</f>
        <v>0</v>
      </c>
      <c r="AC316" s="55">
        <f>IF(AQ316="1",BI316,0)</f>
        <v>0</v>
      </c>
      <c r="AD316" s="55">
        <f>IF(AQ316="7",BH316,0)</f>
        <v>0</v>
      </c>
      <c r="AE316" s="55">
        <f>IF(AQ316="7",BI316,0)</f>
        <v>0</v>
      </c>
      <c r="AF316" s="55">
        <f>IF(AQ316="2",BH316,0)</f>
        <v>0</v>
      </c>
      <c r="AG316" s="55">
        <f>IF(AQ316="2",BI316,0)</f>
        <v>0</v>
      </c>
      <c r="AH316" s="55">
        <f>IF(AQ316="0",BJ316,0)</f>
        <v>0</v>
      </c>
      <c r="AI316" s="34" t="s">
        <v>116</v>
      </c>
      <c r="AJ316" s="55">
        <f>IF(AN316=0,I316,0)</f>
        <v>0</v>
      </c>
      <c r="AK316" s="55">
        <f>IF(AN316=12,I316,0)</f>
        <v>0</v>
      </c>
      <c r="AL316" s="55">
        <f>IF(AN316=21,I316,0)</f>
        <v>0</v>
      </c>
      <c r="AN316" s="55">
        <v>21</v>
      </c>
      <c r="AO316" s="55">
        <f>H316*0.720930233</f>
        <v>0</v>
      </c>
      <c r="AP316" s="55">
        <f>H316*(1-0.720930233)</f>
        <v>0</v>
      </c>
      <c r="AQ316" s="58" t="s">
        <v>120</v>
      </c>
      <c r="AV316" s="55">
        <f>AW316+AX316</f>
        <v>0</v>
      </c>
      <c r="AW316" s="55">
        <f>G316*AO316</f>
        <v>0</v>
      </c>
      <c r="AX316" s="55">
        <f>G316*AP316</f>
        <v>0</v>
      </c>
      <c r="AY316" s="58" t="s">
        <v>670</v>
      </c>
      <c r="AZ316" s="58" t="s">
        <v>443</v>
      </c>
      <c r="BA316" s="34" t="s">
        <v>128</v>
      </c>
      <c r="BB316" s="67">
        <v>100138</v>
      </c>
      <c r="BC316" s="55">
        <f>AW316+AX316</f>
        <v>0</v>
      </c>
      <c r="BD316" s="55">
        <f>H316/(100-BE316)*100</f>
        <v>0</v>
      </c>
      <c r="BE316" s="55">
        <v>0</v>
      </c>
      <c r="BF316" s="55">
        <f>K316</f>
        <v>0</v>
      </c>
      <c r="BH316" s="55">
        <f>G316*AO316</f>
        <v>0</v>
      </c>
      <c r="BI316" s="55">
        <f>G316*AP316</f>
        <v>0</v>
      </c>
      <c r="BJ316" s="55">
        <f>G316*H316</f>
        <v>0</v>
      </c>
      <c r="BK316" s="55"/>
      <c r="BL316" s="55">
        <v>2225</v>
      </c>
      <c r="BW316" s="55">
        <v>21</v>
      </c>
    </row>
    <row r="317" spans="1:12" ht="13.5" customHeight="1">
      <c r="A317" s="59"/>
      <c r="D317" s="218" t="s">
        <v>129</v>
      </c>
      <c r="E317" s="219"/>
      <c r="F317" s="219"/>
      <c r="G317" s="219"/>
      <c r="H317" s="220"/>
      <c r="I317" s="219"/>
      <c r="J317" s="219"/>
      <c r="K317" s="219"/>
      <c r="L317" s="221"/>
    </row>
    <row r="318" spans="1:75" ht="13.5" customHeight="1">
      <c r="A318" s="1" t="s">
        <v>710</v>
      </c>
      <c r="B318" s="2" t="s">
        <v>116</v>
      </c>
      <c r="C318" s="2" t="s">
        <v>711</v>
      </c>
      <c r="D318" s="147" t="s">
        <v>712</v>
      </c>
      <c r="E318" s="148"/>
      <c r="F318" s="2" t="s">
        <v>123</v>
      </c>
      <c r="G318" s="55">
        <v>120</v>
      </c>
      <c r="H318" s="56">
        <v>0</v>
      </c>
      <c r="I318" s="55">
        <f>G318*H318</f>
        <v>0</v>
      </c>
      <c r="J318" s="55">
        <v>0</v>
      </c>
      <c r="K318" s="55">
        <f>G318*J318</f>
        <v>0</v>
      </c>
      <c r="L318" s="57" t="s">
        <v>124</v>
      </c>
      <c r="Z318" s="55">
        <f>IF(AQ318="5",BJ318,0)</f>
        <v>0</v>
      </c>
      <c r="AB318" s="55">
        <f>IF(AQ318="1",BH318,0)</f>
        <v>0</v>
      </c>
      <c r="AC318" s="55">
        <f>IF(AQ318="1",BI318,0)</f>
        <v>0</v>
      </c>
      <c r="AD318" s="55">
        <f>IF(AQ318="7",BH318,0)</f>
        <v>0</v>
      </c>
      <c r="AE318" s="55">
        <f>IF(AQ318="7",BI318,0)</f>
        <v>0</v>
      </c>
      <c r="AF318" s="55">
        <f>IF(AQ318="2",BH318,0)</f>
        <v>0</v>
      </c>
      <c r="AG318" s="55">
        <f>IF(AQ318="2",BI318,0)</f>
        <v>0</v>
      </c>
      <c r="AH318" s="55">
        <f>IF(AQ318="0",BJ318,0)</f>
        <v>0</v>
      </c>
      <c r="AI318" s="34" t="s">
        <v>116</v>
      </c>
      <c r="AJ318" s="55">
        <f>IF(AN318=0,I318,0)</f>
        <v>0</v>
      </c>
      <c r="AK318" s="55">
        <f>IF(AN318=12,I318,0)</f>
        <v>0</v>
      </c>
      <c r="AL318" s="55">
        <f>IF(AN318=21,I318,0)</f>
        <v>0</v>
      </c>
      <c r="AN318" s="55">
        <v>21</v>
      </c>
      <c r="AO318" s="55">
        <f>H318*0.583333333</f>
        <v>0</v>
      </c>
      <c r="AP318" s="55">
        <f>H318*(1-0.583333333)</f>
        <v>0</v>
      </c>
      <c r="AQ318" s="58" t="s">
        <v>120</v>
      </c>
      <c r="AV318" s="55">
        <f>AW318+AX318</f>
        <v>0</v>
      </c>
      <c r="AW318" s="55">
        <f>G318*AO318</f>
        <v>0</v>
      </c>
      <c r="AX318" s="55">
        <f>G318*AP318</f>
        <v>0</v>
      </c>
      <c r="AY318" s="58" t="s">
        <v>670</v>
      </c>
      <c r="AZ318" s="58" t="s">
        <v>443</v>
      </c>
      <c r="BA318" s="34" t="s">
        <v>128</v>
      </c>
      <c r="BB318" s="67">
        <v>100138</v>
      </c>
      <c r="BC318" s="55">
        <f>AW318+AX318</f>
        <v>0</v>
      </c>
      <c r="BD318" s="55">
        <f>H318/(100-BE318)*100</f>
        <v>0</v>
      </c>
      <c r="BE318" s="55">
        <v>0</v>
      </c>
      <c r="BF318" s="55">
        <f>K318</f>
        <v>0</v>
      </c>
      <c r="BH318" s="55">
        <f>G318*AO318</f>
        <v>0</v>
      </c>
      <c r="BI318" s="55">
        <f>G318*AP318</f>
        <v>0</v>
      </c>
      <c r="BJ318" s="55">
        <f>G318*H318</f>
        <v>0</v>
      </c>
      <c r="BK318" s="55"/>
      <c r="BL318" s="55">
        <v>2225</v>
      </c>
      <c r="BW318" s="55">
        <v>21</v>
      </c>
    </row>
    <row r="319" spans="1:12" ht="13.5" customHeight="1">
      <c r="A319" s="59"/>
      <c r="D319" s="218" t="s">
        <v>129</v>
      </c>
      <c r="E319" s="219"/>
      <c r="F319" s="219"/>
      <c r="G319" s="219"/>
      <c r="H319" s="220"/>
      <c r="I319" s="219"/>
      <c r="J319" s="219"/>
      <c r="K319" s="219"/>
      <c r="L319" s="221"/>
    </row>
    <row r="320" spans="1:75" ht="13.5" customHeight="1">
      <c r="A320" s="1" t="s">
        <v>713</v>
      </c>
      <c r="B320" s="2" t="s">
        <v>116</v>
      </c>
      <c r="C320" s="2" t="s">
        <v>714</v>
      </c>
      <c r="D320" s="147" t="s">
        <v>715</v>
      </c>
      <c r="E320" s="148"/>
      <c r="F320" s="2" t="s">
        <v>123</v>
      </c>
      <c r="G320" s="55">
        <v>200</v>
      </c>
      <c r="H320" s="56">
        <v>0</v>
      </c>
      <c r="I320" s="55">
        <f>G320*H320</f>
        <v>0</v>
      </c>
      <c r="J320" s="55">
        <v>0</v>
      </c>
      <c r="K320" s="55">
        <f>G320*J320</f>
        <v>0</v>
      </c>
      <c r="L320" s="57" t="s">
        <v>124</v>
      </c>
      <c r="Z320" s="55">
        <f>IF(AQ320="5",BJ320,0)</f>
        <v>0</v>
      </c>
      <c r="AB320" s="55">
        <f>IF(AQ320="1",BH320,0)</f>
        <v>0</v>
      </c>
      <c r="AC320" s="55">
        <f>IF(AQ320="1",BI320,0)</f>
        <v>0</v>
      </c>
      <c r="AD320" s="55">
        <f>IF(AQ320="7",BH320,0)</f>
        <v>0</v>
      </c>
      <c r="AE320" s="55">
        <f>IF(AQ320="7",BI320,0)</f>
        <v>0</v>
      </c>
      <c r="AF320" s="55">
        <f>IF(AQ320="2",BH320,0)</f>
        <v>0</v>
      </c>
      <c r="AG320" s="55">
        <f>IF(AQ320="2",BI320,0)</f>
        <v>0</v>
      </c>
      <c r="AH320" s="55">
        <f>IF(AQ320="0",BJ320,0)</f>
        <v>0</v>
      </c>
      <c r="AI320" s="34" t="s">
        <v>116</v>
      </c>
      <c r="AJ320" s="55">
        <f>IF(AN320=0,I320,0)</f>
        <v>0</v>
      </c>
      <c r="AK320" s="55">
        <f>IF(AN320=12,I320,0)</f>
        <v>0</v>
      </c>
      <c r="AL320" s="55">
        <f>IF(AN320=21,I320,0)</f>
        <v>0</v>
      </c>
      <c r="AN320" s="55">
        <v>21</v>
      </c>
      <c r="AO320" s="55">
        <f>H320*0.5</f>
        <v>0</v>
      </c>
      <c r="AP320" s="55">
        <f>H320*(1-0.5)</f>
        <v>0</v>
      </c>
      <c r="AQ320" s="58" t="s">
        <v>120</v>
      </c>
      <c r="AV320" s="55">
        <f>AW320+AX320</f>
        <v>0</v>
      </c>
      <c r="AW320" s="55">
        <f>G320*AO320</f>
        <v>0</v>
      </c>
      <c r="AX320" s="55">
        <f>G320*AP320</f>
        <v>0</v>
      </c>
      <c r="AY320" s="58" t="s">
        <v>670</v>
      </c>
      <c r="AZ320" s="58" t="s">
        <v>443</v>
      </c>
      <c r="BA320" s="34" t="s">
        <v>128</v>
      </c>
      <c r="BB320" s="67">
        <v>100138</v>
      </c>
      <c r="BC320" s="55">
        <f>AW320+AX320</f>
        <v>0</v>
      </c>
      <c r="BD320" s="55">
        <f>H320/(100-BE320)*100</f>
        <v>0</v>
      </c>
      <c r="BE320" s="55">
        <v>0</v>
      </c>
      <c r="BF320" s="55">
        <f>K320</f>
        <v>0</v>
      </c>
      <c r="BH320" s="55">
        <f>G320*AO320</f>
        <v>0</v>
      </c>
      <c r="BI320" s="55">
        <f>G320*AP320</f>
        <v>0</v>
      </c>
      <c r="BJ320" s="55">
        <f>G320*H320</f>
        <v>0</v>
      </c>
      <c r="BK320" s="55"/>
      <c r="BL320" s="55">
        <v>2225</v>
      </c>
      <c r="BW320" s="55">
        <v>21</v>
      </c>
    </row>
    <row r="321" spans="1:12" ht="13.5" customHeight="1">
      <c r="A321" s="59"/>
      <c r="D321" s="218" t="s">
        <v>129</v>
      </c>
      <c r="E321" s="219"/>
      <c r="F321" s="219"/>
      <c r="G321" s="219"/>
      <c r="H321" s="220"/>
      <c r="I321" s="219"/>
      <c r="J321" s="219"/>
      <c r="K321" s="219"/>
      <c r="L321" s="221"/>
    </row>
    <row r="322" spans="1:75" ht="13.5" customHeight="1">
      <c r="A322" s="1" t="s">
        <v>716</v>
      </c>
      <c r="B322" s="2" t="s">
        <v>116</v>
      </c>
      <c r="C322" s="2" t="s">
        <v>717</v>
      </c>
      <c r="D322" s="147" t="s">
        <v>718</v>
      </c>
      <c r="E322" s="148"/>
      <c r="F322" s="2" t="s">
        <v>719</v>
      </c>
      <c r="G322" s="55">
        <v>4</v>
      </c>
      <c r="H322" s="56">
        <v>0</v>
      </c>
      <c r="I322" s="55">
        <f>G322*H322</f>
        <v>0</v>
      </c>
      <c r="J322" s="55">
        <v>0</v>
      </c>
      <c r="K322" s="55">
        <f>G322*J322</f>
        <v>0</v>
      </c>
      <c r="L322" s="57" t="s">
        <v>124</v>
      </c>
      <c r="Z322" s="55">
        <f>IF(AQ322="5",BJ322,0)</f>
        <v>0</v>
      </c>
      <c r="AB322" s="55">
        <f>IF(AQ322="1",BH322,0)</f>
        <v>0</v>
      </c>
      <c r="AC322" s="55">
        <f>IF(AQ322="1",BI322,0)</f>
        <v>0</v>
      </c>
      <c r="AD322" s="55">
        <f>IF(AQ322="7",BH322,0)</f>
        <v>0</v>
      </c>
      <c r="AE322" s="55">
        <f>IF(AQ322="7",BI322,0)</f>
        <v>0</v>
      </c>
      <c r="AF322" s="55">
        <f>IF(AQ322="2",BH322,0)</f>
        <v>0</v>
      </c>
      <c r="AG322" s="55">
        <f>IF(AQ322="2",BI322,0)</f>
        <v>0</v>
      </c>
      <c r="AH322" s="55">
        <f>IF(AQ322="0",BJ322,0)</f>
        <v>0</v>
      </c>
      <c r="AI322" s="34" t="s">
        <v>116</v>
      </c>
      <c r="AJ322" s="55">
        <f>IF(AN322=0,I322,0)</f>
        <v>0</v>
      </c>
      <c r="AK322" s="55">
        <f>IF(AN322=12,I322,0)</f>
        <v>0</v>
      </c>
      <c r="AL322" s="55">
        <f>IF(AN322=21,I322,0)</f>
        <v>0</v>
      </c>
      <c r="AN322" s="55">
        <v>21</v>
      </c>
      <c r="AO322" s="55">
        <f>H322*0.411764706</f>
        <v>0</v>
      </c>
      <c r="AP322" s="55">
        <f>H322*(1-0.411764706)</f>
        <v>0</v>
      </c>
      <c r="AQ322" s="58" t="s">
        <v>120</v>
      </c>
      <c r="AV322" s="55">
        <f>AW322+AX322</f>
        <v>0</v>
      </c>
      <c r="AW322" s="55">
        <f>G322*AO322</f>
        <v>0</v>
      </c>
      <c r="AX322" s="55">
        <f>G322*AP322</f>
        <v>0</v>
      </c>
      <c r="AY322" s="58" t="s">
        <v>670</v>
      </c>
      <c r="AZ322" s="58" t="s">
        <v>443</v>
      </c>
      <c r="BA322" s="34" t="s">
        <v>128</v>
      </c>
      <c r="BB322" s="67">
        <v>100138</v>
      </c>
      <c r="BC322" s="55">
        <f>AW322+AX322</f>
        <v>0</v>
      </c>
      <c r="BD322" s="55">
        <f>H322/(100-BE322)*100</f>
        <v>0</v>
      </c>
      <c r="BE322" s="55">
        <v>0</v>
      </c>
      <c r="BF322" s="55">
        <f>K322</f>
        <v>0</v>
      </c>
      <c r="BH322" s="55">
        <f>G322*AO322</f>
        <v>0</v>
      </c>
      <c r="BI322" s="55">
        <f>G322*AP322</f>
        <v>0</v>
      </c>
      <c r="BJ322" s="55">
        <f>G322*H322</f>
        <v>0</v>
      </c>
      <c r="BK322" s="55"/>
      <c r="BL322" s="55">
        <v>2225</v>
      </c>
      <c r="BW322" s="55">
        <v>21</v>
      </c>
    </row>
    <row r="323" spans="1:12" ht="13.5" customHeight="1">
      <c r="A323" s="59"/>
      <c r="D323" s="218" t="s">
        <v>129</v>
      </c>
      <c r="E323" s="219"/>
      <c r="F323" s="219"/>
      <c r="G323" s="219"/>
      <c r="H323" s="220"/>
      <c r="I323" s="219"/>
      <c r="J323" s="219"/>
      <c r="K323" s="219"/>
      <c r="L323" s="221"/>
    </row>
    <row r="324" spans="1:75" ht="13.5" customHeight="1">
      <c r="A324" s="1" t="s">
        <v>720</v>
      </c>
      <c r="B324" s="2" t="s">
        <v>116</v>
      </c>
      <c r="C324" s="2" t="s">
        <v>721</v>
      </c>
      <c r="D324" s="147" t="s">
        <v>722</v>
      </c>
      <c r="E324" s="148"/>
      <c r="F324" s="2" t="s">
        <v>123</v>
      </c>
      <c r="G324" s="55">
        <v>120</v>
      </c>
      <c r="H324" s="56">
        <v>0</v>
      </c>
      <c r="I324" s="55">
        <f>G324*H324</f>
        <v>0</v>
      </c>
      <c r="J324" s="55">
        <v>0</v>
      </c>
      <c r="K324" s="55">
        <f>G324*J324</f>
        <v>0</v>
      </c>
      <c r="L324" s="57" t="s">
        <v>124</v>
      </c>
      <c r="Z324" s="55">
        <f>IF(AQ324="5",BJ324,0)</f>
        <v>0</v>
      </c>
      <c r="AB324" s="55">
        <f>IF(AQ324="1",BH324,0)</f>
        <v>0</v>
      </c>
      <c r="AC324" s="55">
        <f>IF(AQ324="1",BI324,0)</f>
        <v>0</v>
      </c>
      <c r="AD324" s="55">
        <f>IF(AQ324="7",BH324,0)</f>
        <v>0</v>
      </c>
      <c r="AE324" s="55">
        <f>IF(AQ324="7",BI324,0)</f>
        <v>0</v>
      </c>
      <c r="AF324" s="55">
        <f>IF(AQ324="2",BH324,0)</f>
        <v>0</v>
      </c>
      <c r="AG324" s="55">
        <f>IF(AQ324="2",BI324,0)</f>
        <v>0</v>
      </c>
      <c r="AH324" s="55">
        <f>IF(AQ324="0",BJ324,0)</f>
        <v>0</v>
      </c>
      <c r="AI324" s="34" t="s">
        <v>116</v>
      </c>
      <c r="AJ324" s="55">
        <f>IF(AN324=0,I324,0)</f>
        <v>0</v>
      </c>
      <c r="AK324" s="55">
        <f>IF(AN324=12,I324,0)</f>
        <v>0</v>
      </c>
      <c r="AL324" s="55">
        <f>IF(AN324=21,I324,0)</f>
        <v>0</v>
      </c>
      <c r="AN324" s="55">
        <v>21</v>
      </c>
      <c r="AO324" s="55">
        <f>H324*0.3339254</f>
        <v>0</v>
      </c>
      <c r="AP324" s="55">
        <f>H324*(1-0.3339254)</f>
        <v>0</v>
      </c>
      <c r="AQ324" s="58" t="s">
        <v>120</v>
      </c>
      <c r="AV324" s="55">
        <f>AW324+AX324</f>
        <v>0</v>
      </c>
      <c r="AW324" s="55">
        <f>G324*AO324</f>
        <v>0</v>
      </c>
      <c r="AX324" s="55">
        <f>G324*AP324</f>
        <v>0</v>
      </c>
      <c r="AY324" s="58" t="s">
        <v>670</v>
      </c>
      <c r="AZ324" s="58" t="s">
        <v>443</v>
      </c>
      <c r="BA324" s="34" t="s">
        <v>128</v>
      </c>
      <c r="BB324" s="67">
        <v>100138</v>
      </c>
      <c r="BC324" s="55">
        <f>AW324+AX324</f>
        <v>0</v>
      </c>
      <c r="BD324" s="55">
        <f>H324/(100-BE324)*100</f>
        <v>0</v>
      </c>
      <c r="BE324" s="55">
        <v>0</v>
      </c>
      <c r="BF324" s="55">
        <f>K324</f>
        <v>0</v>
      </c>
      <c r="BH324" s="55">
        <f>G324*AO324</f>
        <v>0</v>
      </c>
      <c r="BI324" s="55">
        <f>G324*AP324</f>
        <v>0</v>
      </c>
      <c r="BJ324" s="55">
        <f>G324*H324</f>
        <v>0</v>
      </c>
      <c r="BK324" s="55"/>
      <c r="BL324" s="55">
        <v>2225</v>
      </c>
      <c r="BW324" s="55">
        <v>21</v>
      </c>
    </row>
    <row r="325" spans="1:12" ht="13.5" customHeight="1">
      <c r="A325" s="59"/>
      <c r="D325" s="218" t="s">
        <v>129</v>
      </c>
      <c r="E325" s="219"/>
      <c r="F325" s="219"/>
      <c r="G325" s="219"/>
      <c r="H325" s="220"/>
      <c r="I325" s="219"/>
      <c r="J325" s="219"/>
      <c r="K325" s="219"/>
      <c r="L325" s="221"/>
    </row>
    <row r="326" spans="1:75" ht="13.5" customHeight="1">
      <c r="A326" s="1" t="s">
        <v>723</v>
      </c>
      <c r="B326" s="2" t="s">
        <v>116</v>
      </c>
      <c r="C326" s="2" t="s">
        <v>724</v>
      </c>
      <c r="D326" s="147" t="s">
        <v>725</v>
      </c>
      <c r="E326" s="148"/>
      <c r="F326" s="2" t="s">
        <v>123</v>
      </c>
      <c r="G326" s="55">
        <v>940</v>
      </c>
      <c r="H326" s="56">
        <v>0</v>
      </c>
      <c r="I326" s="55">
        <f>G326*H326</f>
        <v>0</v>
      </c>
      <c r="J326" s="55">
        <v>0</v>
      </c>
      <c r="K326" s="55">
        <f>G326*J326</f>
        <v>0</v>
      </c>
      <c r="L326" s="57" t="s">
        <v>124</v>
      </c>
      <c r="Z326" s="55">
        <f>IF(AQ326="5",BJ326,0)</f>
        <v>0</v>
      </c>
      <c r="AB326" s="55">
        <f>IF(AQ326="1",BH326,0)</f>
        <v>0</v>
      </c>
      <c r="AC326" s="55">
        <f>IF(AQ326="1",BI326,0)</f>
        <v>0</v>
      </c>
      <c r="AD326" s="55">
        <f>IF(AQ326="7",BH326,0)</f>
        <v>0</v>
      </c>
      <c r="AE326" s="55">
        <f>IF(AQ326="7",BI326,0)</f>
        <v>0</v>
      </c>
      <c r="AF326" s="55">
        <f>IF(AQ326="2",BH326,0)</f>
        <v>0</v>
      </c>
      <c r="AG326" s="55">
        <f>IF(AQ326="2",BI326,0)</f>
        <v>0</v>
      </c>
      <c r="AH326" s="55">
        <f>IF(AQ326="0",BJ326,0)</f>
        <v>0</v>
      </c>
      <c r="AI326" s="34" t="s">
        <v>116</v>
      </c>
      <c r="AJ326" s="55">
        <f>IF(AN326=0,I326,0)</f>
        <v>0</v>
      </c>
      <c r="AK326" s="55">
        <f>IF(AN326=12,I326,0)</f>
        <v>0</v>
      </c>
      <c r="AL326" s="55">
        <f>IF(AN326=21,I326,0)</f>
        <v>0</v>
      </c>
      <c r="AN326" s="55">
        <v>21</v>
      </c>
      <c r="AO326" s="55">
        <f>H326*0.4</f>
        <v>0</v>
      </c>
      <c r="AP326" s="55">
        <f>H326*(1-0.4)</f>
        <v>0</v>
      </c>
      <c r="AQ326" s="58" t="s">
        <v>120</v>
      </c>
      <c r="AV326" s="55">
        <f>AW326+AX326</f>
        <v>0</v>
      </c>
      <c r="AW326" s="55">
        <f>G326*AO326</f>
        <v>0</v>
      </c>
      <c r="AX326" s="55">
        <f>G326*AP326</f>
        <v>0</v>
      </c>
      <c r="AY326" s="58" t="s">
        <v>670</v>
      </c>
      <c r="AZ326" s="58" t="s">
        <v>443</v>
      </c>
      <c r="BA326" s="34" t="s">
        <v>128</v>
      </c>
      <c r="BB326" s="67">
        <v>100138</v>
      </c>
      <c r="BC326" s="55">
        <f>AW326+AX326</f>
        <v>0</v>
      </c>
      <c r="BD326" s="55">
        <f>H326/(100-BE326)*100</f>
        <v>0</v>
      </c>
      <c r="BE326" s="55">
        <v>0</v>
      </c>
      <c r="BF326" s="55">
        <f>K326</f>
        <v>0</v>
      </c>
      <c r="BH326" s="55">
        <f>G326*AO326</f>
        <v>0</v>
      </c>
      <c r="BI326" s="55">
        <f>G326*AP326</f>
        <v>0</v>
      </c>
      <c r="BJ326" s="55">
        <f>G326*H326</f>
        <v>0</v>
      </c>
      <c r="BK326" s="55"/>
      <c r="BL326" s="55">
        <v>2225</v>
      </c>
      <c r="BW326" s="55">
        <v>21</v>
      </c>
    </row>
    <row r="327" spans="1:12" ht="13.5" customHeight="1">
      <c r="A327" s="59"/>
      <c r="D327" s="218" t="s">
        <v>129</v>
      </c>
      <c r="E327" s="219"/>
      <c r="F327" s="219"/>
      <c r="G327" s="219"/>
      <c r="H327" s="220"/>
      <c r="I327" s="219"/>
      <c r="J327" s="219"/>
      <c r="K327" s="219"/>
      <c r="L327" s="221"/>
    </row>
    <row r="328" spans="1:75" ht="13.5" customHeight="1">
      <c r="A328" s="1" t="s">
        <v>726</v>
      </c>
      <c r="B328" s="2" t="s">
        <v>116</v>
      </c>
      <c r="C328" s="2" t="s">
        <v>727</v>
      </c>
      <c r="D328" s="147" t="s">
        <v>728</v>
      </c>
      <c r="E328" s="148"/>
      <c r="F328" s="2" t="s">
        <v>729</v>
      </c>
      <c r="G328" s="55">
        <v>0.4</v>
      </c>
      <c r="H328" s="56">
        <v>0</v>
      </c>
      <c r="I328" s="55">
        <f>G328*H328</f>
        <v>0</v>
      </c>
      <c r="J328" s="55">
        <v>0</v>
      </c>
      <c r="K328" s="55">
        <f>G328*J328</f>
        <v>0</v>
      </c>
      <c r="L328" s="57" t="s">
        <v>124</v>
      </c>
      <c r="Z328" s="55">
        <f>IF(AQ328="5",BJ328,0)</f>
        <v>0</v>
      </c>
      <c r="AB328" s="55">
        <f>IF(AQ328="1",BH328,0)</f>
        <v>0</v>
      </c>
      <c r="AC328" s="55">
        <f>IF(AQ328="1",BI328,0)</f>
        <v>0</v>
      </c>
      <c r="AD328" s="55">
        <f>IF(AQ328="7",BH328,0)</f>
        <v>0</v>
      </c>
      <c r="AE328" s="55">
        <f>IF(AQ328="7",BI328,0)</f>
        <v>0</v>
      </c>
      <c r="AF328" s="55">
        <f>IF(AQ328="2",BH328,0)</f>
        <v>0</v>
      </c>
      <c r="AG328" s="55">
        <f>IF(AQ328="2",BI328,0)</f>
        <v>0</v>
      </c>
      <c r="AH328" s="55">
        <f>IF(AQ328="0",BJ328,0)</f>
        <v>0</v>
      </c>
      <c r="AI328" s="34" t="s">
        <v>116</v>
      </c>
      <c r="AJ328" s="55">
        <f>IF(AN328=0,I328,0)</f>
        <v>0</v>
      </c>
      <c r="AK328" s="55">
        <f>IF(AN328=12,I328,0)</f>
        <v>0</v>
      </c>
      <c r="AL328" s="55">
        <f>IF(AN328=21,I328,0)</f>
        <v>0</v>
      </c>
      <c r="AN328" s="55">
        <v>21</v>
      </c>
      <c r="AO328" s="55">
        <f>H328*0.5</f>
        <v>0</v>
      </c>
      <c r="AP328" s="55">
        <f>H328*(1-0.5)</f>
        <v>0</v>
      </c>
      <c r="AQ328" s="58" t="s">
        <v>120</v>
      </c>
      <c r="AV328" s="55">
        <f>AW328+AX328</f>
        <v>0</v>
      </c>
      <c r="AW328" s="55">
        <f>G328*AO328</f>
        <v>0</v>
      </c>
      <c r="AX328" s="55">
        <f>G328*AP328</f>
        <v>0</v>
      </c>
      <c r="AY328" s="58" t="s">
        <v>670</v>
      </c>
      <c r="AZ328" s="58" t="s">
        <v>443</v>
      </c>
      <c r="BA328" s="34" t="s">
        <v>128</v>
      </c>
      <c r="BB328" s="67">
        <v>100138</v>
      </c>
      <c r="BC328" s="55">
        <f>AW328+AX328</f>
        <v>0</v>
      </c>
      <c r="BD328" s="55">
        <f>H328/(100-BE328)*100</f>
        <v>0</v>
      </c>
      <c r="BE328" s="55">
        <v>0</v>
      </c>
      <c r="BF328" s="55">
        <f>K328</f>
        <v>0</v>
      </c>
      <c r="BH328" s="55">
        <f>G328*AO328</f>
        <v>0</v>
      </c>
      <c r="BI328" s="55">
        <f>G328*AP328</f>
        <v>0</v>
      </c>
      <c r="BJ328" s="55">
        <f>G328*H328</f>
        <v>0</v>
      </c>
      <c r="BK328" s="55"/>
      <c r="BL328" s="55">
        <v>2225</v>
      </c>
      <c r="BW328" s="55">
        <v>21</v>
      </c>
    </row>
    <row r="329" spans="1:12" ht="13.5" customHeight="1">
      <c r="A329" s="59"/>
      <c r="D329" s="218" t="s">
        <v>129</v>
      </c>
      <c r="E329" s="219"/>
      <c r="F329" s="219"/>
      <c r="G329" s="219"/>
      <c r="H329" s="220"/>
      <c r="I329" s="219"/>
      <c r="J329" s="219"/>
      <c r="K329" s="219"/>
      <c r="L329" s="221"/>
    </row>
    <row r="330" spans="1:75" ht="13.5" customHeight="1">
      <c r="A330" s="1" t="s">
        <v>730</v>
      </c>
      <c r="B330" s="2" t="s">
        <v>116</v>
      </c>
      <c r="C330" s="2" t="s">
        <v>731</v>
      </c>
      <c r="D330" s="147" t="s">
        <v>732</v>
      </c>
      <c r="E330" s="148"/>
      <c r="F330" s="2" t="s">
        <v>123</v>
      </c>
      <c r="G330" s="55">
        <v>10</v>
      </c>
      <c r="H330" s="56">
        <v>0</v>
      </c>
      <c r="I330" s="55">
        <f>G330*H330</f>
        <v>0</v>
      </c>
      <c r="J330" s="55">
        <v>0</v>
      </c>
      <c r="K330" s="55">
        <f>G330*J330</f>
        <v>0</v>
      </c>
      <c r="L330" s="57" t="s">
        <v>124</v>
      </c>
      <c r="Z330" s="55">
        <f>IF(AQ330="5",BJ330,0)</f>
        <v>0</v>
      </c>
      <c r="AB330" s="55">
        <f>IF(AQ330="1",BH330,0)</f>
        <v>0</v>
      </c>
      <c r="AC330" s="55">
        <f>IF(AQ330="1",BI330,0)</f>
        <v>0</v>
      </c>
      <c r="AD330" s="55">
        <f>IF(AQ330="7",BH330,0)</f>
        <v>0</v>
      </c>
      <c r="AE330" s="55">
        <f>IF(AQ330="7",BI330,0)</f>
        <v>0</v>
      </c>
      <c r="AF330" s="55">
        <f>IF(AQ330="2",BH330,0)</f>
        <v>0</v>
      </c>
      <c r="AG330" s="55">
        <f>IF(AQ330="2",BI330,0)</f>
        <v>0</v>
      </c>
      <c r="AH330" s="55">
        <f>IF(AQ330="0",BJ330,0)</f>
        <v>0</v>
      </c>
      <c r="AI330" s="34" t="s">
        <v>116</v>
      </c>
      <c r="AJ330" s="55">
        <f>IF(AN330=0,I330,0)</f>
        <v>0</v>
      </c>
      <c r="AK330" s="55">
        <f>IF(AN330=12,I330,0)</f>
        <v>0</v>
      </c>
      <c r="AL330" s="55">
        <f>IF(AN330=21,I330,0)</f>
        <v>0</v>
      </c>
      <c r="AN330" s="55">
        <v>21</v>
      </c>
      <c r="AO330" s="55">
        <f>H330*0</f>
        <v>0</v>
      </c>
      <c r="AP330" s="55">
        <f>H330*(1-0)</f>
        <v>0</v>
      </c>
      <c r="AQ330" s="58" t="s">
        <v>120</v>
      </c>
      <c r="AV330" s="55">
        <f>AW330+AX330</f>
        <v>0</v>
      </c>
      <c r="AW330" s="55">
        <f>G330*AO330</f>
        <v>0</v>
      </c>
      <c r="AX330" s="55">
        <f>G330*AP330</f>
        <v>0</v>
      </c>
      <c r="AY330" s="58" t="s">
        <v>670</v>
      </c>
      <c r="AZ330" s="58" t="s">
        <v>443</v>
      </c>
      <c r="BA330" s="34" t="s">
        <v>128</v>
      </c>
      <c r="BB330" s="67">
        <v>100138</v>
      </c>
      <c r="BC330" s="55">
        <f>AW330+AX330</f>
        <v>0</v>
      </c>
      <c r="BD330" s="55">
        <f>H330/(100-BE330)*100</f>
        <v>0</v>
      </c>
      <c r="BE330" s="55">
        <v>0</v>
      </c>
      <c r="BF330" s="55">
        <f>K330</f>
        <v>0</v>
      </c>
      <c r="BH330" s="55">
        <f>G330*AO330</f>
        <v>0</v>
      </c>
      <c r="BI330" s="55">
        <f>G330*AP330</f>
        <v>0</v>
      </c>
      <c r="BJ330" s="55">
        <f>G330*H330</f>
        <v>0</v>
      </c>
      <c r="BK330" s="55"/>
      <c r="BL330" s="55">
        <v>2225</v>
      </c>
      <c r="BW330" s="55">
        <v>21</v>
      </c>
    </row>
    <row r="331" spans="1:75" ht="13.5" customHeight="1">
      <c r="A331" s="1" t="s">
        <v>733</v>
      </c>
      <c r="B331" s="2" t="s">
        <v>116</v>
      </c>
      <c r="C331" s="2" t="s">
        <v>734</v>
      </c>
      <c r="D331" s="147" t="s">
        <v>735</v>
      </c>
      <c r="E331" s="148"/>
      <c r="F331" s="2" t="s">
        <v>123</v>
      </c>
      <c r="G331" s="55">
        <v>3</v>
      </c>
      <c r="H331" s="56">
        <v>0</v>
      </c>
      <c r="I331" s="55">
        <f>G331*H331</f>
        <v>0</v>
      </c>
      <c r="J331" s="55">
        <v>0</v>
      </c>
      <c r="K331" s="55">
        <f>G331*J331</f>
        <v>0</v>
      </c>
      <c r="L331" s="57" t="s">
        <v>124</v>
      </c>
      <c r="Z331" s="55">
        <f>IF(AQ331="5",BJ331,0)</f>
        <v>0</v>
      </c>
      <c r="AB331" s="55">
        <f>IF(AQ331="1",BH331,0)</f>
        <v>0</v>
      </c>
      <c r="AC331" s="55">
        <f>IF(AQ331="1",BI331,0)</f>
        <v>0</v>
      </c>
      <c r="AD331" s="55">
        <f>IF(AQ331="7",BH331,0)</f>
        <v>0</v>
      </c>
      <c r="AE331" s="55">
        <f>IF(AQ331="7",BI331,0)</f>
        <v>0</v>
      </c>
      <c r="AF331" s="55">
        <f>IF(AQ331="2",BH331,0)</f>
        <v>0</v>
      </c>
      <c r="AG331" s="55">
        <f>IF(AQ331="2",BI331,0)</f>
        <v>0</v>
      </c>
      <c r="AH331" s="55">
        <f>IF(AQ331="0",BJ331,0)</f>
        <v>0</v>
      </c>
      <c r="AI331" s="34" t="s">
        <v>116</v>
      </c>
      <c r="AJ331" s="55">
        <f>IF(AN331=0,I331,0)</f>
        <v>0</v>
      </c>
      <c r="AK331" s="55">
        <f>IF(AN331=12,I331,0)</f>
        <v>0</v>
      </c>
      <c r="AL331" s="55">
        <f>IF(AN331=21,I331,0)</f>
        <v>0</v>
      </c>
      <c r="AN331" s="55">
        <v>21</v>
      </c>
      <c r="AO331" s="55">
        <f>H331*0</f>
        <v>0</v>
      </c>
      <c r="AP331" s="55">
        <f>H331*(1-0)</f>
        <v>0</v>
      </c>
      <c r="AQ331" s="58" t="s">
        <v>120</v>
      </c>
      <c r="AV331" s="55">
        <f>AW331+AX331</f>
        <v>0</v>
      </c>
      <c r="AW331" s="55">
        <f>G331*AO331</f>
        <v>0</v>
      </c>
      <c r="AX331" s="55">
        <f>G331*AP331</f>
        <v>0</v>
      </c>
      <c r="AY331" s="58" t="s">
        <v>670</v>
      </c>
      <c r="AZ331" s="58" t="s">
        <v>443</v>
      </c>
      <c r="BA331" s="34" t="s">
        <v>128</v>
      </c>
      <c r="BB331" s="67">
        <v>100138</v>
      </c>
      <c r="BC331" s="55">
        <f>AW331+AX331</f>
        <v>0</v>
      </c>
      <c r="BD331" s="55">
        <f>H331/(100-BE331)*100</f>
        <v>0</v>
      </c>
      <c r="BE331" s="55">
        <v>0</v>
      </c>
      <c r="BF331" s="55">
        <f>K331</f>
        <v>0</v>
      </c>
      <c r="BH331" s="55">
        <f>G331*AO331</f>
        <v>0</v>
      </c>
      <c r="BI331" s="55">
        <f>G331*AP331</f>
        <v>0</v>
      </c>
      <c r="BJ331" s="55">
        <f>G331*H331</f>
        <v>0</v>
      </c>
      <c r="BK331" s="55"/>
      <c r="BL331" s="55">
        <v>2225</v>
      </c>
      <c r="BW331" s="55">
        <v>21</v>
      </c>
    </row>
    <row r="332" spans="1:75" ht="13.5" customHeight="1">
      <c r="A332" s="1" t="s">
        <v>736</v>
      </c>
      <c r="B332" s="2" t="s">
        <v>116</v>
      </c>
      <c r="C332" s="2" t="s">
        <v>737</v>
      </c>
      <c r="D332" s="147" t="s">
        <v>589</v>
      </c>
      <c r="E332" s="148"/>
      <c r="F332" s="2" t="s">
        <v>360</v>
      </c>
      <c r="G332" s="55">
        <v>12</v>
      </c>
      <c r="H332" s="56">
        <v>0</v>
      </c>
      <c r="I332" s="55">
        <f>G332*H332</f>
        <v>0</v>
      </c>
      <c r="J332" s="55">
        <v>0</v>
      </c>
      <c r="K332" s="55">
        <f>G332*J332</f>
        <v>0</v>
      </c>
      <c r="L332" s="57" t="s">
        <v>124</v>
      </c>
      <c r="Z332" s="55">
        <f>IF(AQ332="5",BJ332,0)</f>
        <v>0</v>
      </c>
      <c r="AB332" s="55">
        <f>IF(AQ332="1",BH332,0)</f>
        <v>0</v>
      </c>
      <c r="AC332" s="55">
        <f>IF(AQ332="1",BI332,0)</f>
        <v>0</v>
      </c>
      <c r="AD332" s="55">
        <f>IF(AQ332="7",BH332,0)</f>
        <v>0</v>
      </c>
      <c r="AE332" s="55">
        <f>IF(AQ332="7",BI332,0)</f>
        <v>0</v>
      </c>
      <c r="AF332" s="55">
        <f>IF(AQ332="2",BH332,0)</f>
        <v>0</v>
      </c>
      <c r="AG332" s="55">
        <f>IF(AQ332="2",BI332,0)</f>
        <v>0</v>
      </c>
      <c r="AH332" s="55">
        <f>IF(AQ332="0",BJ332,0)</f>
        <v>0</v>
      </c>
      <c r="AI332" s="34" t="s">
        <v>116</v>
      </c>
      <c r="AJ332" s="55">
        <f>IF(AN332=0,I332,0)</f>
        <v>0</v>
      </c>
      <c r="AK332" s="55">
        <f>IF(AN332=12,I332,0)</f>
        <v>0</v>
      </c>
      <c r="AL332" s="55">
        <f>IF(AN332=21,I332,0)</f>
        <v>0</v>
      </c>
      <c r="AN332" s="55">
        <v>21</v>
      </c>
      <c r="AO332" s="55">
        <f>H332*0</f>
        <v>0</v>
      </c>
      <c r="AP332" s="55">
        <f>H332*(1-0)</f>
        <v>0</v>
      </c>
      <c r="AQ332" s="58" t="s">
        <v>120</v>
      </c>
      <c r="AV332" s="55">
        <f>AW332+AX332</f>
        <v>0</v>
      </c>
      <c r="AW332" s="55">
        <f>G332*AO332</f>
        <v>0</v>
      </c>
      <c r="AX332" s="55">
        <f>G332*AP332</f>
        <v>0</v>
      </c>
      <c r="AY332" s="58" t="s">
        <v>670</v>
      </c>
      <c r="AZ332" s="58" t="s">
        <v>443</v>
      </c>
      <c r="BA332" s="34" t="s">
        <v>128</v>
      </c>
      <c r="BB332" s="67">
        <v>100138</v>
      </c>
      <c r="BC332" s="55">
        <f>AW332+AX332</f>
        <v>0</v>
      </c>
      <c r="BD332" s="55">
        <f>H332/(100-BE332)*100</f>
        <v>0</v>
      </c>
      <c r="BE332" s="55">
        <v>0</v>
      </c>
      <c r="BF332" s="55">
        <f>K332</f>
        <v>0</v>
      </c>
      <c r="BH332" s="55">
        <f>G332*AO332</f>
        <v>0</v>
      </c>
      <c r="BI332" s="55">
        <f>G332*AP332</f>
        <v>0</v>
      </c>
      <c r="BJ332" s="55">
        <f>G332*H332</f>
        <v>0</v>
      </c>
      <c r="BK332" s="55"/>
      <c r="BL332" s="55">
        <v>2225</v>
      </c>
      <c r="BW332" s="55">
        <v>21</v>
      </c>
    </row>
    <row r="333" spans="1:75" ht="13.5" customHeight="1">
      <c r="A333" s="1" t="s">
        <v>738</v>
      </c>
      <c r="B333" s="2" t="s">
        <v>116</v>
      </c>
      <c r="C333" s="2" t="s">
        <v>739</v>
      </c>
      <c r="D333" s="147" t="s">
        <v>592</v>
      </c>
      <c r="E333" s="148"/>
      <c r="F333" s="2" t="s">
        <v>360</v>
      </c>
      <c r="G333" s="55">
        <v>8</v>
      </c>
      <c r="H333" s="56">
        <v>0</v>
      </c>
      <c r="I333" s="55">
        <f>G333*H333</f>
        <v>0</v>
      </c>
      <c r="J333" s="55">
        <v>0</v>
      </c>
      <c r="K333" s="55">
        <f>G333*J333</f>
        <v>0</v>
      </c>
      <c r="L333" s="57" t="s">
        <v>124</v>
      </c>
      <c r="Z333" s="55">
        <f>IF(AQ333="5",BJ333,0)</f>
        <v>0</v>
      </c>
      <c r="AB333" s="55">
        <f>IF(AQ333="1",BH333,0)</f>
        <v>0</v>
      </c>
      <c r="AC333" s="55">
        <f>IF(AQ333="1",BI333,0)</f>
        <v>0</v>
      </c>
      <c r="AD333" s="55">
        <f>IF(AQ333="7",BH333,0)</f>
        <v>0</v>
      </c>
      <c r="AE333" s="55">
        <f>IF(AQ333="7",BI333,0)</f>
        <v>0</v>
      </c>
      <c r="AF333" s="55">
        <f>IF(AQ333="2",BH333,0)</f>
        <v>0</v>
      </c>
      <c r="AG333" s="55">
        <f>IF(AQ333="2",BI333,0)</f>
        <v>0</v>
      </c>
      <c r="AH333" s="55">
        <f>IF(AQ333="0",BJ333,0)</f>
        <v>0</v>
      </c>
      <c r="AI333" s="34" t="s">
        <v>116</v>
      </c>
      <c r="AJ333" s="55">
        <f>IF(AN333=0,I333,0)</f>
        <v>0</v>
      </c>
      <c r="AK333" s="55">
        <f>IF(AN333=12,I333,0)</f>
        <v>0</v>
      </c>
      <c r="AL333" s="55">
        <f>IF(AN333=21,I333,0)</f>
        <v>0</v>
      </c>
      <c r="AN333" s="55">
        <v>21</v>
      </c>
      <c r="AO333" s="55">
        <f>H333*0</f>
        <v>0</v>
      </c>
      <c r="AP333" s="55">
        <f>H333*(1-0)</f>
        <v>0</v>
      </c>
      <c r="AQ333" s="58" t="s">
        <v>120</v>
      </c>
      <c r="AV333" s="55">
        <f>AW333+AX333</f>
        <v>0</v>
      </c>
      <c r="AW333" s="55">
        <f>G333*AO333</f>
        <v>0</v>
      </c>
      <c r="AX333" s="55">
        <f>G333*AP333</f>
        <v>0</v>
      </c>
      <c r="AY333" s="58" t="s">
        <v>670</v>
      </c>
      <c r="AZ333" s="58" t="s">
        <v>443</v>
      </c>
      <c r="BA333" s="34" t="s">
        <v>128</v>
      </c>
      <c r="BB333" s="67">
        <v>100138</v>
      </c>
      <c r="BC333" s="55">
        <f>AW333+AX333</f>
        <v>0</v>
      </c>
      <c r="BD333" s="55">
        <f>H333/(100-BE333)*100</f>
        <v>0</v>
      </c>
      <c r="BE333" s="55">
        <v>0</v>
      </c>
      <c r="BF333" s="55">
        <f>K333</f>
        <v>0</v>
      </c>
      <c r="BH333" s="55">
        <f>G333*AO333</f>
        <v>0</v>
      </c>
      <c r="BI333" s="55">
        <f>G333*AP333</f>
        <v>0</v>
      </c>
      <c r="BJ333" s="55">
        <f>G333*H333</f>
        <v>0</v>
      </c>
      <c r="BK333" s="55"/>
      <c r="BL333" s="55">
        <v>2225</v>
      </c>
      <c r="BW333" s="55">
        <v>21</v>
      </c>
    </row>
    <row r="334" spans="1:75" ht="13.5" customHeight="1">
      <c r="A334" s="1" t="s">
        <v>740</v>
      </c>
      <c r="B334" s="2" t="s">
        <v>116</v>
      </c>
      <c r="C334" s="2" t="s">
        <v>741</v>
      </c>
      <c r="D334" s="147" t="s">
        <v>742</v>
      </c>
      <c r="E334" s="148"/>
      <c r="F334" s="2" t="s">
        <v>360</v>
      </c>
      <c r="G334" s="55">
        <v>8</v>
      </c>
      <c r="H334" s="56">
        <v>0</v>
      </c>
      <c r="I334" s="55">
        <f>G334*H334</f>
        <v>0</v>
      </c>
      <c r="J334" s="55">
        <v>0</v>
      </c>
      <c r="K334" s="55">
        <f>G334*J334</f>
        <v>0</v>
      </c>
      <c r="L334" s="57" t="s">
        <v>124</v>
      </c>
      <c r="Z334" s="55">
        <f>IF(AQ334="5",BJ334,0)</f>
        <v>0</v>
      </c>
      <c r="AB334" s="55">
        <f>IF(AQ334="1",BH334,0)</f>
        <v>0</v>
      </c>
      <c r="AC334" s="55">
        <f>IF(AQ334="1",BI334,0)</f>
        <v>0</v>
      </c>
      <c r="AD334" s="55">
        <f>IF(AQ334="7",BH334,0)</f>
        <v>0</v>
      </c>
      <c r="AE334" s="55">
        <f>IF(AQ334="7",BI334,0)</f>
        <v>0</v>
      </c>
      <c r="AF334" s="55">
        <f>IF(AQ334="2",BH334,0)</f>
        <v>0</v>
      </c>
      <c r="AG334" s="55">
        <f>IF(AQ334="2",BI334,0)</f>
        <v>0</v>
      </c>
      <c r="AH334" s="55">
        <f>IF(AQ334="0",BJ334,0)</f>
        <v>0</v>
      </c>
      <c r="AI334" s="34" t="s">
        <v>116</v>
      </c>
      <c r="AJ334" s="55">
        <f>IF(AN334=0,I334,0)</f>
        <v>0</v>
      </c>
      <c r="AK334" s="55">
        <f>IF(AN334=12,I334,0)</f>
        <v>0</v>
      </c>
      <c r="AL334" s="55">
        <f>IF(AN334=21,I334,0)</f>
        <v>0</v>
      </c>
      <c r="AN334" s="55">
        <v>21</v>
      </c>
      <c r="AO334" s="55">
        <f>H334*0</f>
        <v>0</v>
      </c>
      <c r="AP334" s="55">
        <f>H334*(1-0)</f>
        <v>0</v>
      </c>
      <c r="AQ334" s="58" t="s">
        <v>120</v>
      </c>
      <c r="AV334" s="55">
        <f>AW334+AX334</f>
        <v>0</v>
      </c>
      <c r="AW334" s="55">
        <f>G334*AO334</f>
        <v>0</v>
      </c>
      <c r="AX334" s="55">
        <f>G334*AP334</f>
        <v>0</v>
      </c>
      <c r="AY334" s="58" t="s">
        <v>670</v>
      </c>
      <c r="AZ334" s="58" t="s">
        <v>443</v>
      </c>
      <c r="BA334" s="34" t="s">
        <v>128</v>
      </c>
      <c r="BB334" s="67">
        <v>100138</v>
      </c>
      <c r="BC334" s="55">
        <f>AW334+AX334</f>
        <v>0</v>
      </c>
      <c r="BD334" s="55">
        <f>H334/(100-BE334)*100</f>
        <v>0</v>
      </c>
      <c r="BE334" s="55">
        <v>0</v>
      </c>
      <c r="BF334" s="55">
        <f>K334</f>
        <v>0</v>
      </c>
      <c r="BH334" s="55">
        <f>G334*AO334</f>
        <v>0</v>
      </c>
      <c r="BI334" s="55">
        <f>G334*AP334</f>
        <v>0</v>
      </c>
      <c r="BJ334" s="55">
        <f>G334*H334</f>
        <v>0</v>
      </c>
      <c r="BK334" s="55"/>
      <c r="BL334" s="55">
        <v>2225</v>
      </c>
      <c r="BW334" s="55">
        <v>21</v>
      </c>
    </row>
    <row r="335" spans="1:47" ht="14.4">
      <c r="A335" s="50" t="s">
        <v>4</v>
      </c>
      <c r="B335" s="51" t="s">
        <v>116</v>
      </c>
      <c r="C335" s="51" t="s">
        <v>743</v>
      </c>
      <c r="D335" s="222" t="s">
        <v>744</v>
      </c>
      <c r="E335" s="223"/>
      <c r="F335" s="52" t="s">
        <v>79</v>
      </c>
      <c r="G335" s="52" t="s">
        <v>79</v>
      </c>
      <c r="H335" s="53" t="s">
        <v>79</v>
      </c>
      <c r="I335" s="27">
        <f>SUM(I336:I355)</f>
        <v>0</v>
      </c>
      <c r="J335" s="34" t="s">
        <v>4</v>
      </c>
      <c r="K335" s="27">
        <f>SUM(K336:K355)</f>
        <v>0</v>
      </c>
      <c r="L335" s="54" t="s">
        <v>4</v>
      </c>
      <c r="AI335" s="34" t="s">
        <v>116</v>
      </c>
      <c r="AS335" s="27">
        <f>SUM(AJ336:AJ355)</f>
        <v>0</v>
      </c>
      <c r="AT335" s="27">
        <f>SUM(AK336:AK355)</f>
        <v>0</v>
      </c>
      <c r="AU335" s="27">
        <f>SUM(AL336:AL355)</f>
        <v>0</v>
      </c>
    </row>
    <row r="336" spans="1:75" ht="27" customHeight="1">
      <c r="A336" s="1" t="s">
        <v>745</v>
      </c>
      <c r="B336" s="2" t="s">
        <v>116</v>
      </c>
      <c r="C336" s="2" t="s">
        <v>746</v>
      </c>
      <c r="D336" s="147" t="s">
        <v>747</v>
      </c>
      <c r="E336" s="148"/>
      <c r="F336" s="2" t="s">
        <v>123</v>
      </c>
      <c r="G336" s="55">
        <v>3</v>
      </c>
      <c r="H336" s="56">
        <v>0</v>
      </c>
      <c r="I336" s="55">
        <f>G336*H336</f>
        <v>0</v>
      </c>
      <c r="J336" s="55">
        <v>0</v>
      </c>
      <c r="K336" s="55">
        <f>G336*J336</f>
        <v>0</v>
      </c>
      <c r="L336" s="57" t="s">
        <v>124</v>
      </c>
      <c r="Z336" s="55">
        <f>IF(AQ336="5",BJ336,0)</f>
        <v>0</v>
      </c>
      <c r="AB336" s="55">
        <f>IF(AQ336="1",BH336,0)</f>
        <v>0</v>
      </c>
      <c r="AC336" s="55">
        <f>IF(AQ336="1",BI336,0)</f>
        <v>0</v>
      </c>
      <c r="AD336" s="55">
        <f>IF(AQ336="7",BH336,0)</f>
        <v>0</v>
      </c>
      <c r="AE336" s="55">
        <f>IF(AQ336="7",BI336,0)</f>
        <v>0</v>
      </c>
      <c r="AF336" s="55">
        <f>IF(AQ336="2",BH336,0)</f>
        <v>0</v>
      </c>
      <c r="AG336" s="55">
        <f>IF(AQ336="2",BI336,0)</f>
        <v>0</v>
      </c>
      <c r="AH336" s="55">
        <f>IF(AQ336="0",BJ336,0)</f>
        <v>0</v>
      </c>
      <c r="AI336" s="34" t="s">
        <v>116</v>
      </c>
      <c r="AJ336" s="55">
        <f>IF(AN336=0,I336,0)</f>
        <v>0</v>
      </c>
      <c r="AK336" s="55">
        <f>IF(AN336=12,I336,0)</f>
        <v>0</v>
      </c>
      <c r="AL336" s="55">
        <f>IF(AN336=21,I336,0)</f>
        <v>0</v>
      </c>
      <c r="AN336" s="55">
        <v>21</v>
      </c>
      <c r="AO336" s="55">
        <f>H336*0.863238512</f>
        <v>0</v>
      </c>
      <c r="AP336" s="55">
        <f>H336*(1-0.863238512)</f>
        <v>0</v>
      </c>
      <c r="AQ336" s="58" t="s">
        <v>120</v>
      </c>
      <c r="AV336" s="55">
        <f>AW336+AX336</f>
        <v>0</v>
      </c>
      <c r="AW336" s="55">
        <f>G336*AO336</f>
        <v>0</v>
      </c>
      <c r="AX336" s="55">
        <f>G336*AP336</f>
        <v>0</v>
      </c>
      <c r="AY336" s="58" t="s">
        <v>748</v>
      </c>
      <c r="AZ336" s="58" t="s">
        <v>443</v>
      </c>
      <c r="BA336" s="34" t="s">
        <v>128</v>
      </c>
      <c r="BB336" s="67">
        <v>100134</v>
      </c>
      <c r="BC336" s="55">
        <f>AW336+AX336</f>
        <v>0</v>
      </c>
      <c r="BD336" s="55">
        <f>H336/(100-BE336)*100</f>
        <v>0</v>
      </c>
      <c r="BE336" s="55">
        <v>0</v>
      </c>
      <c r="BF336" s="55">
        <f>K336</f>
        <v>0</v>
      </c>
      <c r="BH336" s="55">
        <f>G336*AO336</f>
        <v>0</v>
      </c>
      <c r="BI336" s="55">
        <f>G336*AP336</f>
        <v>0</v>
      </c>
      <c r="BJ336" s="55">
        <f>G336*H336</f>
        <v>0</v>
      </c>
      <c r="BK336" s="55"/>
      <c r="BL336" s="55">
        <v>2227</v>
      </c>
      <c r="BW336" s="55">
        <v>21</v>
      </c>
    </row>
    <row r="337" spans="1:12" ht="13.5" customHeight="1">
      <c r="A337" s="59"/>
      <c r="D337" s="218" t="s">
        <v>129</v>
      </c>
      <c r="E337" s="219"/>
      <c r="F337" s="219"/>
      <c r="G337" s="219"/>
      <c r="H337" s="220"/>
      <c r="I337" s="219"/>
      <c r="J337" s="219"/>
      <c r="K337" s="219"/>
      <c r="L337" s="221"/>
    </row>
    <row r="338" spans="1:75" ht="13.5" customHeight="1">
      <c r="A338" s="1" t="s">
        <v>749</v>
      </c>
      <c r="B338" s="2" t="s">
        <v>116</v>
      </c>
      <c r="C338" s="2" t="s">
        <v>750</v>
      </c>
      <c r="D338" s="147" t="s">
        <v>751</v>
      </c>
      <c r="E338" s="148"/>
      <c r="F338" s="2" t="s">
        <v>123</v>
      </c>
      <c r="G338" s="55">
        <v>3</v>
      </c>
      <c r="H338" s="56">
        <v>0</v>
      </c>
      <c r="I338" s="55">
        <f>G338*H338</f>
        <v>0</v>
      </c>
      <c r="J338" s="55">
        <v>0</v>
      </c>
      <c r="K338" s="55">
        <f>G338*J338</f>
        <v>0</v>
      </c>
      <c r="L338" s="57" t="s">
        <v>124</v>
      </c>
      <c r="Z338" s="55">
        <f>IF(AQ338="5",BJ338,0)</f>
        <v>0</v>
      </c>
      <c r="AB338" s="55">
        <f>IF(AQ338="1",BH338,0)</f>
        <v>0</v>
      </c>
      <c r="AC338" s="55">
        <f>IF(AQ338="1",BI338,0)</f>
        <v>0</v>
      </c>
      <c r="AD338" s="55">
        <f>IF(AQ338="7",BH338,0)</f>
        <v>0</v>
      </c>
      <c r="AE338" s="55">
        <f>IF(AQ338="7",BI338,0)</f>
        <v>0</v>
      </c>
      <c r="AF338" s="55">
        <f>IF(AQ338="2",BH338,0)</f>
        <v>0</v>
      </c>
      <c r="AG338" s="55">
        <f>IF(AQ338="2",BI338,0)</f>
        <v>0</v>
      </c>
      <c r="AH338" s="55">
        <f>IF(AQ338="0",BJ338,0)</f>
        <v>0</v>
      </c>
      <c r="AI338" s="34" t="s">
        <v>116</v>
      </c>
      <c r="AJ338" s="55">
        <f>IF(AN338=0,I338,0)</f>
        <v>0</v>
      </c>
      <c r="AK338" s="55">
        <f>IF(AN338=12,I338,0)</f>
        <v>0</v>
      </c>
      <c r="AL338" s="55">
        <f>IF(AN338=21,I338,0)</f>
        <v>0</v>
      </c>
      <c r="AN338" s="55">
        <v>21</v>
      </c>
      <c r="AO338" s="55">
        <f>H338*0.578313253</f>
        <v>0</v>
      </c>
      <c r="AP338" s="55">
        <f>H338*(1-0.578313253)</f>
        <v>0</v>
      </c>
      <c r="AQ338" s="58" t="s">
        <v>120</v>
      </c>
      <c r="AV338" s="55">
        <f>AW338+AX338</f>
        <v>0</v>
      </c>
      <c r="AW338" s="55">
        <f>G338*AO338</f>
        <v>0</v>
      </c>
      <c r="AX338" s="55">
        <f>G338*AP338</f>
        <v>0</v>
      </c>
      <c r="AY338" s="58" t="s">
        <v>748</v>
      </c>
      <c r="AZ338" s="58" t="s">
        <v>443</v>
      </c>
      <c r="BA338" s="34" t="s">
        <v>128</v>
      </c>
      <c r="BB338" s="67">
        <v>100134</v>
      </c>
      <c r="BC338" s="55">
        <f>AW338+AX338</f>
        <v>0</v>
      </c>
      <c r="BD338" s="55">
        <f>H338/(100-BE338)*100</f>
        <v>0</v>
      </c>
      <c r="BE338" s="55">
        <v>0</v>
      </c>
      <c r="BF338" s="55">
        <f>K338</f>
        <v>0</v>
      </c>
      <c r="BH338" s="55">
        <f>G338*AO338</f>
        <v>0</v>
      </c>
      <c r="BI338" s="55">
        <f>G338*AP338</f>
        <v>0</v>
      </c>
      <c r="BJ338" s="55">
        <f>G338*H338</f>
        <v>0</v>
      </c>
      <c r="BK338" s="55"/>
      <c r="BL338" s="55">
        <v>2227</v>
      </c>
      <c r="BW338" s="55">
        <v>21</v>
      </c>
    </row>
    <row r="339" spans="1:12" ht="13.5" customHeight="1">
      <c r="A339" s="59"/>
      <c r="D339" s="218" t="s">
        <v>129</v>
      </c>
      <c r="E339" s="219"/>
      <c r="F339" s="219"/>
      <c r="G339" s="219"/>
      <c r="H339" s="220"/>
      <c r="I339" s="219"/>
      <c r="J339" s="219"/>
      <c r="K339" s="219"/>
      <c r="L339" s="221"/>
    </row>
    <row r="340" spans="1:75" ht="27" customHeight="1">
      <c r="A340" s="1" t="s">
        <v>752</v>
      </c>
      <c r="B340" s="2" t="s">
        <v>116</v>
      </c>
      <c r="C340" s="2" t="s">
        <v>753</v>
      </c>
      <c r="D340" s="147" t="s">
        <v>754</v>
      </c>
      <c r="E340" s="148"/>
      <c r="F340" s="2" t="s">
        <v>123</v>
      </c>
      <c r="G340" s="55">
        <v>1</v>
      </c>
      <c r="H340" s="56">
        <v>0</v>
      </c>
      <c r="I340" s="55">
        <f>G340*H340</f>
        <v>0</v>
      </c>
      <c r="J340" s="55">
        <v>0</v>
      </c>
      <c r="K340" s="55">
        <f>G340*J340</f>
        <v>0</v>
      </c>
      <c r="L340" s="57" t="s">
        <v>124</v>
      </c>
      <c r="Z340" s="55">
        <f>IF(AQ340="5",BJ340,0)</f>
        <v>0</v>
      </c>
      <c r="AB340" s="55">
        <f>IF(AQ340="1",BH340,0)</f>
        <v>0</v>
      </c>
      <c r="AC340" s="55">
        <f>IF(AQ340="1",BI340,0)</f>
        <v>0</v>
      </c>
      <c r="AD340" s="55">
        <f>IF(AQ340="7",BH340,0)</f>
        <v>0</v>
      </c>
      <c r="AE340" s="55">
        <f>IF(AQ340="7",BI340,0)</f>
        <v>0</v>
      </c>
      <c r="AF340" s="55">
        <f>IF(AQ340="2",BH340,0)</f>
        <v>0</v>
      </c>
      <c r="AG340" s="55">
        <f>IF(AQ340="2",BI340,0)</f>
        <v>0</v>
      </c>
      <c r="AH340" s="55">
        <f>IF(AQ340="0",BJ340,0)</f>
        <v>0</v>
      </c>
      <c r="AI340" s="34" t="s">
        <v>116</v>
      </c>
      <c r="AJ340" s="55">
        <f>IF(AN340=0,I340,0)</f>
        <v>0</v>
      </c>
      <c r="AK340" s="55">
        <f>IF(AN340=12,I340,0)</f>
        <v>0</v>
      </c>
      <c r="AL340" s="55">
        <f>IF(AN340=21,I340,0)</f>
        <v>0</v>
      </c>
      <c r="AN340" s="55">
        <v>21</v>
      </c>
      <c r="AO340" s="55">
        <f>H340*0.922552664</f>
        <v>0</v>
      </c>
      <c r="AP340" s="55">
        <f>H340*(1-0.922552664)</f>
        <v>0</v>
      </c>
      <c r="AQ340" s="58" t="s">
        <v>120</v>
      </c>
      <c r="AV340" s="55">
        <f>AW340+AX340</f>
        <v>0</v>
      </c>
      <c r="AW340" s="55">
        <f>G340*AO340</f>
        <v>0</v>
      </c>
      <c r="AX340" s="55">
        <f>G340*AP340</f>
        <v>0</v>
      </c>
      <c r="AY340" s="58" t="s">
        <v>748</v>
      </c>
      <c r="AZ340" s="58" t="s">
        <v>443</v>
      </c>
      <c r="BA340" s="34" t="s">
        <v>128</v>
      </c>
      <c r="BB340" s="67">
        <v>100134</v>
      </c>
      <c r="BC340" s="55">
        <f>AW340+AX340</f>
        <v>0</v>
      </c>
      <c r="BD340" s="55">
        <f>H340/(100-BE340)*100</f>
        <v>0</v>
      </c>
      <c r="BE340" s="55">
        <v>0</v>
      </c>
      <c r="BF340" s="55">
        <f>K340</f>
        <v>0</v>
      </c>
      <c r="BH340" s="55">
        <f>G340*AO340</f>
        <v>0</v>
      </c>
      <c r="BI340" s="55">
        <f>G340*AP340</f>
        <v>0</v>
      </c>
      <c r="BJ340" s="55">
        <f>G340*H340</f>
        <v>0</v>
      </c>
      <c r="BK340" s="55"/>
      <c r="BL340" s="55">
        <v>2227</v>
      </c>
      <c r="BW340" s="55">
        <v>21</v>
      </c>
    </row>
    <row r="341" spans="1:12" ht="13.5" customHeight="1">
      <c r="A341" s="59"/>
      <c r="D341" s="218" t="s">
        <v>755</v>
      </c>
      <c r="E341" s="219"/>
      <c r="F341" s="219"/>
      <c r="G341" s="219"/>
      <c r="H341" s="220"/>
      <c r="I341" s="219"/>
      <c r="J341" s="219"/>
      <c r="K341" s="219"/>
      <c r="L341" s="221"/>
    </row>
    <row r="342" spans="1:75" ht="13.5" customHeight="1">
      <c r="A342" s="1" t="s">
        <v>756</v>
      </c>
      <c r="B342" s="2" t="s">
        <v>116</v>
      </c>
      <c r="C342" s="2" t="s">
        <v>757</v>
      </c>
      <c r="D342" s="147" t="s">
        <v>758</v>
      </c>
      <c r="E342" s="148"/>
      <c r="F342" s="2" t="s">
        <v>123</v>
      </c>
      <c r="G342" s="55">
        <v>2</v>
      </c>
      <c r="H342" s="56">
        <v>0</v>
      </c>
      <c r="I342" s="55">
        <f>G342*H342</f>
        <v>0</v>
      </c>
      <c r="J342" s="55">
        <v>0</v>
      </c>
      <c r="K342" s="55">
        <f>G342*J342</f>
        <v>0</v>
      </c>
      <c r="L342" s="57" t="s">
        <v>124</v>
      </c>
      <c r="Z342" s="55">
        <f>IF(AQ342="5",BJ342,0)</f>
        <v>0</v>
      </c>
      <c r="AB342" s="55">
        <f>IF(AQ342="1",BH342,0)</f>
        <v>0</v>
      </c>
      <c r="AC342" s="55">
        <f>IF(AQ342="1",BI342,0)</f>
        <v>0</v>
      </c>
      <c r="AD342" s="55">
        <f>IF(AQ342="7",BH342,0)</f>
        <v>0</v>
      </c>
      <c r="AE342" s="55">
        <f>IF(AQ342="7",BI342,0)</f>
        <v>0</v>
      </c>
      <c r="AF342" s="55">
        <f>IF(AQ342="2",BH342,0)</f>
        <v>0</v>
      </c>
      <c r="AG342" s="55">
        <f>IF(AQ342="2",BI342,0)</f>
        <v>0</v>
      </c>
      <c r="AH342" s="55">
        <f>IF(AQ342="0",BJ342,0)</f>
        <v>0</v>
      </c>
      <c r="AI342" s="34" t="s">
        <v>116</v>
      </c>
      <c r="AJ342" s="55">
        <f>IF(AN342=0,I342,0)</f>
        <v>0</v>
      </c>
      <c r="AK342" s="55">
        <f>IF(AN342=12,I342,0)</f>
        <v>0</v>
      </c>
      <c r="AL342" s="55">
        <f>IF(AN342=21,I342,0)</f>
        <v>0</v>
      </c>
      <c r="AN342" s="55">
        <v>21</v>
      </c>
      <c r="AO342" s="55">
        <f>H342*0.805912213</f>
        <v>0</v>
      </c>
      <c r="AP342" s="55">
        <f>H342*(1-0.805912213)</f>
        <v>0</v>
      </c>
      <c r="AQ342" s="58" t="s">
        <v>120</v>
      </c>
      <c r="AV342" s="55">
        <f>AW342+AX342</f>
        <v>0</v>
      </c>
      <c r="AW342" s="55">
        <f>G342*AO342</f>
        <v>0</v>
      </c>
      <c r="AX342" s="55">
        <f>G342*AP342</f>
        <v>0</v>
      </c>
      <c r="AY342" s="58" t="s">
        <v>748</v>
      </c>
      <c r="AZ342" s="58" t="s">
        <v>443</v>
      </c>
      <c r="BA342" s="34" t="s">
        <v>128</v>
      </c>
      <c r="BB342" s="67">
        <v>100134</v>
      </c>
      <c r="BC342" s="55">
        <f>AW342+AX342</f>
        <v>0</v>
      </c>
      <c r="BD342" s="55">
        <f>H342/(100-BE342)*100</f>
        <v>0</v>
      </c>
      <c r="BE342" s="55">
        <v>0</v>
      </c>
      <c r="BF342" s="55">
        <f>K342</f>
        <v>0</v>
      </c>
      <c r="BH342" s="55">
        <f>G342*AO342</f>
        <v>0</v>
      </c>
      <c r="BI342" s="55">
        <f>G342*AP342</f>
        <v>0</v>
      </c>
      <c r="BJ342" s="55">
        <f>G342*H342</f>
        <v>0</v>
      </c>
      <c r="BK342" s="55"/>
      <c r="BL342" s="55">
        <v>2227</v>
      </c>
      <c r="BW342" s="55">
        <v>21</v>
      </c>
    </row>
    <row r="343" spans="1:12" ht="13.5" customHeight="1">
      <c r="A343" s="59"/>
      <c r="D343" s="218" t="s">
        <v>755</v>
      </c>
      <c r="E343" s="219"/>
      <c r="F343" s="219"/>
      <c r="G343" s="219"/>
      <c r="H343" s="220"/>
      <c r="I343" s="219"/>
      <c r="J343" s="219"/>
      <c r="K343" s="219"/>
      <c r="L343" s="221"/>
    </row>
    <row r="344" spans="1:75" ht="13.5" customHeight="1">
      <c r="A344" s="1" t="s">
        <v>759</v>
      </c>
      <c r="B344" s="2" t="s">
        <v>116</v>
      </c>
      <c r="C344" s="2" t="s">
        <v>760</v>
      </c>
      <c r="D344" s="147" t="s">
        <v>761</v>
      </c>
      <c r="E344" s="148"/>
      <c r="F344" s="2" t="s">
        <v>123</v>
      </c>
      <c r="G344" s="55">
        <v>1</v>
      </c>
      <c r="H344" s="56">
        <v>0</v>
      </c>
      <c r="I344" s="55">
        <f>G344*H344</f>
        <v>0</v>
      </c>
      <c r="J344" s="55">
        <v>0</v>
      </c>
      <c r="K344" s="55">
        <f>G344*J344</f>
        <v>0</v>
      </c>
      <c r="L344" s="57" t="s">
        <v>124</v>
      </c>
      <c r="Z344" s="55">
        <f>IF(AQ344="5",BJ344,0)</f>
        <v>0</v>
      </c>
      <c r="AB344" s="55">
        <f>IF(AQ344="1",BH344,0)</f>
        <v>0</v>
      </c>
      <c r="AC344" s="55">
        <f>IF(AQ344="1",BI344,0)</f>
        <v>0</v>
      </c>
      <c r="AD344" s="55">
        <f>IF(AQ344="7",BH344,0)</f>
        <v>0</v>
      </c>
      <c r="AE344" s="55">
        <f>IF(AQ344="7",BI344,0)</f>
        <v>0</v>
      </c>
      <c r="AF344" s="55">
        <f>IF(AQ344="2",BH344,0)</f>
        <v>0</v>
      </c>
      <c r="AG344" s="55">
        <f>IF(AQ344="2",BI344,0)</f>
        <v>0</v>
      </c>
      <c r="AH344" s="55">
        <f>IF(AQ344="0",BJ344,0)</f>
        <v>0</v>
      </c>
      <c r="AI344" s="34" t="s">
        <v>116</v>
      </c>
      <c r="AJ344" s="55">
        <f>IF(AN344=0,I344,0)</f>
        <v>0</v>
      </c>
      <c r="AK344" s="55">
        <f>IF(AN344=12,I344,0)</f>
        <v>0</v>
      </c>
      <c r="AL344" s="55">
        <f>IF(AN344=21,I344,0)</f>
        <v>0</v>
      </c>
      <c r="AN344" s="55">
        <v>21</v>
      </c>
      <c r="AO344" s="55">
        <f>H344*0</f>
        <v>0</v>
      </c>
      <c r="AP344" s="55">
        <f>H344*(1-0)</f>
        <v>0</v>
      </c>
      <c r="AQ344" s="58" t="s">
        <v>120</v>
      </c>
      <c r="AV344" s="55">
        <f>AW344+AX344</f>
        <v>0</v>
      </c>
      <c r="AW344" s="55">
        <f>G344*AO344</f>
        <v>0</v>
      </c>
      <c r="AX344" s="55">
        <f>G344*AP344</f>
        <v>0</v>
      </c>
      <c r="AY344" s="58" t="s">
        <v>748</v>
      </c>
      <c r="AZ344" s="58" t="s">
        <v>443</v>
      </c>
      <c r="BA344" s="34" t="s">
        <v>128</v>
      </c>
      <c r="BB344" s="67">
        <v>100134</v>
      </c>
      <c r="BC344" s="55">
        <f>AW344+AX344</f>
        <v>0</v>
      </c>
      <c r="BD344" s="55">
        <f>H344/(100-BE344)*100</f>
        <v>0</v>
      </c>
      <c r="BE344" s="55">
        <v>0</v>
      </c>
      <c r="BF344" s="55">
        <f>K344</f>
        <v>0</v>
      </c>
      <c r="BH344" s="55">
        <f>G344*AO344</f>
        <v>0</v>
      </c>
      <c r="BI344" s="55">
        <f>G344*AP344</f>
        <v>0</v>
      </c>
      <c r="BJ344" s="55">
        <f>G344*H344</f>
        <v>0</v>
      </c>
      <c r="BK344" s="55"/>
      <c r="BL344" s="55">
        <v>2227</v>
      </c>
      <c r="BW344" s="55">
        <v>21</v>
      </c>
    </row>
    <row r="345" spans="1:12" ht="13.5" customHeight="1">
      <c r="A345" s="59"/>
      <c r="D345" s="218" t="s">
        <v>762</v>
      </c>
      <c r="E345" s="219"/>
      <c r="F345" s="219"/>
      <c r="G345" s="219"/>
      <c r="H345" s="220"/>
      <c r="I345" s="219"/>
      <c r="J345" s="219"/>
      <c r="K345" s="219"/>
      <c r="L345" s="221"/>
    </row>
    <row r="346" spans="1:75" ht="27" customHeight="1">
      <c r="A346" s="1" t="s">
        <v>763</v>
      </c>
      <c r="B346" s="2" t="s">
        <v>116</v>
      </c>
      <c r="C346" s="2" t="s">
        <v>764</v>
      </c>
      <c r="D346" s="147" t="s">
        <v>441</v>
      </c>
      <c r="E346" s="148"/>
      <c r="F346" s="2" t="s">
        <v>174</v>
      </c>
      <c r="G346" s="55">
        <v>180</v>
      </c>
      <c r="H346" s="56">
        <v>0</v>
      </c>
      <c r="I346" s="55">
        <f>G346*H346</f>
        <v>0</v>
      </c>
      <c r="J346" s="55">
        <v>0</v>
      </c>
      <c r="K346" s="55">
        <f>G346*J346</f>
        <v>0</v>
      </c>
      <c r="L346" s="57" t="s">
        <v>124</v>
      </c>
      <c r="Z346" s="55">
        <f>IF(AQ346="5",BJ346,0)</f>
        <v>0</v>
      </c>
      <c r="AB346" s="55">
        <f>IF(AQ346="1",BH346,0)</f>
        <v>0</v>
      </c>
      <c r="AC346" s="55">
        <f>IF(AQ346="1",BI346,0)</f>
        <v>0</v>
      </c>
      <c r="AD346" s="55">
        <f>IF(AQ346="7",BH346,0)</f>
        <v>0</v>
      </c>
      <c r="AE346" s="55">
        <f>IF(AQ346="7",BI346,0)</f>
        <v>0</v>
      </c>
      <c r="AF346" s="55">
        <f>IF(AQ346="2",BH346,0)</f>
        <v>0</v>
      </c>
      <c r="AG346" s="55">
        <f>IF(AQ346="2",BI346,0)</f>
        <v>0</v>
      </c>
      <c r="AH346" s="55">
        <f>IF(AQ346="0",BJ346,0)</f>
        <v>0</v>
      </c>
      <c r="AI346" s="34" t="s">
        <v>116</v>
      </c>
      <c r="AJ346" s="55">
        <f>IF(AN346=0,I346,0)</f>
        <v>0</v>
      </c>
      <c r="AK346" s="55">
        <f>IF(AN346=12,I346,0)</f>
        <v>0</v>
      </c>
      <c r="AL346" s="55">
        <f>IF(AN346=21,I346,0)</f>
        <v>0</v>
      </c>
      <c r="AN346" s="55">
        <v>21</v>
      </c>
      <c r="AO346" s="55">
        <f>H346*0.403794038</f>
        <v>0</v>
      </c>
      <c r="AP346" s="55">
        <f>H346*(1-0.403794038)</f>
        <v>0</v>
      </c>
      <c r="AQ346" s="58" t="s">
        <v>120</v>
      </c>
      <c r="AV346" s="55">
        <f>AW346+AX346</f>
        <v>0</v>
      </c>
      <c r="AW346" s="55">
        <f>G346*AO346</f>
        <v>0</v>
      </c>
      <c r="AX346" s="55">
        <f>G346*AP346</f>
        <v>0</v>
      </c>
      <c r="AY346" s="58" t="s">
        <v>748</v>
      </c>
      <c r="AZ346" s="58" t="s">
        <v>443</v>
      </c>
      <c r="BA346" s="34" t="s">
        <v>128</v>
      </c>
      <c r="BB346" s="67">
        <v>100134</v>
      </c>
      <c r="BC346" s="55">
        <f>AW346+AX346</f>
        <v>0</v>
      </c>
      <c r="BD346" s="55">
        <f>H346/(100-BE346)*100</f>
        <v>0</v>
      </c>
      <c r="BE346" s="55">
        <v>0</v>
      </c>
      <c r="BF346" s="55">
        <f>K346</f>
        <v>0</v>
      </c>
      <c r="BH346" s="55">
        <f>G346*AO346</f>
        <v>0</v>
      </c>
      <c r="BI346" s="55">
        <f>G346*AP346</f>
        <v>0</v>
      </c>
      <c r="BJ346" s="55">
        <f>G346*H346</f>
        <v>0</v>
      </c>
      <c r="BK346" s="55"/>
      <c r="BL346" s="55">
        <v>2227</v>
      </c>
      <c r="BW346" s="55">
        <v>21</v>
      </c>
    </row>
    <row r="347" spans="1:12" ht="13.5" customHeight="1">
      <c r="A347" s="59"/>
      <c r="D347" s="218" t="s">
        <v>129</v>
      </c>
      <c r="E347" s="219"/>
      <c r="F347" s="219"/>
      <c r="G347" s="219"/>
      <c r="H347" s="220"/>
      <c r="I347" s="219"/>
      <c r="J347" s="219"/>
      <c r="K347" s="219"/>
      <c r="L347" s="221"/>
    </row>
    <row r="348" spans="1:75" ht="13.5" customHeight="1">
      <c r="A348" s="1" t="s">
        <v>765</v>
      </c>
      <c r="B348" s="2" t="s">
        <v>116</v>
      </c>
      <c r="C348" s="2" t="s">
        <v>766</v>
      </c>
      <c r="D348" s="147" t="s">
        <v>449</v>
      </c>
      <c r="E348" s="148"/>
      <c r="F348" s="2" t="s">
        <v>123</v>
      </c>
      <c r="G348" s="55">
        <v>35</v>
      </c>
      <c r="H348" s="56">
        <v>0</v>
      </c>
      <c r="I348" s="55">
        <f>G348*H348</f>
        <v>0</v>
      </c>
      <c r="J348" s="55">
        <v>0</v>
      </c>
      <c r="K348" s="55">
        <f>G348*J348</f>
        <v>0</v>
      </c>
      <c r="L348" s="57" t="s">
        <v>124</v>
      </c>
      <c r="Z348" s="55">
        <f>IF(AQ348="5",BJ348,0)</f>
        <v>0</v>
      </c>
      <c r="AB348" s="55">
        <f>IF(AQ348="1",BH348,0)</f>
        <v>0</v>
      </c>
      <c r="AC348" s="55">
        <f>IF(AQ348="1",BI348,0)</f>
        <v>0</v>
      </c>
      <c r="AD348" s="55">
        <f>IF(AQ348="7",BH348,0)</f>
        <v>0</v>
      </c>
      <c r="AE348" s="55">
        <f>IF(AQ348="7",BI348,0)</f>
        <v>0</v>
      </c>
      <c r="AF348" s="55">
        <f>IF(AQ348="2",BH348,0)</f>
        <v>0</v>
      </c>
      <c r="AG348" s="55">
        <f>IF(AQ348="2",BI348,0)</f>
        <v>0</v>
      </c>
      <c r="AH348" s="55">
        <f>IF(AQ348="0",BJ348,0)</f>
        <v>0</v>
      </c>
      <c r="AI348" s="34" t="s">
        <v>116</v>
      </c>
      <c r="AJ348" s="55">
        <f>IF(AN348=0,I348,0)</f>
        <v>0</v>
      </c>
      <c r="AK348" s="55">
        <f>IF(AN348=12,I348,0)</f>
        <v>0</v>
      </c>
      <c r="AL348" s="55">
        <f>IF(AN348=21,I348,0)</f>
        <v>0</v>
      </c>
      <c r="AN348" s="55">
        <v>21</v>
      </c>
      <c r="AO348" s="55">
        <f>H348*0.848101266</f>
        <v>0</v>
      </c>
      <c r="AP348" s="55">
        <f>H348*(1-0.848101266)</f>
        <v>0</v>
      </c>
      <c r="AQ348" s="58" t="s">
        <v>120</v>
      </c>
      <c r="AV348" s="55">
        <f>AW348+AX348</f>
        <v>0</v>
      </c>
      <c r="AW348" s="55">
        <f>G348*AO348</f>
        <v>0</v>
      </c>
      <c r="AX348" s="55">
        <f>G348*AP348</f>
        <v>0</v>
      </c>
      <c r="AY348" s="58" t="s">
        <v>748</v>
      </c>
      <c r="AZ348" s="58" t="s">
        <v>443</v>
      </c>
      <c r="BA348" s="34" t="s">
        <v>128</v>
      </c>
      <c r="BB348" s="67">
        <v>100134</v>
      </c>
      <c r="BC348" s="55">
        <f>AW348+AX348</f>
        <v>0</v>
      </c>
      <c r="BD348" s="55">
        <f>H348/(100-BE348)*100</f>
        <v>0</v>
      </c>
      <c r="BE348" s="55">
        <v>0</v>
      </c>
      <c r="BF348" s="55">
        <f>K348</f>
        <v>0</v>
      </c>
      <c r="BH348" s="55">
        <f>G348*AO348</f>
        <v>0</v>
      </c>
      <c r="BI348" s="55">
        <f>G348*AP348</f>
        <v>0</v>
      </c>
      <c r="BJ348" s="55">
        <f>G348*H348</f>
        <v>0</v>
      </c>
      <c r="BK348" s="55"/>
      <c r="BL348" s="55">
        <v>2227</v>
      </c>
      <c r="BW348" s="55">
        <v>21</v>
      </c>
    </row>
    <row r="349" spans="1:12" ht="13.5" customHeight="1">
      <c r="A349" s="59"/>
      <c r="D349" s="218" t="s">
        <v>129</v>
      </c>
      <c r="E349" s="219"/>
      <c r="F349" s="219"/>
      <c r="G349" s="219"/>
      <c r="H349" s="220"/>
      <c r="I349" s="219"/>
      <c r="J349" s="219"/>
      <c r="K349" s="219"/>
      <c r="L349" s="221"/>
    </row>
    <row r="350" spans="1:75" ht="13.5" customHeight="1">
      <c r="A350" s="1" t="s">
        <v>767</v>
      </c>
      <c r="B350" s="2" t="s">
        <v>116</v>
      </c>
      <c r="C350" s="2" t="s">
        <v>768</v>
      </c>
      <c r="D350" s="147" t="s">
        <v>769</v>
      </c>
      <c r="E350" s="148"/>
      <c r="F350" s="2" t="s">
        <v>770</v>
      </c>
      <c r="G350" s="55">
        <v>1</v>
      </c>
      <c r="H350" s="56">
        <v>0</v>
      </c>
      <c r="I350" s="55">
        <f>G350*H350</f>
        <v>0</v>
      </c>
      <c r="J350" s="55">
        <v>0</v>
      </c>
      <c r="K350" s="55">
        <f>G350*J350</f>
        <v>0</v>
      </c>
      <c r="L350" s="57" t="s">
        <v>124</v>
      </c>
      <c r="Z350" s="55">
        <f>IF(AQ350="5",BJ350,0)</f>
        <v>0</v>
      </c>
      <c r="AB350" s="55">
        <f>IF(AQ350="1",BH350,0)</f>
        <v>0</v>
      </c>
      <c r="AC350" s="55">
        <f>IF(AQ350="1",BI350,0)</f>
        <v>0</v>
      </c>
      <c r="AD350" s="55">
        <f>IF(AQ350="7",BH350,0)</f>
        <v>0</v>
      </c>
      <c r="AE350" s="55">
        <f>IF(AQ350="7",BI350,0)</f>
        <v>0</v>
      </c>
      <c r="AF350" s="55">
        <f>IF(AQ350="2",BH350,0)</f>
        <v>0</v>
      </c>
      <c r="AG350" s="55">
        <f>IF(AQ350="2",BI350,0)</f>
        <v>0</v>
      </c>
      <c r="AH350" s="55">
        <f>IF(AQ350="0",BJ350,0)</f>
        <v>0</v>
      </c>
      <c r="AI350" s="34" t="s">
        <v>116</v>
      </c>
      <c r="AJ350" s="55">
        <f>IF(AN350=0,I350,0)</f>
        <v>0</v>
      </c>
      <c r="AK350" s="55">
        <f>IF(AN350=12,I350,0)</f>
        <v>0</v>
      </c>
      <c r="AL350" s="55">
        <f>IF(AN350=21,I350,0)</f>
        <v>0</v>
      </c>
      <c r="AN350" s="55">
        <v>21</v>
      </c>
      <c r="AO350" s="55">
        <f>H350*0.5</f>
        <v>0</v>
      </c>
      <c r="AP350" s="55">
        <f>H350*(1-0.5)</f>
        <v>0</v>
      </c>
      <c r="AQ350" s="58" t="s">
        <v>120</v>
      </c>
      <c r="AV350" s="55">
        <f>AW350+AX350</f>
        <v>0</v>
      </c>
      <c r="AW350" s="55">
        <f>G350*AO350</f>
        <v>0</v>
      </c>
      <c r="AX350" s="55">
        <f>G350*AP350</f>
        <v>0</v>
      </c>
      <c r="AY350" s="58" t="s">
        <v>748</v>
      </c>
      <c r="AZ350" s="58" t="s">
        <v>443</v>
      </c>
      <c r="BA350" s="34" t="s">
        <v>128</v>
      </c>
      <c r="BB350" s="67">
        <v>100134</v>
      </c>
      <c r="BC350" s="55">
        <f>AW350+AX350</f>
        <v>0</v>
      </c>
      <c r="BD350" s="55">
        <f>H350/(100-BE350)*100</f>
        <v>0</v>
      </c>
      <c r="BE350" s="55">
        <v>0</v>
      </c>
      <c r="BF350" s="55">
        <f>K350</f>
        <v>0</v>
      </c>
      <c r="BH350" s="55">
        <f>G350*AO350</f>
        <v>0</v>
      </c>
      <c r="BI350" s="55">
        <f>G350*AP350</f>
        <v>0</v>
      </c>
      <c r="BJ350" s="55">
        <f>G350*H350</f>
        <v>0</v>
      </c>
      <c r="BK350" s="55"/>
      <c r="BL350" s="55">
        <v>2227</v>
      </c>
      <c r="BW350" s="55">
        <v>21</v>
      </c>
    </row>
    <row r="351" spans="1:12" ht="13.5" customHeight="1">
      <c r="A351" s="59"/>
      <c r="D351" s="218" t="s">
        <v>129</v>
      </c>
      <c r="E351" s="219"/>
      <c r="F351" s="219"/>
      <c r="G351" s="219"/>
      <c r="H351" s="220"/>
      <c r="I351" s="219"/>
      <c r="J351" s="219"/>
      <c r="K351" s="219"/>
      <c r="L351" s="221"/>
    </row>
    <row r="352" spans="1:75" ht="13.5" customHeight="1">
      <c r="A352" s="1" t="s">
        <v>771</v>
      </c>
      <c r="B352" s="2" t="s">
        <v>116</v>
      </c>
      <c r="C352" s="2" t="s">
        <v>772</v>
      </c>
      <c r="D352" s="147" t="s">
        <v>773</v>
      </c>
      <c r="E352" s="148"/>
      <c r="F352" s="2" t="s">
        <v>360</v>
      </c>
      <c r="G352" s="55">
        <v>2</v>
      </c>
      <c r="H352" s="56">
        <v>0</v>
      </c>
      <c r="I352" s="55">
        <f>G352*H352</f>
        <v>0</v>
      </c>
      <c r="J352" s="55">
        <v>0</v>
      </c>
      <c r="K352" s="55">
        <f>G352*J352</f>
        <v>0</v>
      </c>
      <c r="L352" s="57" t="s">
        <v>124</v>
      </c>
      <c r="Z352" s="55">
        <f>IF(AQ352="5",BJ352,0)</f>
        <v>0</v>
      </c>
      <c r="AB352" s="55">
        <f>IF(AQ352="1",BH352,0)</f>
        <v>0</v>
      </c>
      <c r="AC352" s="55">
        <f>IF(AQ352="1",BI352,0)</f>
        <v>0</v>
      </c>
      <c r="AD352" s="55">
        <f>IF(AQ352="7",BH352,0)</f>
        <v>0</v>
      </c>
      <c r="AE352" s="55">
        <f>IF(AQ352="7",BI352,0)</f>
        <v>0</v>
      </c>
      <c r="AF352" s="55">
        <f>IF(AQ352="2",BH352,0)</f>
        <v>0</v>
      </c>
      <c r="AG352" s="55">
        <f>IF(AQ352="2",BI352,0)</f>
        <v>0</v>
      </c>
      <c r="AH352" s="55">
        <f>IF(AQ352="0",BJ352,0)</f>
        <v>0</v>
      </c>
      <c r="AI352" s="34" t="s">
        <v>116</v>
      </c>
      <c r="AJ352" s="55">
        <f>IF(AN352=0,I352,0)</f>
        <v>0</v>
      </c>
      <c r="AK352" s="55">
        <f>IF(AN352=12,I352,0)</f>
        <v>0</v>
      </c>
      <c r="AL352" s="55">
        <f>IF(AN352=21,I352,0)</f>
        <v>0</v>
      </c>
      <c r="AN352" s="55">
        <v>21</v>
      </c>
      <c r="AO352" s="55">
        <f>H352*0</f>
        <v>0</v>
      </c>
      <c r="AP352" s="55">
        <f>H352*(1-0)</f>
        <v>0</v>
      </c>
      <c r="AQ352" s="58" t="s">
        <v>120</v>
      </c>
      <c r="AV352" s="55">
        <f>AW352+AX352</f>
        <v>0</v>
      </c>
      <c r="AW352" s="55">
        <f>G352*AO352</f>
        <v>0</v>
      </c>
      <c r="AX352" s="55">
        <f>G352*AP352</f>
        <v>0</v>
      </c>
      <c r="AY352" s="58" t="s">
        <v>748</v>
      </c>
      <c r="AZ352" s="58" t="s">
        <v>443</v>
      </c>
      <c r="BA352" s="34" t="s">
        <v>128</v>
      </c>
      <c r="BB352" s="67">
        <v>100134</v>
      </c>
      <c r="BC352" s="55">
        <f>AW352+AX352</f>
        <v>0</v>
      </c>
      <c r="BD352" s="55">
        <f>H352/(100-BE352)*100</f>
        <v>0</v>
      </c>
      <c r="BE352" s="55">
        <v>0</v>
      </c>
      <c r="BF352" s="55">
        <f>K352</f>
        <v>0</v>
      </c>
      <c r="BH352" s="55">
        <f>G352*AO352</f>
        <v>0</v>
      </c>
      <c r="BI352" s="55">
        <f>G352*AP352</f>
        <v>0</v>
      </c>
      <c r="BJ352" s="55">
        <f>G352*H352</f>
        <v>0</v>
      </c>
      <c r="BK352" s="55"/>
      <c r="BL352" s="55">
        <v>2227</v>
      </c>
      <c r="BW352" s="55">
        <v>21</v>
      </c>
    </row>
    <row r="353" spans="1:75" ht="13.5" customHeight="1">
      <c r="A353" s="1" t="s">
        <v>774</v>
      </c>
      <c r="B353" s="2" t="s">
        <v>116</v>
      </c>
      <c r="C353" s="2" t="s">
        <v>775</v>
      </c>
      <c r="D353" s="147" t="s">
        <v>592</v>
      </c>
      <c r="E353" s="148"/>
      <c r="F353" s="2" t="s">
        <v>360</v>
      </c>
      <c r="G353" s="55">
        <v>4</v>
      </c>
      <c r="H353" s="56">
        <v>0</v>
      </c>
      <c r="I353" s="55">
        <f>G353*H353</f>
        <v>0</v>
      </c>
      <c r="J353" s="55">
        <v>0</v>
      </c>
      <c r="K353" s="55">
        <f>G353*J353</f>
        <v>0</v>
      </c>
      <c r="L353" s="57" t="s">
        <v>124</v>
      </c>
      <c r="Z353" s="55">
        <f>IF(AQ353="5",BJ353,0)</f>
        <v>0</v>
      </c>
      <c r="AB353" s="55">
        <f>IF(AQ353="1",BH353,0)</f>
        <v>0</v>
      </c>
      <c r="AC353" s="55">
        <f>IF(AQ353="1",BI353,0)</f>
        <v>0</v>
      </c>
      <c r="AD353" s="55">
        <f>IF(AQ353="7",BH353,0)</f>
        <v>0</v>
      </c>
      <c r="AE353" s="55">
        <f>IF(AQ353="7",BI353,0)</f>
        <v>0</v>
      </c>
      <c r="AF353" s="55">
        <f>IF(AQ353="2",BH353,0)</f>
        <v>0</v>
      </c>
      <c r="AG353" s="55">
        <f>IF(AQ353="2",BI353,0)</f>
        <v>0</v>
      </c>
      <c r="AH353" s="55">
        <f>IF(AQ353="0",BJ353,0)</f>
        <v>0</v>
      </c>
      <c r="AI353" s="34" t="s">
        <v>116</v>
      </c>
      <c r="AJ353" s="55">
        <f>IF(AN353=0,I353,0)</f>
        <v>0</v>
      </c>
      <c r="AK353" s="55">
        <f>IF(AN353=12,I353,0)</f>
        <v>0</v>
      </c>
      <c r="AL353" s="55">
        <f>IF(AN353=21,I353,0)</f>
        <v>0</v>
      </c>
      <c r="AN353" s="55">
        <v>21</v>
      </c>
      <c r="AO353" s="55">
        <f>H353*0</f>
        <v>0</v>
      </c>
      <c r="AP353" s="55">
        <f>H353*(1-0)</f>
        <v>0</v>
      </c>
      <c r="AQ353" s="58" t="s">
        <v>120</v>
      </c>
      <c r="AV353" s="55">
        <f>AW353+AX353</f>
        <v>0</v>
      </c>
      <c r="AW353" s="55">
        <f>G353*AO353</f>
        <v>0</v>
      </c>
      <c r="AX353" s="55">
        <f>G353*AP353</f>
        <v>0</v>
      </c>
      <c r="AY353" s="58" t="s">
        <v>748</v>
      </c>
      <c r="AZ353" s="58" t="s">
        <v>443</v>
      </c>
      <c r="BA353" s="34" t="s">
        <v>128</v>
      </c>
      <c r="BB353" s="67">
        <v>100134</v>
      </c>
      <c r="BC353" s="55">
        <f>AW353+AX353</f>
        <v>0</v>
      </c>
      <c r="BD353" s="55">
        <f>H353/(100-BE353)*100</f>
        <v>0</v>
      </c>
      <c r="BE353" s="55">
        <v>0</v>
      </c>
      <c r="BF353" s="55">
        <f>K353</f>
        <v>0</v>
      </c>
      <c r="BH353" s="55">
        <f>G353*AO353</f>
        <v>0</v>
      </c>
      <c r="BI353" s="55">
        <f>G353*AP353</f>
        <v>0</v>
      </c>
      <c r="BJ353" s="55">
        <f>G353*H353</f>
        <v>0</v>
      </c>
      <c r="BK353" s="55"/>
      <c r="BL353" s="55">
        <v>2227</v>
      </c>
      <c r="BW353" s="55">
        <v>21</v>
      </c>
    </row>
    <row r="354" spans="1:75" ht="13.5" customHeight="1">
      <c r="A354" s="1" t="s">
        <v>776</v>
      </c>
      <c r="B354" s="2" t="s">
        <v>116</v>
      </c>
      <c r="C354" s="2" t="s">
        <v>777</v>
      </c>
      <c r="D354" s="147" t="s">
        <v>476</v>
      </c>
      <c r="E354" s="148"/>
      <c r="F354" s="2" t="s">
        <v>360</v>
      </c>
      <c r="G354" s="55">
        <v>8</v>
      </c>
      <c r="H354" s="56">
        <v>0</v>
      </c>
      <c r="I354" s="55">
        <f>G354*H354</f>
        <v>0</v>
      </c>
      <c r="J354" s="55">
        <v>0</v>
      </c>
      <c r="K354" s="55">
        <f>G354*J354</f>
        <v>0</v>
      </c>
      <c r="L354" s="57" t="s">
        <v>124</v>
      </c>
      <c r="Z354" s="55">
        <f>IF(AQ354="5",BJ354,0)</f>
        <v>0</v>
      </c>
      <c r="AB354" s="55">
        <f>IF(AQ354="1",BH354,0)</f>
        <v>0</v>
      </c>
      <c r="AC354" s="55">
        <f>IF(AQ354="1",BI354,0)</f>
        <v>0</v>
      </c>
      <c r="AD354" s="55">
        <f>IF(AQ354="7",BH354,0)</f>
        <v>0</v>
      </c>
      <c r="AE354" s="55">
        <f>IF(AQ354="7",BI354,0)</f>
        <v>0</v>
      </c>
      <c r="AF354" s="55">
        <f>IF(AQ354="2",BH354,0)</f>
        <v>0</v>
      </c>
      <c r="AG354" s="55">
        <f>IF(AQ354="2",BI354,0)</f>
        <v>0</v>
      </c>
      <c r="AH354" s="55">
        <f>IF(AQ354="0",BJ354,0)</f>
        <v>0</v>
      </c>
      <c r="AI354" s="34" t="s">
        <v>116</v>
      </c>
      <c r="AJ354" s="55">
        <f>IF(AN354=0,I354,0)</f>
        <v>0</v>
      </c>
      <c r="AK354" s="55">
        <f>IF(AN354=12,I354,0)</f>
        <v>0</v>
      </c>
      <c r="AL354" s="55">
        <f>IF(AN354=21,I354,0)</f>
        <v>0</v>
      </c>
      <c r="AN354" s="55">
        <v>21</v>
      </c>
      <c r="AO354" s="55">
        <f>H354*0</f>
        <v>0</v>
      </c>
      <c r="AP354" s="55">
        <f>H354*(1-0)</f>
        <v>0</v>
      </c>
      <c r="AQ354" s="58" t="s">
        <v>120</v>
      </c>
      <c r="AV354" s="55">
        <f>AW354+AX354</f>
        <v>0</v>
      </c>
      <c r="AW354" s="55">
        <f>G354*AO354</f>
        <v>0</v>
      </c>
      <c r="AX354" s="55">
        <f>G354*AP354</f>
        <v>0</v>
      </c>
      <c r="AY354" s="58" t="s">
        <v>748</v>
      </c>
      <c r="AZ354" s="58" t="s">
        <v>443</v>
      </c>
      <c r="BA354" s="34" t="s">
        <v>128</v>
      </c>
      <c r="BB354" s="67">
        <v>100134</v>
      </c>
      <c r="BC354" s="55">
        <f>AW354+AX354</f>
        <v>0</v>
      </c>
      <c r="BD354" s="55">
        <f>H354/(100-BE354)*100</f>
        <v>0</v>
      </c>
      <c r="BE354" s="55">
        <v>0</v>
      </c>
      <c r="BF354" s="55">
        <f>K354</f>
        <v>0</v>
      </c>
      <c r="BH354" s="55">
        <f>G354*AO354</f>
        <v>0</v>
      </c>
      <c r="BI354" s="55">
        <f>G354*AP354</f>
        <v>0</v>
      </c>
      <c r="BJ354" s="55">
        <f>G354*H354</f>
        <v>0</v>
      </c>
      <c r="BK354" s="55"/>
      <c r="BL354" s="55">
        <v>2227</v>
      </c>
      <c r="BW354" s="55">
        <v>21</v>
      </c>
    </row>
    <row r="355" spans="1:75" ht="13.5" customHeight="1">
      <c r="A355" s="1" t="s">
        <v>778</v>
      </c>
      <c r="B355" s="2" t="s">
        <v>116</v>
      </c>
      <c r="C355" s="2" t="s">
        <v>779</v>
      </c>
      <c r="D355" s="147" t="s">
        <v>780</v>
      </c>
      <c r="E355" s="148"/>
      <c r="F355" s="2" t="s">
        <v>360</v>
      </c>
      <c r="G355" s="55">
        <v>4</v>
      </c>
      <c r="H355" s="56">
        <v>0</v>
      </c>
      <c r="I355" s="55">
        <f>G355*H355</f>
        <v>0</v>
      </c>
      <c r="J355" s="55">
        <v>0</v>
      </c>
      <c r="K355" s="55">
        <f>G355*J355</f>
        <v>0</v>
      </c>
      <c r="L355" s="57" t="s">
        <v>124</v>
      </c>
      <c r="Z355" s="55">
        <f>IF(AQ355="5",BJ355,0)</f>
        <v>0</v>
      </c>
      <c r="AB355" s="55">
        <f>IF(AQ355="1",BH355,0)</f>
        <v>0</v>
      </c>
      <c r="AC355" s="55">
        <f>IF(AQ355="1",BI355,0)</f>
        <v>0</v>
      </c>
      <c r="AD355" s="55">
        <f>IF(AQ355="7",BH355,0)</f>
        <v>0</v>
      </c>
      <c r="AE355" s="55">
        <f>IF(AQ355="7",BI355,0)</f>
        <v>0</v>
      </c>
      <c r="AF355" s="55">
        <f>IF(AQ355="2",BH355,0)</f>
        <v>0</v>
      </c>
      <c r="AG355" s="55">
        <f>IF(AQ355="2",BI355,0)</f>
        <v>0</v>
      </c>
      <c r="AH355" s="55">
        <f>IF(AQ355="0",BJ355,0)</f>
        <v>0</v>
      </c>
      <c r="AI355" s="34" t="s">
        <v>116</v>
      </c>
      <c r="AJ355" s="55">
        <f>IF(AN355=0,I355,0)</f>
        <v>0</v>
      </c>
      <c r="AK355" s="55">
        <f>IF(AN355=12,I355,0)</f>
        <v>0</v>
      </c>
      <c r="AL355" s="55">
        <f>IF(AN355=21,I355,0)</f>
        <v>0</v>
      </c>
      <c r="AN355" s="55">
        <v>21</v>
      </c>
      <c r="AO355" s="55">
        <f>H355*0</f>
        <v>0</v>
      </c>
      <c r="AP355" s="55">
        <f>H355*(1-0)</f>
        <v>0</v>
      </c>
      <c r="AQ355" s="58" t="s">
        <v>120</v>
      </c>
      <c r="AV355" s="55">
        <f>AW355+AX355</f>
        <v>0</v>
      </c>
      <c r="AW355" s="55">
        <f>G355*AO355</f>
        <v>0</v>
      </c>
      <c r="AX355" s="55">
        <f>G355*AP355</f>
        <v>0</v>
      </c>
      <c r="AY355" s="58" t="s">
        <v>748</v>
      </c>
      <c r="AZ355" s="58" t="s">
        <v>443</v>
      </c>
      <c r="BA355" s="34" t="s">
        <v>128</v>
      </c>
      <c r="BB355" s="67">
        <v>100134</v>
      </c>
      <c r="BC355" s="55">
        <f>AW355+AX355</f>
        <v>0</v>
      </c>
      <c r="BD355" s="55">
        <f>H355/(100-BE355)*100</f>
        <v>0</v>
      </c>
      <c r="BE355" s="55">
        <v>0</v>
      </c>
      <c r="BF355" s="55">
        <f>K355</f>
        <v>0</v>
      </c>
      <c r="BH355" s="55">
        <f>G355*AO355</f>
        <v>0</v>
      </c>
      <c r="BI355" s="55">
        <f>G355*AP355</f>
        <v>0</v>
      </c>
      <c r="BJ355" s="55">
        <f>G355*H355</f>
        <v>0</v>
      </c>
      <c r="BK355" s="55"/>
      <c r="BL355" s="55">
        <v>2227</v>
      </c>
      <c r="BW355" s="55">
        <v>21</v>
      </c>
    </row>
    <row r="356" spans="1:47" ht="14.4">
      <c r="A356" s="50" t="s">
        <v>4</v>
      </c>
      <c r="B356" s="51" t="s">
        <v>116</v>
      </c>
      <c r="C356" s="51" t="s">
        <v>217</v>
      </c>
      <c r="D356" s="222" t="s">
        <v>781</v>
      </c>
      <c r="E356" s="223"/>
      <c r="F356" s="52" t="s">
        <v>79</v>
      </c>
      <c r="G356" s="52" t="s">
        <v>79</v>
      </c>
      <c r="H356" s="53" t="s">
        <v>79</v>
      </c>
      <c r="I356" s="27">
        <f>SUM(I357:I363)</f>
        <v>0</v>
      </c>
      <c r="J356" s="34" t="s">
        <v>4</v>
      </c>
      <c r="K356" s="27">
        <f>SUM(K357:K363)</f>
        <v>2.9924122000000004</v>
      </c>
      <c r="L356" s="54" t="s">
        <v>4</v>
      </c>
      <c r="AI356" s="34" t="s">
        <v>116</v>
      </c>
      <c r="AS356" s="27">
        <f>SUM(AJ357:AJ363)</f>
        <v>0</v>
      </c>
      <c r="AT356" s="27">
        <f>SUM(AK357:AK363)</f>
        <v>0</v>
      </c>
      <c r="AU356" s="27">
        <f>SUM(AL357:AL363)</f>
        <v>0</v>
      </c>
    </row>
    <row r="357" spans="1:75" ht="13.5" customHeight="1">
      <c r="A357" s="1" t="s">
        <v>782</v>
      </c>
      <c r="B357" s="2" t="s">
        <v>116</v>
      </c>
      <c r="C357" s="2" t="s">
        <v>783</v>
      </c>
      <c r="D357" s="147" t="s">
        <v>784</v>
      </c>
      <c r="E357" s="148"/>
      <c r="F357" s="2" t="s">
        <v>374</v>
      </c>
      <c r="G357" s="55">
        <v>4</v>
      </c>
      <c r="H357" s="56">
        <v>0</v>
      </c>
      <c r="I357" s="55">
        <f>G357*H357</f>
        <v>0</v>
      </c>
      <c r="J357" s="55">
        <v>0.02797</v>
      </c>
      <c r="K357" s="55">
        <f>G357*J357</f>
        <v>0.11188</v>
      </c>
      <c r="L357" s="57" t="s">
        <v>785</v>
      </c>
      <c r="Z357" s="55">
        <f>IF(AQ357="5",BJ357,0)</f>
        <v>0</v>
      </c>
      <c r="AB357" s="55">
        <f>IF(AQ357="1",BH357,0)</f>
        <v>0</v>
      </c>
      <c r="AC357" s="55">
        <f>IF(AQ357="1",BI357,0)</f>
        <v>0</v>
      </c>
      <c r="AD357" s="55">
        <f>IF(AQ357="7",BH357,0)</f>
        <v>0</v>
      </c>
      <c r="AE357" s="55">
        <f>IF(AQ357="7",BI357,0)</f>
        <v>0</v>
      </c>
      <c r="AF357" s="55">
        <f>IF(AQ357="2",BH357,0)</f>
        <v>0</v>
      </c>
      <c r="AG357" s="55">
        <f>IF(AQ357="2",BI357,0)</f>
        <v>0</v>
      </c>
      <c r="AH357" s="55">
        <f>IF(AQ357="0",BJ357,0)</f>
        <v>0</v>
      </c>
      <c r="AI357" s="34" t="s">
        <v>116</v>
      </c>
      <c r="AJ357" s="55">
        <f>IF(AN357=0,I357,0)</f>
        <v>0</v>
      </c>
      <c r="AK357" s="55">
        <f>IF(AN357=12,I357,0)</f>
        <v>0</v>
      </c>
      <c r="AL357" s="55">
        <f>IF(AN357=21,I357,0)</f>
        <v>0</v>
      </c>
      <c r="AN357" s="55">
        <v>21</v>
      </c>
      <c r="AO357" s="55">
        <f>H357*0.185536332</f>
        <v>0</v>
      </c>
      <c r="AP357" s="55">
        <f>H357*(1-0.185536332)</f>
        <v>0</v>
      </c>
      <c r="AQ357" s="58" t="s">
        <v>120</v>
      </c>
      <c r="AV357" s="55">
        <f>AW357+AX357</f>
        <v>0</v>
      </c>
      <c r="AW357" s="55">
        <f>G357*AO357</f>
        <v>0</v>
      </c>
      <c r="AX357" s="55">
        <f>G357*AP357</f>
        <v>0</v>
      </c>
      <c r="AY357" s="58" t="s">
        <v>786</v>
      </c>
      <c r="AZ357" s="58" t="s">
        <v>787</v>
      </c>
      <c r="BA357" s="34" t="s">
        <v>128</v>
      </c>
      <c r="BB357" s="67">
        <v>100044</v>
      </c>
      <c r="BC357" s="55">
        <f>AW357+AX357</f>
        <v>0</v>
      </c>
      <c r="BD357" s="55">
        <f>H357/(100-BE357)*100</f>
        <v>0</v>
      </c>
      <c r="BE357" s="55">
        <v>0</v>
      </c>
      <c r="BF357" s="55">
        <f>K357</f>
        <v>0.11188</v>
      </c>
      <c r="BH357" s="55">
        <f>G357*AO357</f>
        <v>0</v>
      </c>
      <c r="BI357" s="55">
        <f>G357*AP357</f>
        <v>0</v>
      </c>
      <c r="BJ357" s="55">
        <f>G357*H357</f>
        <v>0</v>
      </c>
      <c r="BK357" s="55"/>
      <c r="BL357" s="55">
        <v>31</v>
      </c>
      <c r="BW357" s="55">
        <v>21</v>
      </c>
    </row>
    <row r="358" spans="1:12" ht="13.5" customHeight="1">
      <c r="A358" s="59"/>
      <c r="D358" s="218" t="s">
        <v>788</v>
      </c>
      <c r="E358" s="219"/>
      <c r="F358" s="219"/>
      <c r="G358" s="219"/>
      <c r="H358" s="220"/>
      <c r="I358" s="219"/>
      <c r="J358" s="219"/>
      <c r="K358" s="219"/>
      <c r="L358" s="221"/>
    </row>
    <row r="359" spans="1:12" ht="14.4">
      <c r="A359" s="59"/>
      <c r="D359" s="60" t="s">
        <v>136</v>
      </c>
      <c r="E359" s="60" t="s">
        <v>4</v>
      </c>
      <c r="G359" s="68">
        <v>4</v>
      </c>
      <c r="L359" s="69"/>
    </row>
    <row r="360" spans="1:75" ht="13.5" customHeight="1">
      <c r="A360" s="1" t="s">
        <v>789</v>
      </c>
      <c r="B360" s="2" t="s">
        <v>116</v>
      </c>
      <c r="C360" s="2" t="s">
        <v>790</v>
      </c>
      <c r="D360" s="147" t="s">
        <v>791</v>
      </c>
      <c r="E360" s="148"/>
      <c r="F360" s="2" t="s">
        <v>792</v>
      </c>
      <c r="G360" s="55">
        <v>0.42</v>
      </c>
      <c r="H360" s="56">
        <v>0</v>
      </c>
      <c r="I360" s="55">
        <f>G360*H360</f>
        <v>0</v>
      </c>
      <c r="J360" s="55">
        <v>1.62836</v>
      </c>
      <c r="K360" s="55">
        <f>G360*J360</f>
        <v>0.6839111999999999</v>
      </c>
      <c r="L360" s="57" t="s">
        <v>785</v>
      </c>
      <c r="Z360" s="55">
        <f>IF(AQ360="5",BJ360,0)</f>
        <v>0</v>
      </c>
      <c r="AB360" s="55">
        <f>IF(AQ360="1",BH360,0)</f>
        <v>0</v>
      </c>
      <c r="AC360" s="55">
        <f>IF(AQ360="1",BI360,0)</f>
        <v>0</v>
      </c>
      <c r="AD360" s="55">
        <f>IF(AQ360="7",BH360,0)</f>
        <v>0</v>
      </c>
      <c r="AE360" s="55">
        <f>IF(AQ360="7",BI360,0)</f>
        <v>0</v>
      </c>
      <c r="AF360" s="55">
        <f>IF(AQ360="2",BH360,0)</f>
        <v>0</v>
      </c>
      <c r="AG360" s="55">
        <f>IF(AQ360="2",BI360,0)</f>
        <v>0</v>
      </c>
      <c r="AH360" s="55">
        <f>IF(AQ360="0",BJ360,0)</f>
        <v>0</v>
      </c>
      <c r="AI360" s="34" t="s">
        <v>116</v>
      </c>
      <c r="AJ360" s="55">
        <f>IF(AN360=0,I360,0)</f>
        <v>0</v>
      </c>
      <c r="AK360" s="55">
        <f>IF(AN360=12,I360,0)</f>
        <v>0</v>
      </c>
      <c r="AL360" s="55">
        <f>IF(AN360=21,I360,0)</f>
        <v>0</v>
      </c>
      <c r="AN360" s="55">
        <v>21</v>
      </c>
      <c r="AO360" s="55">
        <f>H360*0.722294591</f>
        <v>0</v>
      </c>
      <c r="AP360" s="55">
        <f>H360*(1-0.722294591)</f>
        <v>0</v>
      </c>
      <c r="AQ360" s="58" t="s">
        <v>120</v>
      </c>
      <c r="AV360" s="55">
        <f>AW360+AX360</f>
        <v>0</v>
      </c>
      <c r="AW360" s="55">
        <f>G360*AO360</f>
        <v>0</v>
      </c>
      <c r="AX360" s="55">
        <f>G360*AP360</f>
        <v>0</v>
      </c>
      <c r="AY360" s="58" t="s">
        <v>786</v>
      </c>
      <c r="AZ360" s="58" t="s">
        <v>787</v>
      </c>
      <c r="BA360" s="34" t="s">
        <v>128</v>
      </c>
      <c r="BB360" s="67">
        <v>100044</v>
      </c>
      <c r="BC360" s="55">
        <f>AW360+AX360</f>
        <v>0</v>
      </c>
      <c r="BD360" s="55">
        <f>H360/(100-BE360)*100</f>
        <v>0</v>
      </c>
      <c r="BE360" s="55">
        <v>0</v>
      </c>
      <c r="BF360" s="55">
        <f>K360</f>
        <v>0.6839111999999999</v>
      </c>
      <c r="BH360" s="55">
        <f>G360*AO360</f>
        <v>0</v>
      </c>
      <c r="BI360" s="55">
        <f>G360*AP360</f>
        <v>0</v>
      </c>
      <c r="BJ360" s="55">
        <f>G360*H360</f>
        <v>0</v>
      </c>
      <c r="BK360" s="55"/>
      <c r="BL360" s="55">
        <v>31</v>
      </c>
      <c r="BW360" s="55">
        <v>21</v>
      </c>
    </row>
    <row r="361" spans="1:12" ht="13.5" customHeight="1">
      <c r="A361" s="59"/>
      <c r="D361" s="218" t="s">
        <v>793</v>
      </c>
      <c r="E361" s="219"/>
      <c r="F361" s="219"/>
      <c r="G361" s="219"/>
      <c r="H361" s="220"/>
      <c r="I361" s="219"/>
      <c r="J361" s="219"/>
      <c r="K361" s="219"/>
      <c r="L361" s="221"/>
    </row>
    <row r="362" spans="1:12" ht="14.4">
      <c r="A362" s="59"/>
      <c r="D362" s="60" t="s">
        <v>794</v>
      </c>
      <c r="E362" s="60" t="s">
        <v>4</v>
      </c>
      <c r="G362" s="68">
        <v>0.42</v>
      </c>
      <c r="L362" s="69"/>
    </row>
    <row r="363" spans="1:75" ht="13.5" customHeight="1">
      <c r="A363" s="1" t="s">
        <v>795</v>
      </c>
      <c r="B363" s="2" t="s">
        <v>116</v>
      </c>
      <c r="C363" s="2" t="s">
        <v>796</v>
      </c>
      <c r="D363" s="147" t="s">
        <v>797</v>
      </c>
      <c r="E363" s="148"/>
      <c r="F363" s="2" t="s">
        <v>792</v>
      </c>
      <c r="G363" s="55">
        <v>1.05</v>
      </c>
      <c r="H363" s="56">
        <v>0</v>
      </c>
      <c r="I363" s="55">
        <f>G363*H363</f>
        <v>0</v>
      </c>
      <c r="J363" s="55">
        <v>2.09202</v>
      </c>
      <c r="K363" s="55">
        <f>G363*J363</f>
        <v>2.1966210000000004</v>
      </c>
      <c r="L363" s="57" t="s">
        <v>785</v>
      </c>
      <c r="Z363" s="55">
        <f>IF(AQ363="5",BJ363,0)</f>
        <v>0</v>
      </c>
      <c r="AB363" s="55">
        <f>IF(AQ363="1",BH363,0)</f>
        <v>0</v>
      </c>
      <c r="AC363" s="55">
        <f>IF(AQ363="1",BI363,0)</f>
        <v>0</v>
      </c>
      <c r="AD363" s="55">
        <f>IF(AQ363="7",BH363,0)</f>
        <v>0</v>
      </c>
      <c r="AE363" s="55">
        <f>IF(AQ363="7",BI363,0)</f>
        <v>0</v>
      </c>
      <c r="AF363" s="55">
        <f>IF(AQ363="2",BH363,0)</f>
        <v>0</v>
      </c>
      <c r="AG363" s="55">
        <f>IF(AQ363="2",BI363,0)</f>
        <v>0</v>
      </c>
      <c r="AH363" s="55">
        <f>IF(AQ363="0",BJ363,0)</f>
        <v>0</v>
      </c>
      <c r="AI363" s="34" t="s">
        <v>116</v>
      </c>
      <c r="AJ363" s="55">
        <f>IF(AN363=0,I363,0)</f>
        <v>0</v>
      </c>
      <c r="AK363" s="55">
        <f>IF(AN363=12,I363,0)</f>
        <v>0</v>
      </c>
      <c r="AL363" s="55">
        <f>IF(AN363=21,I363,0)</f>
        <v>0</v>
      </c>
      <c r="AN363" s="55">
        <v>21</v>
      </c>
      <c r="AO363" s="55">
        <f>H363*0.727527778</f>
        <v>0</v>
      </c>
      <c r="AP363" s="55">
        <f>H363*(1-0.727527778)</f>
        <v>0</v>
      </c>
      <c r="AQ363" s="58" t="s">
        <v>120</v>
      </c>
      <c r="AV363" s="55">
        <f>AW363+AX363</f>
        <v>0</v>
      </c>
      <c r="AW363" s="55">
        <f>G363*AO363</f>
        <v>0</v>
      </c>
      <c r="AX363" s="55">
        <f>G363*AP363</f>
        <v>0</v>
      </c>
      <c r="AY363" s="58" t="s">
        <v>786</v>
      </c>
      <c r="AZ363" s="58" t="s">
        <v>787</v>
      </c>
      <c r="BA363" s="34" t="s">
        <v>128</v>
      </c>
      <c r="BB363" s="67">
        <v>100044</v>
      </c>
      <c r="BC363" s="55">
        <f>AW363+AX363</f>
        <v>0</v>
      </c>
      <c r="BD363" s="55">
        <f>H363/(100-BE363)*100</f>
        <v>0</v>
      </c>
      <c r="BE363" s="55">
        <v>0</v>
      </c>
      <c r="BF363" s="55">
        <f>K363</f>
        <v>2.1966210000000004</v>
      </c>
      <c r="BH363" s="55">
        <f>G363*AO363</f>
        <v>0</v>
      </c>
      <c r="BI363" s="55">
        <f>G363*AP363</f>
        <v>0</v>
      </c>
      <c r="BJ363" s="55">
        <f>G363*H363</f>
        <v>0</v>
      </c>
      <c r="BK363" s="55"/>
      <c r="BL363" s="55">
        <v>31</v>
      </c>
      <c r="BW363" s="55">
        <v>21</v>
      </c>
    </row>
    <row r="364" spans="1:12" ht="14.4">
      <c r="A364" s="59"/>
      <c r="D364" s="60" t="s">
        <v>798</v>
      </c>
      <c r="E364" s="60" t="s">
        <v>799</v>
      </c>
      <c r="G364" s="68">
        <v>1.05</v>
      </c>
      <c r="L364" s="69"/>
    </row>
    <row r="365" spans="1:47" ht="14.4">
      <c r="A365" s="50" t="s">
        <v>4</v>
      </c>
      <c r="B365" s="51" t="s">
        <v>116</v>
      </c>
      <c r="C365" s="51" t="s">
        <v>223</v>
      </c>
      <c r="D365" s="222" t="s">
        <v>800</v>
      </c>
      <c r="E365" s="223"/>
      <c r="F365" s="52" t="s">
        <v>79</v>
      </c>
      <c r="G365" s="52" t="s">
        <v>79</v>
      </c>
      <c r="H365" s="53" t="s">
        <v>79</v>
      </c>
      <c r="I365" s="27">
        <f>SUM(I366:I366)</f>
        <v>0</v>
      </c>
      <c r="J365" s="34" t="s">
        <v>4</v>
      </c>
      <c r="K365" s="27">
        <f>SUM(K366:K366)</f>
        <v>0.7048734</v>
      </c>
      <c r="L365" s="54" t="s">
        <v>4</v>
      </c>
      <c r="AI365" s="34" t="s">
        <v>116</v>
      </c>
      <c r="AS365" s="27">
        <f>SUM(AJ366:AJ366)</f>
        <v>0</v>
      </c>
      <c r="AT365" s="27">
        <f>SUM(AK366:AK366)</f>
        <v>0</v>
      </c>
      <c r="AU365" s="27">
        <f>SUM(AL366:AL366)</f>
        <v>0</v>
      </c>
    </row>
    <row r="366" spans="1:75" ht="13.5" customHeight="1">
      <c r="A366" s="1" t="s">
        <v>801</v>
      </c>
      <c r="B366" s="2" t="s">
        <v>116</v>
      </c>
      <c r="C366" s="2" t="s">
        <v>802</v>
      </c>
      <c r="D366" s="147" t="s">
        <v>803</v>
      </c>
      <c r="E366" s="148"/>
      <c r="F366" s="2" t="s">
        <v>792</v>
      </c>
      <c r="G366" s="55">
        <v>0.33</v>
      </c>
      <c r="H366" s="56">
        <v>0</v>
      </c>
      <c r="I366" s="55">
        <f>G366*H366</f>
        <v>0</v>
      </c>
      <c r="J366" s="55">
        <v>2.13598</v>
      </c>
      <c r="K366" s="55">
        <f>G366*J366</f>
        <v>0.7048734</v>
      </c>
      <c r="L366" s="57" t="s">
        <v>785</v>
      </c>
      <c r="Z366" s="55">
        <f>IF(AQ366="5",BJ366,0)</f>
        <v>0</v>
      </c>
      <c r="AB366" s="55">
        <f>IF(AQ366="1",BH366,0)</f>
        <v>0</v>
      </c>
      <c r="AC366" s="55">
        <f>IF(AQ366="1",BI366,0)</f>
        <v>0</v>
      </c>
      <c r="AD366" s="55">
        <f>IF(AQ366="7",BH366,0)</f>
        <v>0</v>
      </c>
      <c r="AE366" s="55">
        <f>IF(AQ366="7",BI366,0)</f>
        <v>0</v>
      </c>
      <c r="AF366" s="55">
        <f>IF(AQ366="2",BH366,0)</f>
        <v>0</v>
      </c>
      <c r="AG366" s="55">
        <f>IF(AQ366="2",BI366,0)</f>
        <v>0</v>
      </c>
      <c r="AH366" s="55">
        <f>IF(AQ366="0",BJ366,0)</f>
        <v>0</v>
      </c>
      <c r="AI366" s="34" t="s">
        <v>116</v>
      </c>
      <c r="AJ366" s="55">
        <f>IF(AN366=0,I366,0)</f>
        <v>0</v>
      </c>
      <c r="AK366" s="55">
        <f>IF(AN366=12,I366,0)</f>
        <v>0</v>
      </c>
      <c r="AL366" s="55">
        <f>IF(AN366=21,I366,0)</f>
        <v>0</v>
      </c>
      <c r="AN366" s="55">
        <v>21</v>
      </c>
      <c r="AO366" s="55">
        <f>H366*0.675730736</f>
        <v>0</v>
      </c>
      <c r="AP366" s="55">
        <f>H366*(1-0.675730736)</f>
        <v>0</v>
      </c>
      <c r="AQ366" s="58" t="s">
        <v>120</v>
      </c>
      <c r="AV366" s="55">
        <f>AW366+AX366</f>
        <v>0</v>
      </c>
      <c r="AW366" s="55">
        <f>G366*AO366</f>
        <v>0</v>
      </c>
      <c r="AX366" s="55">
        <f>G366*AP366</f>
        <v>0</v>
      </c>
      <c r="AY366" s="58" t="s">
        <v>804</v>
      </c>
      <c r="AZ366" s="58" t="s">
        <v>787</v>
      </c>
      <c r="BA366" s="34" t="s">
        <v>128</v>
      </c>
      <c r="BB366" s="67">
        <v>100049</v>
      </c>
      <c r="BC366" s="55">
        <f>AW366+AX366</f>
        <v>0</v>
      </c>
      <c r="BD366" s="55">
        <f>H366/(100-BE366)*100</f>
        <v>0</v>
      </c>
      <c r="BE366" s="55">
        <v>0</v>
      </c>
      <c r="BF366" s="55">
        <f>K366</f>
        <v>0.7048734</v>
      </c>
      <c r="BH366" s="55">
        <f>G366*AO366</f>
        <v>0</v>
      </c>
      <c r="BI366" s="55">
        <f>G366*AP366</f>
        <v>0</v>
      </c>
      <c r="BJ366" s="55">
        <f>G366*H366</f>
        <v>0</v>
      </c>
      <c r="BK366" s="55"/>
      <c r="BL366" s="55">
        <v>33</v>
      </c>
      <c r="BW366" s="55">
        <v>21</v>
      </c>
    </row>
    <row r="367" spans="1:12" ht="14.4">
      <c r="A367" s="59"/>
      <c r="D367" s="60" t="s">
        <v>805</v>
      </c>
      <c r="E367" s="60" t="s">
        <v>806</v>
      </c>
      <c r="G367" s="68">
        <v>0.06</v>
      </c>
      <c r="L367" s="69"/>
    </row>
    <row r="368" spans="1:12" ht="14.4">
      <c r="A368" s="59"/>
      <c r="D368" s="60" t="s">
        <v>807</v>
      </c>
      <c r="E368" s="60" t="s">
        <v>808</v>
      </c>
      <c r="G368" s="68">
        <v>0.27</v>
      </c>
      <c r="L368" s="69"/>
    </row>
    <row r="369" spans="1:47" ht="14.4">
      <c r="A369" s="50" t="s">
        <v>4</v>
      </c>
      <c r="B369" s="51" t="s">
        <v>116</v>
      </c>
      <c r="C369" s="51" t="s">
        <v>226</v>
      </c>
      <c r="D369" s="222" t="s">
        <v>809</v>
      </c>
      <c r="E369" s="223"/>
      <c r="F369" s="52" t="s">
        <v>79</v>
      </c>
      <c r="G369" s="52" t="s">
        <v>79</v>
      </c>
      <c r="H369" s="53" t="s">
        <v>79</v>
      </c>
      <c r="I369" s="27">
        <f>SUM(I370:I437)</f>
        <v>0</v>
      </c>
      <c r="J369" s="34" t="s">
        <v>4</v>
      </c>
      <c r="K369" s="27">
        <f>SUM(K370:K437)</f>
        <v>32.4302842</v>
      </c>
      <c r="L369" s="54" t="s">
        <v>4</v>
      </c>
      <c r="AI369" s="34" t="s">
        <v>116</v>
      </c>
      <c r="AS369" s="27">
        <f>SUM(AJ370:AJ437)</f>
        <v>0</v>
      </c>
      <c r="AT369" s="27">
        <f>SUM(AK370:AK437)</f>
        <v>0</v>
      </c>
      <c r="AU369" s="27">
        <f>SUM(AL370:AL437)</f>
        <v>0</v>
      </c>
    </row>
    <row r="370" spans="1:75" ht="13.5" customHeight="1">
      <c r="A370" s="1" t="s">
        <v>810</v>
      </c>
      <c r="B370" s="2" t="s">
        <v>116</v>
      </c>
      <c r="C370" s="2" t="s">
        <v>811</v>
      </c>
      <c r="D370" s="147" t="s">
        <v>812</v>
      </c>
      <c r="E370" s="148"/>
      <c r="F370" s="2" t="s">
        <v>729</v>
      </c>
      <c r="G370" s="55">
        <v>13.8</v>
      </c>
      <c r="H370" s="56">
        <v>0</v>
      </c>
      <c r="I370" s="55">
        <f>G370*H370</f>
        <v>0</v>
      </c>
      <c r="J370" s="55">
        <v>0.03627</v>
      </c>
      <c r="K370" s="55">
        <f>G370*J370</f>
        <v>0.500526</v>
      </c>
      <c r="L370" s="57" t="s">
        <v>785</v>
      </c>
      <c r="Z370" s="55">
        <f>IF(AQ370="5",BJ370,0)</f>
        <v>0</v>
      </c>
      <c r="AB370" s="55">
        <f>IF(AQ370="1",BH370,0)</f>
        <v>0</v>
      </c>
      <c r="AC370" s="55">
        <f>IF(AQ370="1",BI370,0)</f>
        <v>0</v>
      </c>
      <c r="AD370" s="55">
        <f>IF(AQ370="7",BH370,0)</f>
        <v>0</v>
      </c>
      <c r="AE370" s="55">
        <f>IF(AQ370="7",BI370,0)</f>
        <v>0</v>
      </c>
      <c r="AF370" s="55">
        <f>IF(AQ370="2",BH370,0)</f>
        <v>0</v>
      </c>
      <c r="AG370" s="55">
        <f>IF(AQ370="2",BI370,0)</f>
        <v>0</v>
      </c>
      <c r="AH370" s="55">
        <f>IF(AQ370="0",BJ370,0)</f>
        <v>0</v>
      </c>
      <c r="AI370" s="34" t="s">
        <v>116</v>
      </c>
      <c r="AJ370" s="55">
        <f>IF(AN370=0,I370,0)</f>
        <v>0</v>
      </c>
      <c r="AK370" s="55">
        <f>IF(AN370=12,I370,0)</f>
        <v>0</v>
      </c>
      <c r="AL370" s="55">
        <f>IF(AN370=21,I370,0)</f>
        <v>0</v>
      </c>
      <c r="AN370" s="55">
        <v>21</v>
      </c>
      <c r="AO370" s="55">
        <f>H370*0.60623605</f>
        <v>0</v>
      </c>
      <c r="AP370" s="55">
        <f>H370*(1-0.60623605)</f>
        <v>0</v>
      </c>
      <c r="AQ370" s="58" t="s">
        <v>120</v>
      </c>
      <c r="AV370" s="55">
        <f>AW370+AX370</f>
        <v>0</v>
      </c>
      <c r="AW370" s="55">
        <f>G370*AO370</f>
        <v>0</v>
      </c>
      <c r="AX370" s="55">
        <f>G370*AP370</f>
        <v>0</v>
      </c>
      <c r="AY370" s="58" t="s">
        <v>813</v>
      </c>
      <c r="AZ370" s="58" t="s">
        <v>787</v>
      </c>
      <c r="BA370" s="34" t="s">
        <v>128</v>
      </c>
      <c r="BB370" s="67">
        <v>100002</v>
      </c>
      <c r="BC370" s="55">
        <f>AW370+AX370</f>
        <v>0</v>
      </c>
      <c r="BD370" s="55">
        <f>H370/(100-BE370)*100</f>
        <v>0</v>
      </c>
      <c r="BE370" s="55">
        <v>0</v>
      </c>
      <c r="BF370" s="55">
        <f>K370</f>
        <v>0.500526</v>
      </c>
      <c r="BH370" s="55">
        <f>G370*AO370</f>
        <v>0</v>
      </c>
      <c r="BI370" s="55">
        <f>G370*AP370</f>
        <v>0</v>
      </c>
      <c r="BJ370" s="55">
        <f>G370*H370</f>
        <v>0</v>
      </c>
      <c r="BK370" s="55"/>
      <c r="BL370" s="55">
        <v>34</v>
      </c>
      <c r="BW370" s="55">
        <v>21</v>
      </c>
    </row>
    <row r="371" spans="1:12" ht="13.5" customHeight="1">
      <c r="A371" s="59"/>
      <c r="D371" s="218" t="s">
        <v>814</v>
      </c>
      <c r="E371" s="219"/>
      <c r="F371" s="219"/>
      <c r="G371" s="219"/>
      <c r="H371" s="220"/>
      <c r="I371" s="219"/>
      <c r="J371" s="219"/>
      <c r="K371" s="219"/>
      <c r="L371" s="221"/>
    </row>
    <row r="372" spans="1:12" ht="14.4">
      <c r="A372" s="59"/>
      <c r="D372" s="60" t="s">
        <v>815</v>
      </c>
      <c r="E372" s="60" t="s">
        <v>816</v>
      </c>
      <c r="G372" s="68">
        <v>13.8</v>
      </c>
      <c r="L372" s="69"/>
    </row>
    <row r="373" spans="1:75" ht="13.5" customHeight="1">
      <c r="A373" s="1" t="s">
        <v>817</v>
      </c>
      <c r="B373" s="2" t="s">
        <v>116</v>
      </c>
      <c r="C373" s="2" t="s">
        <v>818</v>
      </c>
      <c r="D373" s="147" t="s">
        <v>819</v>
      </c>
      <c r="E373" s="148"/>
      <c r="F373" s="2" t="s">
        <v>729</v>
      </c>
      <c r="G373" s="55">
        <v>82.5</v>
      </c>
      <c r="H373" s="56">
        <v>0</v>
      </c>
      <c r="I373" s="55">
        <f>G373*H373</f>
        <v>0</v>
      </c>
      <c r="J373" s="55">
        <v>0.03713</v>
      </c>
      <c r="K373" s="55">
        <f>G373*J373</f>
        <v>3.063225</v>
      </c>
      <c r="L373" s="57" t="s">
        <v>785</v>
      </c>
      <c r="Z373" s="55">
        <f>IF(AQ373="5",BJ373,0)</f>
        <v>0</v>
      </c>
      <c r="AB373" s="55">
        <f>IF(AQ373="1",BH373,0)</f>
        <v>0</v>
      </c>
      <c r="AC373" s="55">
        <f>IF(AQ373="1",BI373,0)</f>
        <v>0</v>
      </c>
      <c r="AD373" s="55">
        <f>IF(AQ373="7",BH373,0)</f>
        <v>0</v>
      </c>
      <c r="AE373" s="55">
        <f>IF(AQ373="7",BI373,0)</f>
        <v>0</v>
      </c>
      <c r="AF373" s="55">
        <f>IF(AQ373="2",BH373,0)</f>
        <v>0</v>
      </c>
      <c r="AG373" s="55">
        <f>IF(AQ373="2",BI373,0)</f>
        <v>0</v>
      </c>
      <c r="AH373" s="55">
        <f>IF(AQ373="0",BJ373,0)</f>
        <v>0</v>
      </c>
      <c r="AI373" s="34" t="s">
        <v>116</v>
      </c>
      <c r="AJ373" s="55">
        <f>IF(AN373=0,I373,0)</f>
        <v>0</v>
      </c>
      <c r="AK373" s="55">
        <f>IF(AN373=12,I373,0)</f>
        <v>0</v>
      </c>
      <c r="AL373" s="55">
        <f>IF(AN373=21,I373,0)</f>
        <v>0</v>
      </c>
      <c r="AN373" s="55">
        <v>21</v>
      </c>
      <c r="AO373" s="55">
        <f>H373*0.642834208</f>
        <v>0</v>
      </c>
      <c r="AP373" s="55">
        <f>H373*(1-0.642834208)</f>
        <v>0</v>
      </c>
      <c r="AQ373" s="58" t="s">
        <v>120</v>
      </c>
      <c r="AV373" s="55">
        <f>AW373+AX373</f>
        <v>0</v>
      </c>
      <c r="AW373" s="55">
        <f>G373*AO373</f>
        <v>0</v>
      </c>
      <c r="AX373" s="55">
        <f>G373*AP373</f>
        <v>0</v>
      </c>
      <c r="AY373" s="58" t="s">
        <v>813</v>
      </c>
      <c r="AZ373" s="58" t="s">
        <v>787</v>
      </c>
      <c r="BA373" s="34" t="s">
        <v>128</v>
      </c>
      <c r="BB373" s="67">
        <v>100002</v>
      </c>
      <c r="BC373" s="55">
        <f>AW373+AX373</f>
        <v>0</v>
      </c>
      <c r="BD373" s="55">
        <f>H373/(100-BE373)*100</f>
        <v>0</v>
      </c>
      <c r="BE373" s="55">
        <v>0</v>
      </c>
      <c r="BF373" s="55">
        <f>K373</f>
        <v>3.063225</v>
      </c>
      <c r="BH373" s="55">
        <f>G373*AO373</f>
        <v>0</v>
      </c>
      <c r="BI373" s="55">
        <f>G373*AP373</f>
        <v>0</v>
      </c>
      <c r="BJ373" s="55">
        <f>G373*H373</f>
        <v>0</v>
      </c>
      <c r="BK373" s="55"/>
      <c r="BL373" s="55">
        <v>34</v>
      </c>
      <c r="BW373" s="55">
        <v>21</v>
      </c>
    </row>
    <row r="374" spans="1:12" ht="13.5" customHeight="1">
      <c r="A374" s="59"/>
      <c r="D374" s="218" t="s">
        <v>820</v>
      </c>
      <c r="E374" s="219"/>
      <c r="F374" s="219"/>
      <c r="G374" s="219"/>
      <c r="H374" s="220"/>
      <c r="I374" s="219"/>
      <c r="J374" s="219"/>
      <c r="K374" s="219"/>
      <c r="L374" s="221"/>
    </row>
    <row r="375" spans="1:12" ht="14.4">
      <c r="A375" s="59"/>
      <c r="D375" s="60" t="s">
        <v>821</v>
      </c>
      <c r="E375" s="60" t="s">
        <v>816</v>
      </c>
      <c r="G375" s="68">
        <v>82.5</v>
      </c>
      <c r="L375" s="69"/>
    </row>
    <row r="376" spans="1:75" ht="13.5" customHeight="1">
      <c r="A376" s="1" t="s">
        <v>822</v>
      </c>
      <c r="B376" s="2" t="s">
        <v>116</v>
      </c>
      <c r="C376" s="2" t="s">
        <v>823</v>
      </c>
      <c r="D376" s="147" t="s">
        <v>824</v>
      </c>
      <c r="E376" s="148"/>
      <c r="F376" s="2" t="s">
        <v>374</v>
      </c>
      <c r="G376" s="55">
        <v>2</v>
      </c>
      <c r="H376" s="56">
        <v>0</v>
      </c>
      <c r="I376" s="55">
        <f>G376*H376</f>
        <v>0</v>
      </c>
      <c r="J376" s="55">
        <v>0.00495</v>
      </c>
      <c r="K376" s="55">
        <f>G376*J376</f>
        <v>0.0099</v>
      </c>
      <c r="L376" s="57" t="s">
        <v>785</v>
      </c>
      <c r="Z376" s="55">
        <f>IF(AQ376="5",BJ376,0)</f>
        <v>0</v>
      </c>
      <c r="AB376" s="55">
        <f>IF(AQ376="1",BH376,0)</f>
        <v>0</v>
      </c>
      <c r="AC376" s="55">
        <f>IF(AQ376="1",BI376,0)</f>
        <v>0</v>
      </c>
      <c r="AD376" s="55">
        <f>IF(AQ376="7",BH376,0)</f>
        <v>0</v>
      </c>
      <c r="AE376" s="55">
        <f>IF(AQ376="7",BI376,0)</f>
        <v>0</v>
      </c>
      <c r="AF376" s="55">
        <f>IF(AQ376="2",BH376,0)</f>
        <v>0</v>
      </c>
      <c r="AG376" s="55">
        <f>IF(AQ376="2",BI376,0)</f>
        <v>0</v>
      </c>
      <c r="AH376" s="55">
        <f>IF(AQ376="0",BJ376,0)</f>
        <v>0</v>
      </c>
      <c r="AI376" s="34" t="s">
        <v>116</v>
      </c>
      <c r="AJ376" s="55">
        <f>IF(AN376=0,I376,0)</f>
        <v>0</v>
      </c>
      <c r="AK376" s="55">
        <f>IF(AN376=12,I376,0)</f>
        <v>0</v>
      </c>
      <c r="AL376" s="55">
        <f>IF(AN376=21,I376,0)</f>
        <v>0</v>
      </c>
      <c r="AN376" s="55">
        <v>21</v>
      </c>
      <c r="AO376" s="55">
        <f>H376*0.540410959</f>
        <v>0</v>
      </c>
      <c r="AP376" s="55">
        <f>H376*(1-0.540410959)</f>
        <v>0</v>
      </c>
      <c r="AQ376" s="58" t="s">
        <v>120</v>
      </c>
      <c r="AV376" s="55">
        <f>AW376+AX376</f>
        <v>0</v>
      </c>
      <c r="AW376" s="55">
        <f>G376*AO376</f>
        <v>0</v>
      </c>
      <c r="AX376" s="55">
        <f>G376*AP376</f>
        <v>0</v>
      </c>
      <c r="AY376" s="58" t="s">
        <v>813</v>
      </c>
      <c r="AZ376" s="58" t="s">
        <v>787</v>
      </c>
      <c r="BA376" s="34" t="s">
        <v>128</v>
      </c>
      <c r="BB376" s="67">
        <v>100002</v>
      </c>
      <c r="BC376" s="55">
        <f>AW376+AX376</f>
        <v>0</v>
      </c>
      <c r="BD376" s="55">
        <f>H376/(100-BE376)*100</f>
        <v>0</v>
      </c>
      <c r="BE376" s="55">
        <v>0</v>
      </c>
      <c r="BF376" s="55">
        <f>K376</f>
        <v>0.0099</v>
      </c>
      <c r="BH376" s="55">
        <f>G376*AO376</f>
        <v>0</v>
      </c>
      <c r="BI376" s="55">
        <f>G376*AP376</f>
        <v>0</v>
      </c>
      <c r="BJ376" s="55">
        <f>G376*H376</f>
        <v>0</v>
      </c>
      <c r="BK376" s="55"/>
      <c r="BL376" s="55">
        <v>34</v>
      </c>
      <c r="BW376" s="55">
        <v>21</v>
      </c>
    </row>
    <row r="377" spans="1:12" ht="14.4">
      <c r="A377" s="59"/>
      <c r="D377" s="60" t="s">
        <v>130</v>
      </c>
      <c r="E377" s="60" t="s">
        <v>4</v>
      </c>
      <c r="G377" s="68">
        <v>2</v>
      </c>
      <c r="L377" s="69"/>
    </row>
    <row r="378" spans="1:75" ht="13.5" customHeight="1">
      <c r="A378" s="1" t="s">
        <v>825</v>
      </c>
      <c r="B378" s="2" t="s">
        <v>116</v>
      </c>
      <c r="C378" s="2" t="s">
        <v>826</v>
      </c>
      <c r="D378" s="147" t="s">
        <v>827</v>
      </c>
      <c r="E378" s="148"/>
      <c r="F378" s="2" t="s">
        <v>374</v>
      </c>
      <c r="G378" s="55">
        <v>9</v>
      </c>
      <c r="H378" s="56">
        <v>0</v>
      </c>
      <c r="I378" s="55">
        <f>G378*H378</f>
        <v>0</v>
      </c>
      <c r="J378" s="55">
        <v>0.00569</v>
      </c>
      <c r="K378" s="55">
        <f>G378*J378</f>
        <v>0.05121</v>
      </c>
      <c r="L378" s="57" t="s">
        <v>785</v>
      </c>
      <c r="Z378" s="55">
        <f>IF(AQ378="5",BJ378,0)</f>
        <v>0</v>
      </c>
      <c r="AB378" s="55">
        <f>IF(AQ378="1",BH378,0)</f>
        <v>0</v>
      </c>
      <c r="AC378" s="55">
        <f>IF(AQ378="1",BI378,0)</f>
        <v>0</v>
      </c>
      <c r="AD378" s="55">
        <f>IF(AQ378="7",BH378,0)</f>
        <v>0</v>
      </c>
      <c r="AE378" s="55">
        <f>IF(AQ378="7",BI378,0)</f>
        <v>0</v>
      </c>
      <c r="AF378" s="55">
        <f>IF(AQ378="2",BH378,0)</f>
        <v>0</v>
      </c>
      <c r="AG378" s="55">
        <f>IF(AQ378="2",BI378,0)</f>
        <v>0</v>
      </c>
      <c r="AH378" s="55">
        <f>IF(AQ378="0",BJ378,0)</f>
        <v>0</v>
      </c>
      <c r="AI378" s="34" t="s">
        <v>116</v>
      </c>
      <c r="AJ378" s="55">
        <f>IF(AN378=0,I378,0)</f>
        <v>0</v>
      </c>
      <c r="AK378" s="55">
        <f>IF(AN378=12,I378,0)</f>
        <v>0</v>
      </c>
      <c r="AL378" s="55">
        <f>IF(AN378=21,I378,0)</f>
        <v>0</v>
      </c>
      <c r="AN378" s="55">
        <v>21</v>
      </c>
      <c r="AO378" s="55">
        <f>H378*0.58192475</f>
        <v>0</v>
      </c>
      <c r="AP378" s="55">
        <f>H378*(1-0.58192475)</f>
        <v>0</v>
      </c>
      <c r="AQ378" s="58" t="s">
        <v>120</v>
      </c>
      <c r="AV378" s="55">
        <f>AW378+AX378</f>
        <v>0</v>
      </c>
      <c r="AW378" s="55">
        <f>G378*AO378</f>
        <v>0</v>
      </c>
      <c r="AX378" s="55">
        <f>G378*AP378</f>
        <v>0</v>
      </c>
      <c r="AY378" s="58" t="s">
        <v>813</v>
      </c>
      <c r="AZ378" s="58" t="s">
        <v>787</v>
      </c>
      <c r="BA378" s="34" t="s">
        <v>128</v>
      </c>
      <c r="BB378" s="67">
        <v>100002</v>
      </c>
      <c r="BC378" s="55">
        <f>AW378+AX378</f>
        <v>0</v>
      </c>
      <c r="BD378" s="55">
        <f>H378/(100-BE378)*100</f>
        <v>0</v>
      </c>
      <c r="BE378" s="55">
        <v>0</v>
      </c>
      <c r="BF378" s="55">
        <f>K378</f>
        <v>0.05121</v>
      </c>
      <c r="BH378" s="55">
        <f>G378*AO378</f>
        <v>0</v>
      </c>
      <c r="BI378" s="55">
        <f>G378*AP378</f>
        <v>0</v>
      </c>
      <c r="BJ378" s="55">
        <f>G378*H378</f>
        <v>0</v>
      </c>
      <c r="BK378" s="55"/>
      <c r="BL378" s="55">
        <v>34</v>
      </c>
      <c r="BW378" s="55">
        <v>21</v>
      </c>
    </row>
    <row r="379" spans="1:12" ht="14.4">
      <c r="A379" s="59"/>
      <c r="D379" s="60" t="s">
        <v>150</v>
      </c>
      <c r="E379" s="60" t="s">
        <v>4</v>
      </c>
      <c r="G379" s="68">
        <v>9</v>
      </c>
      <c r="L379" s="69"/>
    </row>
    <row r="380" spans="1:75" ht="13.5" customHeight="1">
      <c r="A380" s="1" t="s">
        <v>828</v>
      </c>
      <c r="B380" s="2" t="s">
        <v>116</v>
      </c>
      <c r="C380" s="2" t="s">
        <v>829</v>
      </c>
      <c r="D380" s="147" t="s">
        <v>830</v>
      </c>
      <c r="E380" s="148"/>
      <c r="F380" s="2" t="s">
        <v>374</v>
      </c>
      <c r="G380" s="55">
        <v>12</v>
      </c>
      <c r="H380" s="56">
        <v>0</v>
      </c>
      <c r="I380" s="55">
        <f>G380*H380</f>
        <v>0</v>
      </c>
      <c r="J380" s="55">
        <v>0.00632</v>
      </c>
      <c r="K380" s="55">
        <f>G380*J380</f>
        <v>0.07584</v>
      </c>
      <c r="L380" s="57" t="s">
        <v>785</v>
      </c>
      <c r="Z380" s="55">
        <f>IF(AQ380="5",BJ380,0)</f>
        <v>0</v>
      </c>
      <c r="AB380" s="55">
        <f>IF(AQ380="1",BH380,0)</f>
        <v>0</v>
      </c>
      <c r="AC380" s="55">
        <f>IF(AQ380="1",BI380,0)</f>
        <v>0</v>
      </c>
      <c r="AD380" s="55">
        <f>IF(AQ380="7",BH380,0)</f>
        <v>0</v>
      </c>
      <c r="AE380" s="55">
        <f>IF(AQ380="7",BI380,0)</f>
        <v>0</v>
      </c>
      <c r="AF380" s="55">
        <f>IF(AQ380="2",BH380,0)</f>
        <v>0</v>
      </c>
      <c r="AG380" s="55">
        <f>IF(AQ380="2",BI380,0)</f>
        <v>0</v>
      </c>
      <c r="AH380" s="55">
        <f>IF(AQ380="0",BJ380,0)</f>
        <v>0</v>
      </c>
      <c r="AI380" s="34" t="s">
        <v>116</v>
      </c>
      <c r="AJ380" s="55">
        <f>IF(AN380=0,I380,0)</f>
        <v>0</v>
      </c>
      <c r="AK380" s="55">
        <f>IF(AN380=12,I380,0)</f>
        <v>0</v>
      </c>
      <c r="AL380" s="55">
        <f>IF(AN380=21,I380,0)</f>
        <v>0</v>
      </c>
      <c r="AN380" s="55">
        <v>21</v>
      </c>
      <c r="AO380" s="55">
        <f>H380*0.516738411</f>
        <v>0</v>
      </c>
      <c r="AP380" s="55">
        <f>H380*(1-0.516738411)</f>
        <v>0</v>
      </c>
      <c r="AQ380" s="58" t="s">
        <v>120</v>
      </c>
      <c r="AV380" s="55">
        <f>AW380+AX380</f>
        <v>0</v>
      </c>
      <c r="AW380" s="55">
        <f>G380*AO380</f>
        <v>0</v>
      </c>
      <c r="AX380" s="55">
        <f>G380*AP380</f>
        <v>0</v>
      </c>
      <c r="AY380" s="58" t="s">
        <v>813</v>
      </c>
      <c r="AZ380" s="58" t="s">
        <v>787</v>
      </c>
      <c r="BA380" s="34" t="s">
        <v>128</v>
      </c>
      <c r="BB380" s="67">
        <v>100002</v>
      </c>
      <c r="BC380" s="55">
        <f>AW380+AX380</f>
        <v>0</v>
      </c>
      <c r="BD380" s="55">
        <f>H380/(100-BE380)*100</f>
        <v>0</v>
      </c>
      <c r="BE380" s="55">
        <v>0</v>
      </c>
      <c r="BF380" s="55">
        <f>K380</f>
        <v>0.07584</v>
      </c>
      <c r="BH380" s="55">
        <f>G380*AO380</f>
        <v>0</v>
      </c>
      <c r="BI380" s="55">
        <f>G380*AP380</f>
        <v>0</v>
      </c>
      <c r="BJ380" s="55">
        <f>G380*H380</f>
        <v>0</v>
      </c>
      <c r="BK380" s="55"/>
      <c r="BL380" s="55">
        <v>34</v>
      </c>
      <c r="BW380" s="55">
        <v>21</v>
      </c>
    </row>
    <row r="381" spans="1:12" ht="14.4">
      <c r="A381" s="59"/>
      <c r="D381" s="60" t="s">
        <v>159</v>
      </c>
      <c r="E381" s="60" t="s">
        <v>4</v>
      </c>
      <c r="G381" s="68">
        <v>12</v>
      </c>
      <c r="L381" s="69"/>
    </row>
    <row r="382" spans="1:75" ht="13.5" customHeight="1">
      <c r="A382" s="1" t="s">
        <v>831</v>
      </c>
      <c r="B382" s="2" t="s">
        <v>116</v>
      </c>
      <c r="C382" s="2" t="s">
        <v>832</v>
      </c>
      <c r="D382" s="147" t="s">
        <v>833</v>
      </c>
      <c r="E382" s="148"/>
      <c r="F382" s="2" t="s">
        <v>374</v>
      </c>
      <c r="G382" s="55">
        <v>2</v>
      </c>
      <c r="H382" s="56">
        <v>0</v>
      </c>
      <c r="I382" s="55">
        <f>G382*H382</f>
        <v>0</v>
      </c>
      <c r="J382" s="55">
        <v>0.0298</v>
      </c>
      <c r="K382" s="55">
        <f>G382*J382</f>
        <v>0.0596</v>
      </c>
      <c r="L382" s="57" t="s">
        <v>785</v>
      </c>
      <c r="Z382" s="55">
        <f>IF(AQ382="5",BJ382,0)</f>
        <v>0</v>
      </c>
      <c r="AB382" s="55">
        <f>IF(AQ382="1",BH382,0)</f>
        <v>0</v>
      </c>
      <c r="AC382" s="55">
        <f>IF(AQ382="1",BI382,0)</f>
        <v>0</v>
      </c>
      <c r="AD382" s="55">
        <f>IF(AQ382="7",BH382,0)</f>
        <v>0</v>
      </c>
      <c r="AE382" s="55">
        <f>IF(AQ382="7",BI382,0)</f>
        <v>0</v>
      </c>
      <c r="AF382" s="55">
        <f>IF(AQ382="2",BH382,0)</f>
        <v>0</v>
      </c>
      <c r="AG382" s="55">
        <f>IF(AQ382="2",BI382,0)</f>
        <v>0</v>
      </c>
      <c r="AH382" s="55">
        <f>IF(AQ382="0",BJ382,0)</f>
        <v>0</v>
      </c>
      <c r="AI382" s="34" t="s">
        <v>116</v>
      </c>
      <c r="AJ382" s="55">
        <f>IF(AN382=0,I382,0)</f>
        <v>0</v>
      </c>
      <c r="AK382" s="55">
        <f>IF(AN382=12,I382,0)</f>
        <v>0</v>
      </c>
      <c r="AL382" s="55">
        <f>IF(AN382=21,I382,0)</f>
        <v>0</v>
      </c>
      <c r="AN382" s="55">
        <v>21</v>
      </c>
      <c r="AO382" s="55">
        <f>H382*0.761762786</f>
        <v>0</v>
      </c>
      <c r="AP382" s="55">
        <f>H382*(1-0.761762786)</f>
        <v>0</v>
      </c>
      <c r="AQ382" s="58" t="s">
        <v>120</v>
      </c>
      <c r="AV382" s="55">
        <f>AW382+AX382</f>
        <v>0</v>
      </c>
      <c r="AW382" s="55">
        <f>G382*AO382</f>
        <v>0</v>
      </c>
      <c r="AX382" s="55">
        <f>G382*AP382</f>
        <v>0</v>
      </c>
      <c r="AY382" s="58" t="s">
        <v>813</v>
      </c>
      <c r="AZ382" s="58" t="s">
        <v>787</v>
      </c>
      <c r="BA382" s="34" t="s">
        <v>128</v>
      </c>
      <c r="BB382" s="67">
        <v>100002</v>
      </c>
      <c r="BC382" s="55">
        <f>AW382+AX382</f>
        <v>0</v>
      </c>
      <c r="BD382" s="55">
        <f>H382/(100-BE382)*100</f>
        <v>0</v>
      </c>
      <c r="BE382" s="55">
        <v>0</v>
      </c>
      <c r="BF382" s="55">
        <f>K382</f>
        <v>0.0596</v>
      </c>
      <c r="BH382" s="55">
        <f>G382*AO382</f>
        <v>0</v>
      </c>
      <c r="BI382" s="55">
        <f>G382*AP382</f>
        <v>0</v>
      </c>
      <c r="BJ382" s="55">
        <f>G382*H382</f>
        <v>0</v>
      </c>
      <c r="BK382" s="55"/>
      <c r="BL382" s="55">
        <v>34</v>
      </c>
      <c r="BW382" s="55">
        <v>21</v>
      </c>
    </row>
    <row r="383" spans="1:12" ht="14.4">
      <c r="A383" s="59"/>
      <c r="D383" s="60" t="s">
        <v>120</v>
      </c>
      <c r="E383" s="60" t="s">
        <v>834</v>
      </c>
      <c r="G383" s="68">
        <v>1</v>
      </c>
      <c r="L383" s="69"/>
    </row>
    <row r="384" spans="1:12" ht="14.4">
      <c r="A384" s="59"/>
      <c r="D384" s="60" t="s">
        <v>120</v>
      </c>
      <c r="E384" s="60" t="s">
        <v>835</v>
      </c>
      <c r="G384" s="68">
        <v>1</v>
      </c>
      <c r="L384" s="69"/>
    </row>
    <row r="385" spans="1:75" ht="13.5" customHeight="1">
      <c r="A385" s="1" t="s">
        <v>836</v>
      </c>
      <c r="B385" s="2" t="s">
        <v>116</v>
      </c>
      <c r="C385" s="2" t="s">
        <v>837</v>
      </c>
      <c r="D385" s="147" t="s">
        <v>838</v>
      </c>
      <c r="E385" s="148"/>
      <c r="F385" s="2" t="s">
        <v>729</v>
      </c>
      <c r="G385" s="55">
        <v>254.9</v>
      </c>
      <c r="H385" s="56">
        <v>0</v>
      </c>
      <c r="I385" s="55">
        <f>G385*H385</f>
        <v>0</v>
      </c>
      <c r="J385" s="55">
        <v>0.05174</v>
      </c>
      <c r="K385" s="55">
        <f>G385*J385</f>
        <v>13.188526000000001</v>
      </c>
      <c r="L385" s="57" t="s">
        <v>124</v>
      </c>
      <c r="Z385" s="55">
        <f>IF(AQ385="5",BJ385,0)</f>
        <v>0</v>
      </c>
      <c r="AB385" s="55">
        <f>IF(AQ385="1",BH385,0)</f>
        <v>0</v>
      </c>
      <c r="AC385" s="55">
        <f>IF(AQ385="1",BI385,0)</f>
        <v>0</v>
      </c>
      <c r="AD385" s="55">
        <f>IF(AQ385="7",BH385,0)</f>
        <v>0</v>
      </c>
      <c r="AE385" s="55">
        <f>IF(AQ385="7",BI385,0)</f>
        <v>0</v>
      </c>
      <c r="AF385" s="55">
        <f>IF(AQ385="2",BH385,0)</f>
        <v>0</v>
      </c>
      <c r="AG385" s="55">
        <f>IF(AQ385="2",BI385,0)</f>
        <v>0</v>
      </c>
      <c r="AH385" s="55">
        <f>IF(AQ385="0",BJ385,0)</f>
        <v>0</v>
      </c>
      <c r="AI385" s="34" t="s">
        <v>116</v>
      </c>
      <c r="AJ385" s="55">
        <f>IF(AN385=0,I385,0)</f>
        <v>0</v>
      </c>
      <c r="AK385" s="55">
        <f>IF(AN385=12,I385,0)</f>
        <v>0</v>
      </c>
      <c r="AL385" s="55">
        <f>IF(AN385=21,I385,0)</f>
        <v>0</v>
      </c>
      <c r="AN385" s="55">
        <v>21</v>
      </c>
      <c r="AO385" s="55">
        <f>H385*0.658284444</f>
        <v>0</v>
      </c>
      <c r="AP385" s="55">
        <f>H385*(1-0.658284444)</f>
        <v>0</v>
      </c>
      <c r="AQ385" s="58" t="s">
        <v>120</v>
      </c>
      <c r="AV385" s="55">
        <f>AW385+AX385</f>
        <v>0</v>
      </c>
      <c r="AW385" s="55">
        <f>G385*AO385</f>
        <v>0</v>
      </c>
      <c r="AX385" s="55">
        <f>G385*AP385</f>
        <v>0</v>
      </c>
      <c r="AY385" s="58" t="s">
        <v>813</v>
      </c>
      <c r="AZ385" s="58" t="s">
        <v>787</v>
      </c>
      <c r="BA385" s="34" t="s">
        <v>128</v>
      </c>
      <c r="BB385" s="67">
        <v>100002</v>
      </c>
      <c r="BC385" s="55">
        <f>AW385+AX385</f>
        <v>0</v>
      </c>
      <c r="BD385" s="55">
        <f>H385/(100-BE385)*100</f>
        <v>0</v>
      </c>
      <c r="BE385" s="55">
        <v>0</v>
      </c>
      <c r="BF385" s="55">
        <f>K385</f>
        <v>13.188526000000001</v>
      </c>
      <c r="BH385" s="55">
        <f>G385*AO385</f>
        <v>0</v>
      </c>
      <c r="BI385" s="55">
        <f>G385*AP385</f>
        <v>0</v>
      </c>
      <c r="BJ385" s="55">
        <f>G385*H385</f>
        <v>0</v>
      </c>
      <c r="BK385" s="55"/>
      <c r="BL385" s="55">
        <v>34</v>
      </c>
      <c r="BW385" s="55">
        <v>21</v>
      </c>
    </row>
    <row r="386" spans="1:12" ht="13.5" customHeight="1">
      <c r="A386" s="59"/>
      <c r="D386" s="218" t="s">
        <v>839</v>
      </c>
      <c r="E386" s="219"/>
      <c r="F386" s="219"/>
      <c r="G386" s="219"/>
      <c r="H386" s="220"/>
      <c r="I386" s="219"/>
      <c r="J386" s="219"/>
      <c r="K386" s="219"/>
      <c r="L386" s="221"/>
    </row>
    <row r="387" spans="1:12" ht="14.4">
      <c r="A387" s="59"/>
      <c r="D387" s="60" t="s">
        <v>840</v>
      </c>
      <c r="E387" s="60" t="s">
        <v>816</v>
      </c>
      <c r="G387" s="68">
        <v>254.9</v>
      </c>
      <c r="L387" s="69"/>
    </row>
    <row r="388" spans="1:75" ht="13.5" customHeight="1">
      <c r="A388" s="1" t="s">
        <v>841</v>
      </c>
      <c r="B388" s="2" t="s">
        <v>116</v>
      </c>
      <c r="C388" s="2" t="s">
        <v>842</v>
      </c>
      <c r="D388" s="147" t="s">
        <v>843</v>
      </c>
      <c r="E388" s="148"/>
      <c r="F388" s="2" t="s">
        <v>729</v>
      </c>
      <c r="G388" s="55">
        <v>4</v>
      </c>
      <c r="H388" s="56">
        <v>0</v>
      </c>
      <c r="I388" s="55">
        <f>G388*H388</f>
        <v>0</v>
      </c>
      <c r="J388" s="55">
        <v>0.05508</v>
      </c>
      <c r="K388" s="55">
        <f>G388*J388</f>
        <v>0.22032</v>
      </c>
      <c r="L388" s="57" t="s">
        <v>785</v>
      </c>
      <c r="Z388" s="55">
        <f>IF(AQ388="5",BJ388,0)</f>
        <v>0</v>
      </c>
      <c r="AB388" s="55">
        <f>IF(AQ388="1",BH388,0)</f>
        <v>0</v>
      </c>
      <c r="AC388" s="55">
        <f>IF(AQ388="1",BI388,0)</f>
        <v>0</v>
      </c>
      <c r="AD388" s="55">
        <f>IF(AQ388="7",BH388,0)</f>
        <v>0</v>
      </c>
      <c r="AE388" s="55">
        <f>IF(AQ388="7",BI388,0)</f>
        <v>0</v>
      </c>
      <c r="AF388" s="55">
        <f>IF(AQ388="2",BH388,0)</f>
        <v>0</v>
      </c>
      <c r="AG388" s="55">
        <f>IF(AQ388="2",BI388,0)</f>
        <v>0</v>
      </c>
      <c r="AH388" s="55">
        <f>IF(AQ388="0",BJ388,0)</f>
        <v>0</v>
      </c>
      <c r="AI388" s="34" t="s">
        <v>116</v>
      </c>
      <c r="AJ388" s="55">
        <f>IF(AN388=0,I388,0)</f>
        <v>0</v>
      </c>
      <c r="AK388" s="55">
        <f>IF(AN388=12,I388,0)</f>
        <v>0</v>
      </c>
      <c r="AL388" s="55">
        <f>IF(AN388=21,I388,0)</f>
        <v>0</v>
      </c>
      <c r="AN388" s="55">
        <v>21</v>
      </c>
      <c r="AO388" s="55">
        <f>H388*0.623104317</f>
        <v>0</v>
      </c>
      <c r="AP388" s="55">
        <f>H388*(1-0.623104317)</f>
        <v>0</v>
      </c>
      <c r="AQ388" s="58" t="s">
        <v>120</v>
      </c>
      <c r="AV388" s="55">
        <f>AW388+AX388</f>
        <v>0</v>
      </c>
      <c r="AW388" s="55">
        <f>G388*AO388</f>
        <v>0</v>
      </c>
      <c r="AX388" s="55">
        <f>G388*AP388</f>
        <v>0</v>
      </c>
      <c r="AY388" s="58" t="s">
        <v>813</v>
      </c>
      <c r="AZ388" s="58" t="s">
        <v>787</v>
      </c>
      <c r="BA388" s="34" t="s">
        <v>128</v>
      </c>
      <c r="BC388" s="55">
        <f>AW388+AX388</f>
        <v>0</v>
      </c>
      <c r="BD388" s="55">
        <f>H388/(100-BE388)*100</f>
        <v>0</v>
      </c>
      <c r="BE388" s="55">
        <v>0</v>
      </c>
      <c r="BF388" s="55">
        <f>K388</f>
        <v>0.22032</v>
      </c>
      <c r="BH388" s="55">
        <f>G388*AO388</f>
        <v>0</v>
      </c>
      <c r="BI388" s="55">
        <f>G388*AP388</f>
        <v>0</v>
      </c>
      <c r="BJ388" s="55">
        <f>G388*H388</f>
        <v>0</v>
      </c>
      <c r="BK388" s="55"/>
      <c r="BL388" s="55">
        <v>34</v>
      </c>
      <c r="BW388" s="55">
        <v>21</v>
      </c>
    </row>
    <row r="389" spans="1:12" ht="13.5" customHeight="1">
      <c r="A389" s="59"/>
      <c r="D389" s="218" t="s">
        <v>844</v>
      </c>
      <c r="E389" s="219"/>
      <c r="F389" s="219"/>
      <c r="G389" s="219"/>
      <c r="H389" s="220"/>
      <c r="I389" s="219"/>
      <c r="J389" s="219"/>
      <c r="K389" s="219"/>
      <c r="L389" s="221"/>
    </row>
    <row r="390" spans="1:12" ht="14.4">
      <c r="A390" s="59"/>
      <c r="D390" s="60" t="s">
        <v>136</v>
      </c>
      <c r="E390" s="60" t="s">
        <v>816</v>
      </c>
      <c r="G390" s="68">
        <v>4</v>
      </c>
      <c r="L390" s="69"/>
    </row>
    <row r="391" spans="1:75" ht="13.5" customHeight="1">
      <c r="A391" s="1" t="s">
        <v>845</v>
      </c>
      <c r="B391" s="2" t="s">
        <v>116</v>
      </c>
      <c r="C391" s="2" t="s">
        <v>846</v>
      </c>
      <c r="D391" s="147" t="s">
        <v>847</v>
      </c>
      <c r="E391" s="148"/>
      <c r="F391" s="2" t="s">
        <v>729</v>
      </c>
      <c r="G391" s="55">
        <v>3.54</v>
      </c>
      <c r="H391" s="56">
        <v>0</v>
      </c>
      <c r="I391" s="55">
        <f>G391*H391</f>
        <v>0</v>
      </c>
      <c r="J391" s="55">
        <v>0.05713</v>
      </c>
      <c r="K391" s="55">
        <f>G391*J391</f>
        <v>0.2022402</v>
      </c>
      <c r="L391" s="57" t="s">
        <v>785</v>
      </c>
      <c r="Z391" s="55">
        <f>IF(AQ391="5",BJ391,0)</f>
        <v>0</v>
      </c>
      <c r="AB391" s="55">
        <f>IF(AQ391="1",BH391,0)</f>
        <v>0</v>
      </c>
      <c r="AC391" s="55">
        <f>IF(AQ391="1",BI391,0)</f>
        <v>0</v>
      </c>
      <c r="AD391" s="55">
        <f>IF(AQ391="7",BH391,0)</f>
        <v>0</v>
      </c>
      <c r="AE391" s="55">
        <f>IF(AQ391="7",BI391,0)</f>
        <v>0</v>
      </c>
      <c r="AF391" s="55">
        <f>IF(AQ391="2",BH391,0)</f>
        <v>0</v>
      </c>
      <c r="AG391" s="55">
        <f>IF(AQ391="2",BI391,0)</f>
        <v>0</v>
      </c>
      <c r="AH391" s="55">
        <f>IF(AQ391="0",BJ391,0)</f>
        <v>0</v>
      </c>
      <c r="AI391" s="34" t="s">
        <v>116</v>
      </c>
      <c r="AJ391" s="55">
        <f>IF(AN391=0,I391,0)</f>
        <v>0</v>
      </c>
      <c r="AK391" s="55">
        <f>IF(AN391=12,I391,0)</f>
        <v>0</v>
      </c>
      <c r="AL391" s="55">
        <f>IF(AN391=21,I391,0)</f>
        <v>0</v>
      </c>
      <c r="AN391" s="55">
        <v>21</v>
      </c>
      <c r="AO391" s="55">
        <f>H391*0.636742574</f>
        <v>0</v>
      </c>
      <c r="AP391" s="55">
        <f>H391*(1-0.636742574)</f>
        <v>0</v>
      </c>
      <c r="AQ391" s="58" t="s">
        <v>120</v>
      </c>
      <c r="AV391" s="55">
        <f>AW391+AX391</f>
        <v>0</v>
      </c>
      <c r="AW391" s="55">
        <f>G391*AO391</f>
        <v>0</v>
      </c>
      <c r="AX391" s="55">
        <f>G391*AP391</f>
        <v>0</v>
      </c>
      <c r="AY391" s="58" t="s">
        <v>813</v>
      </c>
      <c r="AZ391" s="58" t="s">
        <v>787</v>
      </c>
      <c r="BA391" s="34" t="s">
        <v>128</v>
      </c>
      <c r="BC391" s="55">
        <f>AW391+AX391</f>
        <v>0</v>
      </c>
      <c r="BD391" s="55">
        <f>H391/(100-BE391)*100</f>
        <v>0</v>
      </c>
      <c r="BE391" s="55">
        <v>0</v>
      </c>
      <c r="BF391" s="55">
        <f>K391</f>
        <v>0.2022402</v>
      </c>
      <c r="BH391" s="55">
        <f>G391*AO391</f>
        <v>0</v>
      </c>
      <c r="BI391" s="55">
        <f>G391*AP391</f>
        <v>0</v>
      </c>
      <c r="BJ391" s="55">
        <f>G391*H391</f>
        <v>0</v>
      </c>
      <c r="BK391" s="55"/>
      <c r="BL391" s="55">
        <v>34</v>
      </c>
      <c r="BW391" s="55">
        <v>21</v>
      </c>
    </row>
    <row r="392" spans="1:12" ht="13.5" customHeight="1">
      <c r="A392" s="59"/>
      <c r="D392" s="218" t="s">
        <v>848</v>
      </c>
      <c r="E392" s="219"/>
      <c r="F392" s="219"/>
      <c r="G392" s="219"/>
      <c r="H392" s="220"/>
      <c r="I392" s="219"/>
      <c r="J392" s="219"/>
      <c r="K392" s="219"/>
      <c r="L392" s="221"/>
    </row>
    <row r="393" spans="1:12" ht="14.4">
      <c r="A393" s="59"/>
      <c r="D393" s="60" t="s">
        <v>849</v>
      </c>
      <c r="E393" s="60" t="s">
        <v>816</v>
      </c>
      <c r="G393" s="68">
        <v>3.54</v>
      </c>
      <c r="L393" s="69"/>
    </row>
    <row r="394" spans="1:75" ht="13.5" customHeight="1">
      <c r="A394" s="1" t="s">
        <v>850</v>
      </c>
      <c r="B394" s="2" t="s">
        <v>116</v>
      </c>
      <c r="C394" s="2" t="s">
        <v>846</v>
      </c>
      <c r="D394" s="147" t="s">
        <v>851</v>
      </c>
      <c r="E394" s="148"/>
      <c r="F394" s="2" t="s">
        <v>729</v>
      </c>
      <c r="G394" s="55">
        <v>53</v>
      </c>
      <c r="H394" s="56">
        <v>0</v>
      </c>
      <c r="I394" s="55">
        <f>G394*H394</f>
        <v>0</v>
      </c>
      <c r="J394" s="55">
        <v>0.05713</v>
      </c>
      <c r="K394" s="55">
        <f>G394*J394</f>
        <v>3.02789</v>
      </c>
      <c r="L394" s="57" t="s">
        <v>785</v>
      </c>
      <c r="Z394" s="55">
        <f>IF(AQ394="5",BJ394,0)</f>
        <v>0</v>
      </c>
      <c r="AB394" s="55">
        <f>IF(AQ394="1",BH394,0)</f>
        <v>0</v>
      </c>
      <c r="AC394" s="55">
        <f>IF(AQ394="1",BI394,0)</f>
        <v>0</v>
      </c>
      <c r="AD394" s="55">
        <f>IF(AQ394="7",BH394,0)</f>
        <v>0</v>
      </c>
      <c r="AE394" s="55">
        <f>IF(AQ394="7",BI394,0)</f>
        <v>0</v>
      </c>
      <c r="AF394" s="55">
        <f>IF(AQ394="2",BH394,0)</f>
        <v>0</v>
      </c>
      <c r="AG394" s="55">
        <f>IF(AQ394="2",BI394,0)</f>
        <v>0</v>
      </c>
      <c r="AH394" s="55">
        <f>IF(AQ394="0",BJ394,0)</f>
        <v>0</v>
      </c>
      <c r="AI394" s="34" t="s">
        <v>116</v>
      </c>
      <c r="AJ394" s="55">
        <f>IF(AN394=0,I394,0)</f>
        <v>0</v>
      </c>
      <c r="AK394" s="55">
        <f>IF(AN394=12,I394,0)</f>
        <v>0</v>
      </c>
      <c r="AL394" s="55">
        <f>IF(AN394=21,I394,0)</f>
        <v>0</v>
      </c>
      <c r="AN394" s="55">
        <v>21</v>
      </c>
      <c r="AO394" s="55">
        <f>H394*0.636740592</f>
        <v>0</v>
      </c>
      <c r="AP394" s="55">
        <f>H394*(1-0.636740592)</f>
        <v>0</v>
      </c>
      <c r="AQ394" s="58" t="s">
        <v>120</v>
      </c>
      <c r="AV394" s="55">
        <f>AW394+AX394</f>
        <v>0</v>
      </c>
      <c r="AW394" s="55">
        <f>G394*AO394</f>
        <v>0</v>
      </c>
      <c r="AX394" s="55">
        <f>G394*AP394</f>
        <v>0</v>
      </c>
      <c r="AY394" s="58" t="s">
        <v>813</v>
      </c>
      <c r="AZ394" s="58" t="s">
        <v>787</v>
      </c>
      <c r="BA394" s="34" t="s">
        <v>128</v>
      </c>
      <c r="BB394" s="67">
        <v>100002</v>
      </c>
      <c r="BC394" s="55">
        <f>AW394+AX394</f>
        <v>0</v>
      </c>
      <c r="BD394" s="55">
        <f>H394/(100-BE394)*100</f>
        <v>0</v>
      </c>
      <c r="BE394" s="55">
        <v>0</v>
      </c>
      <c r="BF394" s="55">
        <f>K394</f>
        <v>3.02789</v>
      </c>
      <c r="BH394" s="55">
        <f>G394*AO394</f>
        <v>0</v>
      </c>
      <c r="BI394" s="55">
        <f>G394*AP394</f>
        <v>0</v>
      </c>
      <c r="BJ394" s="55">
        <f>G394*H394</f>
        <v>0</v>
      </c>
      <c r="BK394" s="55"/>
      <c r="BL394" s="55">
        <v>34</v>
      </c>
      <c r="BW394" s="55">
        <v>21</v>
      </c>
    </row>
    <row r="395" spans="1:12" ht="13.5" customHeight="1">
      <c r="A395" s="59"/>
      <c r="D395" s="218" t="s">
        <v>848</v>
      </c>
      <c r="E395" s="219"/>
      <c r="F395" s="219"/>
      <c r="G395" s="219"/>
      <c r="H395" s="220"/>
      <c r="I395" s="219"/>
      <c r="J395" s="219"/>
      <c r="K395" s="219"/>
      <c r="L395" s="221"/>
    </row>
    <row r="396" spans="1:12" ht="14.4">
      <c r="A396" s="59"/>
      <c r="D396" s="60" t="s">
        <v>289</v>
      </c>
      <c r="E396" s="60" t="s">
        <v>816</v>
      </c>
      <c r="G396" s="68">
        <v>53</v>
      </c>
      <c r="L396" s="69"/>
    </row>
    <row r="397" spans="1:75" ht="27" customHeight="1">
      <c r="A397" s="1" t="s">
        <v>852</v>
      </c>
      <c r="B397" s="2" t="s">
        <v>116</v>
      </c>
      <c r="C397" s="2" t="s">
        <v>853</v>
      </c>
      <c r="D397" s="147" t="s">
        <v>854</v>
      </c>
      <c r="E397" s="148"/>
      <c r="F397" s="2" t="s">
        <v>729</v>
      </c>
      <c r="G397" s="55">
        <v>315.44</v>
      </c>
      <c r="H397" s="56">
        <v>0</v>
      </c>
      <c r="I397" s="55">
        <f>G397*H397</f>
        <v>0</v>
      </c>
      <c r="J397" s="55">
        <v>0.0078</v>
      </c>
      <c r="K397" s="55">
        <f>G397*J397</f>
        <v>2.460432</v>
      </c>
      <c r="L397" s="57" t="s">
        <v>785</v>
      </c>
      <c r="Z397" s="55">
        <f>IF(AQ397="5",BJ397,0)</f>
        <v>0</v>
      </c>
      <c r="AB397" s="55">
        <f>IF(AQ397="1",BH397,0)</f>
        <v>0</v>
      </c>
      <c r="AC397" s="55">
        <f>IF(AQ397="1",BI397,0)</f>
        <v>0</v>
      </c>
      <c r="AD397" s="55">
        <f>IF(AQ397="7",BH397,0)</f>
        <v>0</v>
      </c>
      <c r="AE397" s="55">
        <f>IF(AQ397="7",BI397,0)</f>
        <v>0</v>
      </c>
      <c r="AF397" s="55">
        <f>IF(AQ397="2",BH397,0)</f>
        <v>0</v>
      </c>
      <c r="AG397" s="55">
        <f>IF(AQ397="2",BI397,0)</f>
        <v>0</v>
      </c>
      <c r="AH397" s="55">
        <f>IF(AQ397="0",BJ397,0)</f>
        <v>0</v>
      </c>
      <c r="AI397" s="34" t="s">
        <v>116</v>
      </c>
      <c r="AJ397" s="55">
        <f>IF(AN397=0,I397,0)</f>
        <v>0</v>
      </c>
      <c r="AK397" s="55">
        <f>IF(AN397=12,I397,0)</f>
        <v>0</v>
      </c>
      <c r="AL397" s="55">
        <f>IF(AN397=21,I397,0)</f>
        <v>0</v>
      </c>
      <c r="AN397" s="55">
        <v>21</v>
      </c>
      <c r="AO397" s="55">
        <f>H397*1</f>
        <v>0</v>
      </c>
      <c r="AP397" s="55">
        <f>H397*(1-1)</f>
        <v>0</v>
      </c>
      <c r="AQ397" s="58" t="s">
        <v>120</v>
      </c>
      <c r="AV397" s="55">
        <f>AW397+AX397</f>
        <v>0</v>
      </c>
      <c r="AW397" s="55">
        <f>G397*AO397</f>
        <v>0</v>
      </c>
      <c r="AX397" s="55">
        <f>G397*AP397</f>
        <v>0</v>
      </c>
      <c r="AY397" s="58" t="s">
        <v>813</v>
      </c>
      <c r="AZ397" s="58" t="s">
        <v>787</v>
      </c>
      <c r="BA397" s="34" t="s">
        <v>128</v>
      </c>
      <c r="BB397" s="67">
        <v>100002</v>
      </c>
      <c r="BC397" s="55">
        <f>AW397+AX397</f>
        <v>0</v>
      </c>
      <c r="BD397" s="55">
        <f>H397/(100-BE397)*100</f>
        <v>0</v>
      </c>
      <c r="BE397" s="55">
        <v>0</v>
      </c>
      <c r="BF397" s="55">
        <f>K397</f>
        <v>2.460432</v>
      </c>
      <c r="BH397" s="55">
        <f>G397*AO397</f>
        <v>0</v>
      </c>
      <c r="BI397" s="55">
        <f>G397*AP397</f>
        <v>0</v>
      </c>
      <c r="BJ397" s="55">
        <f>G397*H397</f>
        <v>0</v>
      </c>
      <c r="BK397" s="55"/>
      <c r="BL397" s="55">
        <v>34</v>
      </c>
      <c r="BW397" s="55">
        <v>21</v>
      </c>
    </row>
    <row r="398" spans="1:12" ht="13.5" customHeight="1">
      <c r="A398" s="59"/>
      <c r="D398" s="218" t="s">
        <v>855</v>
      </c>
      <c r="E398" s="219"/>
      <c r="F398" s="219"/>
      <c r="G398" s="219"/>
      <c r="H398" s="220"/>
      <c r="I398" s="219"/>
      <c r="J398" s="219"/>
      <c r="K398" s="219"/>
      <c r="L398" s="221"/>
    </row>
    <row r="399" spans="1:12" ht="14.4">
      <c r="A399" s="59"/>
      <c r="D399" s="60" t="s">
        <v>840</v>
      </c>
      <c r="E399" s="60" t="s">
        <v>856</v>
      </c>
      <c r="G399" s="68">
        <v>254.9</v>
      </c>
      <c r="L399" s="69"/>
    </row>
    <row r="400" spans="1:12" ht="14.4">
      <c r="A400" s="59"/>
      <c r="D400" s="60" t="s">
        <v>136</v>
      </c>
      <c r="E400" s="60" t="s">
        <v>857</v>
      </c>
      <c r="G400" s="68">
        <v>4</v>
      </c>
      <c r="L400" s="69"/>
    </row>
    <row r="401" spans="1:12" ht="14.4">
      <c r="A401" s="59"/>
      <c r="D401" s="60" t="s">
        <v>849</v>
      </c>
      <c r="E401" s="60" t="s">
        <v>858</v>
      </c>
      <c r="G401" s="68">
        <v>3.54</v>
      </c>
      <c r="L401" s="69"/>
    </row>
    <row r="402" spans="1:12" ht="14.4">
      <c r="A402" s="59"/>
      <c r="D402" s="60" t="s">
        <v>289</v>
      </c>
      <c r="E402" s="60" t="s">
        <v>859</v>
      </c>
      <c r="G402" s="68">
        <v>53</v>
      </c>
      <c r="L402" s="69"/>
    </row>
    <row r="403" spans="1:75" ht="13.5" customHeight="1">
      <c r="A403" s="1" t="s">
        <v>860</v>
      </c>
      <c r="B403" s="2" t="s">
        <v>116</v>
      </c>
      <c r="C403" s="2" t="s">
        <v>861</v>
      </c>
      <c r="D403" s="147" t="s">
        <v>862</v>
      </c>
      <c r="E403" s="148"/>
      <c r="F403" s="2" t="s">
        <v>729</v>
      </c>
      <c r="G403" s="55">
        <v>106</v>
      </c>
      <c r="H403" s="56">
        <v>0</v>
      </c>
      <c r="I403" s="55">
        <f>G403*H403</f>
        <v>0</v>
      </c>
      <c r="J403" s="55">
        <v>0.002</v>
      </c>
      <c r="K403" s="55">
        <f>G403*J403</f>
        <v>0.212</v>
      </c>
      <c r="L403" s="57" t="s">
        <v>785</v>
      </c>
      <c r="Z403" s="55">
        <f>IF(AQ403="5",BJ403,0)</f>
        <v>0</v>
      </c>
      <c r="AB403" s="55">
        <f>IF(AQ403="1",BH403,0)</f>
        <v>0</v>
      </c>
      <c r="AC403" s="55">
        <f>IF(AQ403="1",BI403,0)</f>
        <v>0</v>
      </c>
      <c r="AD403" s="55">
        <f>IF(AQ403="7",BH403,0)</f>
        <v>0</v>
      </c>
      <c r="AE403" s="55">
        <f>IF(AQ403="7",BI403,0)</f>
        <v>0</v>
      </c>
      <c r="AF403" s="55">
        <f>IF(AQ403="2",BH403,0)</f>
        <v>0</v>
      </c>
      <c r="AG403" s="55">
        <f>IF(AQ403="2",BI403,0)</f>
        <v>0</v>
      </c>
      <c r="AH403" s="55">
        <f>IF(AQ403="0",BJ403,0)</f>
        <v>0</v>
      </c>
      <c r="AI403" s="34" t="s">
        <v>116</v>
      </c>
      <c r="AJ403" s="55">
        <f>IF(AN403=0,I403,0)</f>
        <v>0</v>
      </c>
      <c r="AK403" s="55">
        <f>IF(AN403=12,I403,0)</f>
        <v>0</v>
      </c>
      <c r="AL403" s="55">
        <f>IF(AN403=21,I403,0)</f>
        <v>0</v>
      </c>
      <c r="AN403" s="55">
        <v>21</v>
      </c>
      <c r="AO403" s="55">
        <f>H403*1</f>
        <v>0</v>
      </c>
      <c r="AP403" s="55">
        <f>H403*(1-1)</f>
        <v>0</v>
      </c>
      <c r="AQ403" s="58" t="s">
        <v>120</v>
      </c>
      <c r="AV403" s="55">
        <f>AW403+AX403</f>
        <v>0</v>
      </c>
      <c r="AW403" s="55">
        <f>G403*AO403</f>
        <v>0</v>
      </c>
      <c r="AX403" s="55">
        <f>G403*AP403</f>
        <v>0</v>
      </c>
      <c r="AY403" s="58" t="s">
        <v>813</v>
      </c>
      <c r="AZ403" s="58" t="s">
        <v>787</v>
      </c>
      <c r="BA403" s="34" t="s">
        <v>128</v>
      </c>
      <c r="BB403" s="67">
        <v>100002</v>
      </c>
      <c r="BC403" s="55">
        <f>AW403+AX403</f>
        <v>0</v>
      </c>
      <c r="BD403" s="55">
        <f>H403/(100-BE403)*100</f>
        <v>0</v>
      </c>
      <c r="BE403" s="55">
        <v>0</v>
      </c>
      <c r="BF403" s="55">
        <f>K403</f>
        <v>0.212</v>
      </c>
      <c r="BH403" s="55">
        <f>G403*AO403</f>
        <v>0</v>
      </c>
      <c r="BI403" s="55">
        <f>G403*AP403</f>
        <v>0</v>
      </c>
      <c r="BJ403" s="55">
        <f>G403*H403</f>
        <v>0</v>
      </c>
      <c r="BK403" s="55"/>
      <c r="BL403" s="55">
        <v>34</v>
      </c>
      <c r="BW403" s="55">
        <v>21</v>
      </c>
    </row>
    <row r="404" spans="1:12" ht="14.4">
      <c r="A404" s="59"/>
      <c r="D404" s="60" t="s">
        <v>863</v>
      </c>
      <c r="E404" s="60" t="s">
        <v>859</v>
      </c>
      <c r="G404" s="68">
        <v>106</v>
      </c>
      <c r="L404" s="69"/>
    </row>
    <row r="405" spans="1:75" ht="13.5" customHeight="1">
      <c r="A405" s="1" t="s">
        <v>864</v>
      </c>
      <c r="B405" s="2" t="s">
        <v>116</v>
      </c>
      <c r="C405" s="2" t="s">
        <v>865</v>
      </c>
      <c r="D405" s="147" t="s">
        <v>866</v>
      </c>
      <c r="E405" s="148"/>
      <c r="F405" s="2" t="s">
        <v>729</v>
      </c>
      <c r="G405" s="55">
        <v>226.3</v>
      </c>
      <c r="H405" s="56">
        <v>0</v>
      </c>
      <c r="I405" s="55">
        <f>G405*H405</f>
        <v>0</v>
      </c>
      <c r="J405" s="55">
        <v>0.01625</v>
      </c>
      <c r="K405" s="55">
        <f>G405*J405</f>
        <v>3.6773750000000005</v>
      </c>
      <c r="L405" s="57" t="s">
        <v>785</v>
      </c>
      <c r="Z405" s="55">
        <f>IF(AQ405="5",BJ405,0)</f>
        <v>0</v>
      </c>
      <c r="AB405" s="55">
        <f>IF(AQ405="1",BH405,0)</f>
        <v>0</v>
      </c>
      <c r="AC405" s="55">
        <f>IF(AQ405="1",BI405,0)</f>
        <v>0</v>
      </c>
      <c r="AD405" s="55">
        <f>IF(AQ405="7",BH405,0)</f>
        <v>0</v>
      </c>
      <c r="AE405" s="55">
        <f>IF(AQ405="7",BI405,0)</f>
        <v>0</v>
      </c>
      <c r="AF405" s="55">
        <f>IF(AQ405="2",BH405,0)</f>
        <v>0</v>
      </c>
      <c r="AG405" s="55">
        <f>IF(AQ405="2",BI405,0)</f>
        <v>0</v>
      </c>
      <c r="AH405" s="55">
        <f>IF(AQ405="0",BJ405,0)</f>
        <v>0</v>
      </c>
      <c r="AI405" s="34" t="s">
        <v>116</v>
      </c>
      <c r="AJ405" s="55">
        <f>IF(AN405=0,I405,0)</f>
        <v>0</v>
      </c>
      <c r="AK405" s="55">
        <f>IF(AN405=12,I405,0)</f>
        <v>0</v>
      </c>
      <c r="AL405" s="55">
        <f>IF(AN405=21,I405,0)</f>
        <v>0</v>
      </c>
      <c r="AN405" s="55">
        <v>21</v>
      </c>
      <c r="AO405" s="55">
        <f>H405*0.503218841</f>
        <v>0</v>
      </c>
      <c r="AP405" s="55">
        <f>H405*(1-0.503218841)</f>
        <v>0</v>
      </c>
      <c r="AQ405" s="58" t="s">
        <v>120</v>
      </c>
      <c r="AV405" s="55">
        <f>AW405+AX405</f>
        <v>0</v>
      </c>
      <c r="AW405" s="55">
        <f>G405*AO405</f>
        <v>0</v>
      </c>
      <c r="AX405" s="55">
        <f>G405*AP405</f>
        <v>0</v>
      </c>
      <c r="AY405" s="58" t="s">
        <v>813</v>
      </c>
      <c r="AZ405" s="58" t="s">
        <v>787</v>
      </c>
      <c r="BA405" s="34" t="s">
        <v>128</v>
      </c>
      <c r="BB405" s="67">
        <v>100002</v>
      </c>
      <c r="BC405" s="55">
        <f>AW405+AX405</f>
        <v>0</v>
      </c>
      <c r="BD405" s="55">
        <f>H405/(100-BE405)*100</f>
        <v>0</v>
      </c>
      <c r="BE405" s="55">
        <v>0</v>
      </c>
      <c r="BF405" s="55">
        <f>K405</f>
        <v>3.6773750000000005</v>
      </c>
      <c r="BH405" s="55">
        <f>G405*AO405</f>
        <v>0</v>
      </c>
      <c r="BI405" s="55">
        <f>G405*AP405</f>
        <v>0</v>
      </c>
      <c r="BJ405" s="55">
        <f>G405*H405</f>
        <v>0</v>
      </c>
      <c r="BK405" s="55"/>
      <c r="BL405" s="55">
        <v>34</v>
      </c>
      <c r="BW405" s="55">
        <v>21</v>
      </c>
    </row>
    <row r="406" spans="1:12" ht="13.5" customHeight="1">
      <c r="A406" s="59"/>
      <c r="D406" s="218" t="s">
        <v>867</v>
      </c>
      <c r="E406" s="219"/>
      <c r="F406" s="219"/>
      <c r="G406" s="219"/>
      <c r="H406" s="220"/>
      <c r="I406" s="219"/>
      <c r="J406" s="219"/>
      <c r="K406" s="219"/>
      <c r="L406" s="221"/>
    </row>
    <row r="407" spans="1:12" ht="14.4">
      <c r="A407" s="59"/>
      <c r="D407" s="60" t="s">
        <v>868</v>
      </c>
      <c r="E407" s="60" t="s">
        <v>869</v>
      </c>
      <c r="G407" s="68">
        <v>226.3</v>
      </c>
      <c r="L407" s="69"/>
    </row>
    <row r="408" spans="1:75" ht="13.5" customHeight="1">
      <c r="A408" s="1" t="s">
        <v>870</v>
      </c>
      <c r="B408" s="2" t="s">
        <v>116</v>
      </c>
      <c r="C408" s="2" t="s">
        <v>871</v>
      </c>
      <c r="D408" s="147" t="s">
        <v>872</v>
      </c>
      <c r="E408" s="148"/>
      <c r="F408" s="2" t="s">
        <v>729</v>
      </c>
      <c r="G408" s="55">
        <v>136.8</v>
      </c>
      <c r="H408" s="56">
        <v>0</v>
      </c>
      <c r="I408" s="55">
        <f>G408*H408</f>
        <v>0</v>
      </c>
      <c r="J408" s="55">
        <v>0.01522</v>
      </c>
      <c r="K408" s="55">
        <f>G408*J408</f>
        <v>2.082096</v>
      </c>
      <c r="L408" s="57" t="s">
        <v>785</v>
      </c>
      <c r="Z408" s="55">
        <f>IF(AQ408="5",BJ408,0)</f>
        <v>0</v>
      </c>
      <c r="AB408" s="55">
        <f>IF(AQ408="1",BH408,0)</f>
        <v>0</v>
      </c>
      <c r="AC408" s="55">
        <f>IF(AQ408="1",BI408,0)</f>
        <v>0</v>
      </c>
      <c r="AD408" s="55">
        <f>IF(AQ408="7",BH408,0)</f>
        <v>0</v>
      </c>
      <c r="AE408" s="55">
        <f>IF(AQ408="7",BI408,0)</f>
        <v>0</v>
      </c>
      <c r="AF408" s="55">
        <f>IF(AQ408="2",BH408,0)</f>
        <v>0</v>
      </c>
      <c r="AG408" s="55">
        <f>IF(AQ408="2",BI408,0)</f>
        <v>0</v>
      </c>
      <c r="AH408" s="55">
        <f>IF(AQ408="0",BJ408,0)</f>
        <v>0</v>
      </c>
      <c r="AI408" s="34" t="s">
        <v>116</v>
      </c>
      <c r="AJ408" s="55">
        <f>IF(AN408=0,I408,0)</f>
        <v>0</v>
      </c>
      <c r="AK408" s="55">
        <f>IF(AN408=12,I408,0)</f>
        <v>0</v>
      </c>
      <c r="AL408" s="55">
        <f>IF(AN408=21,I408,0)</f>
        <v>0</v>
      </c>
      <c r="AN408" s="55">
        <v>21</v>
      </c>
      <c r="AO408" s="55">
        <f>H408*0.447779553</f>
        <v>0</v>
      </c>
      <c r="AP408" s="55">
        <f>H408*(1-0.447779553)</f>
        <v>0</v>
      </c>
      <c r="AQ408" s="58" t="s">
        <v>120</v>
      </c>
      <c r="AV408" s="55">
        <f>AW408+AX408</f>
        <v>0</v>
      </c>
      <c r="AW408" s="55">
        <f>G408*AO408</f>
        <v>0</v>
      </c>
      <c r="AX408" s="55">
        <f>G408*AP408</f>
        <v>0</v>
      </c>
      <c r="AY408" s="58" t="s">
        <v>813</v>
      </c>
      <c r="AZ408" s="58" t="s">
        <v>787</v>
      </c>
      <c r="BA408" s="34" t="s">
        <v>128</v>
      </c>
      <c r="BB408" s="67">
        <v>100002</v>
      </c>
      <c r="BC408" s="55">
        <f>AW408+AX408</f>
        <v>0</v>
      </c>
      <c r="BD408" s="55">
        <f>H408/(100-BE408)*100</f>
        <v>0</v>
      </c>
      <c r="BE408" s="55">
        <v>0</v>
      </c>
      <c r="BF408" s="55">
        <f>K408</f>
        <v>2.082096</v>
      </c>
      <c r="BH408" s="55">
        <f>G408*AO408</f>
        <v>0</v>
      </c>
      <c r="BI408" s="55">
        <f>G408*AP408</f>
        <v>0</v>
      </c>
      <c r="BJ408" s="55">
        <f>G408*H408</f>
        <v>0</v>
      </c>
      <c r="BK408" s="55"/>
      <c r="BL408" s="55">
        <v>34</v>
      </c>
      <c r="BW408" s="55">
        <v>21</v>
      </c>
    </row>
    <row r="409" spans="1:12" ht="13.5" customHeight="1">
      <c r="A409" s="59"/>
      <c r="D409" s="218" t="s">
        <v>867</v>
      </c>
      <c r="E409" s="219"/>
      <c r="F409" s="219"/>
      <c r="G409" s="219"/>
      <c r="H409" s="220"/>
      <c r="I409" s="219"/>
      <c r="J409" s="219"/>
      <c r="K409" s="219"/>
      <c r="L409" s="221"/>
    </row>
    <row r="410" spans="1:12" ht="14.4">
      <c r="A410" s="59"/>
      <c r="D410" s="60" t="s">
        <v>873</v>
      </c>
      <c r="E410" s="60" t="s">
        <v>869</v>
      </c>
      <c r="G410" s="68">
        <v>136.8</v>
      </c>
      <c r="L410" s="69"/>
    </row>
    <row r="411" spans="1:75" ht="13.5" customHeight="1">
      <c r="A411" s="1" t="s">
        <v>874</v>
      </c>
      <c r="B411" s="2" t="s">
        <v>116</v>
      </c>
      <c r="C411" s="2" t="s">
        <v>875</v>
      </c>
      <c r="D411" s="147" t="s">
        <v>876</v>
      </c>
      <c r="E411" s="148"/>
      <c r="F411" s="2" t="s">
        <v>729</v>
      </c>
      <c r="G411" s="55">
        <v>362.9</v>
      </c>
      <c r="H411" s="56">
        <v>0</v>
      </c>
      <c r="I411" s="55">
        <f>G411*H411</f>
        <v>0</v>
      </c>
      <c r="J411" s="55">
        <v>0.0039</v>
      </c>
      <c r="K411" s="55">
        <f>G411*J411</f>
        <v>1.4153099999999998</v>
      </c>
      <c r="L411" s="57" t="s">
        <v>785</v>
      </c>
      <c r="Z411" s="55">
        <f>IF(AQ411="5",BJ411,0)</f>
        <v>0</v>
      </c>
      <c r="AB411" s="55">
        <f>IF(AQ411="1",BH411,0)</f>
        <v>0</v>
      </c>
      <c r="AC411" s="55">
        <f>IF(AQ411="1",BI411,0)</f>
        <v>0</v>
      </c>
      <c r="AD411" s="55">
        <f>IF(AQ411="7",BH411,0)</f>
        <v>0</v>
      </c>
      <c r="AE411" s="55">
        <f>IF(AQ411="7",BI411,0)</f>
        <v>0</v>
      </c>
      <c r="AF411" s="55">
        <f>IF(AQ411="2",BH411,0)</f>
        <v>0</v>
      </c>
      <c r="AG411" s="55">
        <f>IF(AQ411="2",BI411,0)</f>
        <v>0</v>
      </c>
      <c r="AH411" s="55">
        <f>IF(AQ411="0",BJ411,0)</f>
        <v>0</v>
      </c>
      <c r="AI411" s="34" t="s">
        <v>116</v>
      </c>
      <c r="AJ411" s="55">
        <f>IF(AN411=0,I411,0)</f>
        <v>0</v>
      </c>
      <c r="AK411" s="55">
        <f>IF(AN411=12,I411,0)</f>
        <v>0</v>
      </c>
      <c r="AL411" s="55">
        <f>IF(AN411=21,I411,0)</f>
        <v>0</v>
      </c>
      <c r="AN411" s="55">
        <v>21</v>
      </c>
      <c r="AO411" s="55">
        <f>H411*0.999999026</f>
        <v>0</v>
      </c>
      <c r="AP411" s="55">
        <f>H411*(1-0.999999026)</f>
        <v>0</v>
      </c>
      <c r="AQ411" s="58" t="s">
        <v>120</v>
      </c>
      <c r="AV411" s="55">
        <f>AW411+AX411</f>
        <v>0</v>
      </c>
      <c r="AW411" s="55">
        <f>G411*AO411</f>
        <v>0</v>
      </c>
      <c r="AX411" s="55">
        <f>G411*AP411</f>
        <v>0</v>
      </c>
      <c r="AY411" s="58" t="s">
        <v>813</v>
      </c>
      <c r="AZ411" s="58" t="s">
        <v>787</v>
      </c>
      <c r="BA411" s="34" t="s">
        <v>128</v>
      </c>
      <c r="BB411" s="67">
        <v>100002</v>
      </c>
      <c r="BC411" s="55">
        <f>AW411+AX411</f>
        <v>0</v>
      </c>
      <c r="BD411" s="55">
        <f>H411/(100-BE411)*100</f>
        <v>0</v>
      </c>
      <c r="BE411" s="55">
        <v>0</v>
      </c>
      <c r="BF411" s="55">
        <f>K411</f>
        <v>1.4153099999999998</v>
      </c>
      <c r="BH411" s="55">
        <f>G411*AO411</f>
        <v>0</v>
      </c>
      <c r="BI411" s="55">
        <f>G411*AP411</f>
        <v>0</v>
      </c>
      <c r="BJ411" s="55">
        <f>G411*H411</f>
        <v>0</v>
      </c>
      <c r="BK411" s="55"/>
      <c r="BL411" s="55">
        <v>34</v>
      </c>
      <c r="BW411" s="55">
        <v>21</v>
      </c>
    </row>
    <row r="412" spans="1:12" ht="13.5" customHeight="1">
      <c r="A412" s="59"/>
      <c r="D412" s="218" t="s">
        <v>877</v>
      </c>
      <c r="E412" s="219"/>
      <c r="F412" s="219"/>
      <c r="G412" s="219"/>
      <c r="H412" s="220"/>
      <c r="I412" s="219"/>
      <c r="J412" s="219"/>
      <c r="K412" s="219"/>
      <c r="L412" s="221"/>
    </row>
    <row r="413" spans="1:12" ht="14.4">
      <c r="A413" s="59"/>
      <c r="D413" s="60" t="s">
        <v>878</v>
      </c>
      <c r="E413" s="60" t="s">
        <v>4</v>
      </c>
      <c r="G413" s="68">
        <v>362.9</v>
      </c>
      <c r="L413" s="69"/>
    </row>
    <row r="414" spans="1:75" ht="13.5" customHeight="1">
      <c r="A414" s="1" t="s">
        <v>879</v>
      </c>
      <c r="B414" s="2" t="s">
        <v>116</v>
      </c>
      <c r="C414" s="2" t="s">
        <v>880</v>
      </c>
      <c r="D414" s="147" t="s">
        <v>881</v>
      </c>
      <c r="E414" s="148"/>
      <c r="F414" s="2" t="s">
        <v>374</v>
      </c>
      <c r="G414" s="55">
        <v>8</v>
      </c>
      <c r="H414" s="56">
        <v>0</v>
      </c>
      <c r="I414" s="55">
        <f>G414*H414</f>
        <v>0</v>
      </c>
      <c r="J414" s="55">
        <v>0.01668</v>
      </c>
      <c r="K414" s="55">
        <f>G414*J414</f>
        <v>0.13344</v>
      </c>
      <c r="L414" s="57" t="s">
        <v>785</v>
      </c>
      <c r="Z414" s="55">
        <f>IF(AQ414="5",BJ414,0)</f>
        <v>0</v>
      </c>
      <c r="AB414" s="55">
        <f>IF(AQ414="1",BH414,0)</f>
        <v>0</v>
      </c>
      <c r="AC414" s="55">
        <f>IF(AQ414="1",BI414,0)</f>
        <v>0</v>
      </c>
      <c r="AD414" s="55">
        <f>IF(AQ414="7",BH414,0)</f>
        <v>0</v>
      </c>
      <c r="AE414" s="55">
        <f>IF(AQ414="7",BI414,0)</f>
        <v>0</v>
      </c>
      <c r="AF414" s="55">
        <f>IF(AQ414="2",BH414,0)</f>
        <v>0</v>
      </c>
      <c r="AG414" s="55">
        <f>IF(AQ414="2",BI414,0)</f>
        <v>0</v>
      </c>
      <c r="AH414" s="55">
        <f>IF(AQ414="0",BJ414,0)</f>
        <v>0</v>
      </c>
      <c r="AI414" s="34" t="s">
        <v>116</v>
      </c>
      <c r="AJ414" s="55">
        <f>IF(AN414=0,I414,0)</f>
        <v>0</v>
      </c>
      <c r="AK414" s="55">
        <f>IF(AN414=12,I414,0)</f>
        <v>0</v>
      </c>
      <c r="AL414" s="55">
        <f>IF(AN414=21,I414,0)</f>
        <v>0</v>
      </c>
      <c r="AN414" s="55">
        <v>21</v>
      </c>
      <c r="AO414" s="55">
        <f>H414*0.357566462</f>
        <v>0</v>
      </c>
      <c r="AP414" s="55">
        <f>H414*(1-0.357566462)</f>
        <v>0</v>
      </c>
      <c r="AQ414" s="58" t="s">
        <v>120</v>
      </c>
      <c r="AV414" s="55">
        <f>AW414+AX414</f>
        <v>0</v>
      </c>
      <c r="AW414" s="55">
        <f>G414*AO414</f>
        <v>0</v>
      </c>
      <c r="AX414" s="55">
        <f>G414*AP414</f>
        <v>0</v>
      </c>
      <c r="AY414" s="58" t="s">
        <v>813</v>
      </c>
      <c r="AZ414" s="58" t="s">
        <v>787</v>
      </c>
      <c r="BA414" s="34" t="s">
        <v>128</v>
      </c>
      <c r="BB414" s="67">
        <v>100002</v>
      </c>
      <c r="BC414" s="55">
        <f>AW414+AX414</f>
        <v>0</v>
      </c>
      <c r="BD414" s="55">
        <f>H414/(100-BE414)*100</f>
        <v>0</v>
      </c>
      <c r="BE414" s="55">
        <v>0</v>
      </c>
      <c r="BF414" s="55">
        <f>K414</f>
        <v>0.13344</v>
      </c>
      <c r="BH414" s="55">
        <f>G414*AO414</f>
        <v>0</v>
      </c>
      <c r="BI414" s="55">
        <f>G414*AP414</f>
        <v>0</v>
      </c>
      <c r="BJ414" s="55">
        <f>G414*H414</f>
        <v>0</v>
      </c>
      <c r="BK414" s="55"/>
      <c r="BL414" s="55">
        <v>34</v>
      </c>
      <c r="BW414" s="55">
        <v>21</v>
      </c>
    </row>
    <row r="415" spans="1:12" ht="13.5" customHeight="1">
      <c r="A415" s="59"/>
      <c r="D415" s="218" t="s">
        <v>882</v>
      </c>
      <c r="E415" s="219"/>
      <c r="F415" s="219"/>
      <c r="G415" s="219"/>
      <c r="H415" s="220"/>
      <c r="I415" s="219"/>
      <c r="J415" s="219"/>
      <c r="K415" s="219"/>
      <c r="L415" s="221"/>
    </row>
    <row r="416" spans="1:12" ht="14.4">
      <c r="A416" s="59"/>
      <c r="D416" s="60" t="s">
        <v>147</v>
      </c>
      <c r="E416" s="60" t="s">
        <v>4</v>
      </c>
      <c r="G416" s="68">
        <v>8</v>
      </c>
      <c r="L416" s="69"/>
    </row>
    <row r="417" spans="1:75" ht="13.5" customHeight="1">
      <c r="A417" s="1" t="s">
        <v>883</v>
      </c>
      <c r="B417" s="2" t="s">
        <v>116</v>
      </c>
      <c r="C417" s="2" t="s">
        <v>884</v>
      </c>
      <c r="D417" s="147" t="s">
        <v>885</v>
      </c>
      <c r="E417" s="148"/>
      <c r="F417" s="2" t="s">
        <v>729</v>
      </c>
      <c r="G417" s="55">
        <v>8.4</v>
      </c>
      <c r="H417" s="56">
        <v>0</v>
      </c>
      <c r="I417" s="55">
        <f>G417*H417</f>
        <v>0</v>
      </c>
      <c r="J417" s="55">
        <v>0.01338</v>
      </c>
      <c r="K417" s="55">
        <f>G417*J417</f>
        <v>0.112392</v>
      </c>
      <c r="L417" s="57" t="s">
        <v>785</v>
      </c>
      <c r="Z417" s="55">
        <f>IF(AQ417="5",BJ417,0)</f>
        <v>0</v>
      </c>
      <c r="AB417" s="55">
        <f>IF(AQ417="1",BH417,0)</f>
        <v>0</v>
      </c>
      <c r="AC417" s="55">
        <f>IF(AQ417="1",BI417,0)</f>
        <v>0</v>
      </c>
      <c r="AD417" s="55">
        <f>IF(AQ417="7",BH417,0)</f>
        <v>0</v>
      </c>
      <c r="AE417" s="55">
        <f>IF(AQ417="7",BI417,0)</f>
        <v>0</v>
      </c>
      <c r="AF417" s="55">
        <f>IF(AQ417="2",BH417,0)</f>
        <v>0</v>
      </c>
      <c r="AG417" s="55">
        <f>IF(AQ417="2",BI417,0)</f>
        <v>0</v>
      </c>
      <c r="AH417" s="55">
        <f>IF(AQ417="0",BJ417,0)</f>
        <v>0</v>
      </c>
      <c r="AI417" s="34" t="s">
        <v>116</v>
      </c>
      <c r="AJ417" s="55">
        <f>IF(AN417=0,I417,0)</f>
        <v>0</v>
      </c>
      <c r="AK417" s="55">
        <f>IF(AN417=12,I417,0)</f>
        <v>0</v>
      </c>
      <c r="AL417" s="55">
        <f>IF(AN417=21,I417,0)</f>
        <v>0</v>
      </c>
      <c r="AN417" s="55">
        <v>21</v>
      </c>
      <c r="AO417" s="55">
        <f>H417*0.511149826</f>
        <v>0</v>
      </c>
      <c r="AP417" s="55">
        <f>H417*(1-0.511149826)</f>
        <v>0</v>
      </c>
      <c r="AQ417" s="58" t="s">
        <v>120</v>
      </c>
      <c r="AV417" s="55">
        <f>AW417+AX417</f>
        <v>0</v>
      </c>
      <c r="AW417" s="55">
        <f>G417*AO417</f>
        <v>0</v>
      </c>
      <c r="AX417" s="55">
        <f>G417*AP417</f>
        <v>0</v>
      </c>
      <c r="AY417" s="58" t="s">
        <v>813</v>
      </c>
      <c r="AZ417" s="58" t="s">
        <v>787</v>
      </c>
      <c r="BA417" s="34" t="s">
        <v>128</v>
      </c>
      <c r="BB417" s="67">
        <v>100002</v>
      </c>
      <c r="BC417" s="55">
        <f>AW417+AX417</f>
        <v>0</v>
      </c>
      <c r="BD417" s="55">
        <f>H417/(100-BE417)*100</f>
        <v>0</v>
      </c>
      <c r="BE417" s="55">
        <v>0</v>
      </c>
      <c r="BF417" s="55">
        <f>K417</f>
        <v>0.112392</v>
      </c>
      <c r="BH417" s="55">
        <f>G417*AO417</f>
        <v>0</v>
      </c>
      <c r="BI417" s="55">
        <f>G417*AP417</f>
        <v>0</v>
      </c>
      <c r="BJ417" s="55">
        <f>G417*H417</f>
        <v>0</v>
      </c>
      <c r="BK417" s="55"/>
      <c r="BL417" s="55">
        <v>34</v>
      </c>
      <c r="BW417" s="55">
        <v>21</v>
      </c>
    </row>
    <row r="418" spans="1:12" ht="13.5" customHeight="1">
      <c r="A418" s="59"/>
      <c r="D418" s="218" t="s">
        <v>886</v>
      </c>
      <c r="E418" s="219"/>
      <c r="F418" s="219"/>
      <c r="G418" s="219"/>
      <c r="H418" s="220"/>
      <c r="I418" s="219"/>
      <c r="J418" s="219"/>
      <c r="K418" s="219"/>
      <c r="L418" s="221"/>
    </row>
    <row r="419" spans="1:12" ht="14.4">
      <c r="A419" s="59"/>
      <c r="D419" s="60" t="s">
        <v>887</v>
      </c>
      <c r="E419" s="60" t="s">
        <v>4</v>
      </c>
      <c r="G419" s="68">
        <v>8.4</v>
      </c>
      <c r="L419" s="69"/>
    </row>
    <row r="420" spans="1:75" ht="13.5" customHeight="1">
      <c r="A420" s="1" t="s">
        <v>888</v>
      </c>
      <c r="B420" s="2" t="s">
        <v>116</v>
      </c>
      <c r="C420" s="2" t="s">
        <v>889</v>
      </c>
      <c r="D420" s="147" t="s">
        <v>890</v>
      </c>
      <c r="E420" s="148"/>
      <c r="F420" s="2" t="s">
        <v>729</v>
      </c>
      <c r="G420" s="55">
        <v>114.7</v>
      </c>
      <c r="H420" s="56">
        <v>0</v>
      </c>
      <c r="I420" s="55">
        <f>G420*H420</f>
        <v>0</v>
      </c>
      <c r="J420" s="55">
        <v>0.01284</v>
      </c>
      <c r="K420" s="55">
        <f>G420*J420</f>
        <v>1.4727480000000002</v>
      </c>
      <c r="L420" s="57" t="s">
        <v>785</v>
      </c>
      <c r="Z420" s="55">
        <f>IF(AQ420="5",BJ420,0)</f>
        <v>0</v>
      </c>
      <c r="AB420" s="55">
        <f>IF(AQ420="1",BH420,0)</f>
        <v>0</v>
      </c>
      <c r="AC420" s="55">
        <f>IF(AQ420="1",BI420,0)</f>
        <v>0</v>
      </c>
      <c r="AD420" s="55">
        <f>IF(AQ420="7",BH420,0)</f>
        <v>0</v>
      </c>
      <c r="AE420" s="55">
        <f>IF(AQ420="7",BI420,0)</f>
        <v>0</v>
      </c>
      <c r="AF420" s="55">
        <f>IF(AQ420="2",BH420,0)</f>
        <v>0</v>
      </c>
      <c r="AG420" s="55">
        <f>IF(AQ420="2",BI420,0)</f>
        <v>0</v>
      </c>
      <c r="AH420" s="55">
        <f>IF(AQ420="0",BJ420,0)</f>
        <v>0</v>
      </c>
      <c r="AI420" s="34" t="s">
        <v>116</v>
      </c>
      <c r="AJ420" s="55">
        <f>IF(AN420=0,I420,0)</f>
        <v>0</v>
      </c>
      <c r="AK420" s="55">
        <f>IF(AN420=12,I420,0)</f>
        <v>0</v>
      </c>
      <c r="AL420" s="55">
        <f>IF(AN420=21,I420,0)</f>
        <v>0</v>
      </c>
      <c r="AN420" s="55">
        <v>21</v>
      </c>
      <c r="AO420" s="55">
        <f>H420*0.460692951</f>
        <v>0</v>
      </c>
      <c r="AP420" s="55">
        <f>H420*(1-0.460692951)</f>
        <v>0</v>
      </c>
      <c r="AQ420" s="58" t="s">
        <v>120</v>
      </c>
      <c r="AV420" s="55">
        <f>AW420+AX420</f>
        <v>0</v>
      </c>
      <c r="AW420" s="55">
        <f>G420*AO420</f>
        <v>0</v>
      </c>
      <c r="AX420" s="55">
        <f>G420*AP420</f>
        <v>0</v>
      </c>
      <c r="AY420" s="58" t="s">
        <v>813</v>
      </c>
      <c r="AZ420" s="58" t="s">
        <v>787</v>
      </c>
      <c r="BA420" s="34" t="s">
        <v>128</v>
      </c>
      <c r="BB420" s="67">
        <v>100002</v>
      </c>
      <c r="BC420" s="55">
        <f>AW420+AX420</f>
        <v>0</v>
      </c>
      <c r="BD420" s="55">
        <f>H420/(100-BE420)*100</f>
        <v>0</v>
      </c>
      <c r="BE420" s="55">
        <v>0</v>
      </c>
      <c r="BF420" s="55">
        <f>K420</f>
        <v>1.4727480000000002</v>
      </c>
      <c r="BH420" s="55">
        <f>G420*AO420</f>
        <v>0</v>
      </c>
      <c r="BI420" s="55">
        <f>G420*AP420</f>
        <v>0</v>
      </c>
      <c r="BJ420" s="55">
        <f>G420*H420</f>
        <v>0</v>
      </c>
      <c r="BK420" s="55"/>
      <c r="BL420" s="55">
        <v>34</v>
      </c>
      <c r="BW420" s="55">
        <v>21</v>
      </c>
    </row>
    <row r="421" spans="1:12" ht="13.5" customHeight="1">
      <c r="A421" s="59"/>
      <c r="D421" s="218" t="s">
        <v>891</v>
      </c>
      <c r="E421" s="219"/>
      <c r="F421" s="219"/>
      <c r="G421" s="219"/>
      <c r="H421" s="220"/>
      <c r="I421" s="219"/>
      <c r="J421" s="219"/>
      <c r="K421" s="219"/>
      <c r="L421" s="221"/>
    </row>
    <row r="422" spans="1:12" ht="14.4">
      <c r="A422" s="59"/>
      <c r="D422" s="60" t="s">
        <v>892</v>
      </c>
      <c r="E422" s="60" t="s">
        <v>893</v>
      </c>
      <c r="G422" s="68">
        <v>86.5</v>
      </c>
      <c r="L422" s="69"/>
    </row>
    <row r="423" spans="1:12" ht="14.4">
      <c r="A423" s="59"/>
      <c r="D423" s="60" t="s">
        <v>894</v>
      </c>
      <c r="E423" s="60" t="s">
        <v>895</v>
      </c>
      <c r="G423" s="68">
        <v>14.9</v>
      </c>
      <c r="L423" s="69"/>
    </row>
    <row r="424" spans="1:12" ht="14.4">
      <c r="A424" s="59"/>
      <c r="D424" s="60" t="s">
        <v>896</v>
      </c>
      <c r="E424" s="60" t="s">
        <v>897</v>
      </c>
      <c r="G424" s="68">
        <v>10.3</v>
      </c>
      <c r="L424" s="69"/>
    </row>
    <row r="425" spans="1:12" ht="14.4">
      <c r="A425" s="59"/>
      <c r="D425" s="60" t="s">
        <v>898</v>
      </c>
      <c r="E425" s="60" t="s">
        <v>899</v>
      </c>
      <c r="G425" s="68">
        <v>3</v>
      </c>
      <c r="L425" s="69"/>
    </row>
    <row r="426" spans="1:75" ht="13.5" customHeight="1">
      <c r="A426" s="1" t="s">
        <v>900</v>
      </c>
      <c r="B426" s="2" t="s">
        <v>116</v>
      </c>
      <c r="C426" s="2" t="s">
        <v>875</v>
      </c>
      <c r="D426" s="147" t="s">
        <v>901</v>
      </c>
      <c r="E426" s="148"/>
      <c r="F426" s="2" t="s">
        <v>729</v>
      </c>
      <c r="G426" s="55">
        <v>119</v>
      </c>
      <c r="H426" s="56">
        <v>0</v>
      </c>
      <c r="I426" s="55">
        <f>G426*H426</f>
        <v>0</v>
      </c>
      <c r="J426" s="55">
        <v>0.0039</v>
      </c>
      <c r="K426" s="55">
        <f>G426*J426</f>
        <v>0.46409999999999996</v>
      </c>
      <c r="L426" s="57" t="s">
        <v>785</v>
      </c>
      <c r="Z426" s="55">
        <f>IF(AQ426="5",BJ426,0)</f>
        <v>0</v>
      </c>
      <c r="AB426" s="55">
        <f>IF(AQ426="1",BH426,0)</f>
        <v>0</v>
      </c>
      <c r="AC426" s="55">
        <f>IF(AQ426="1",BI426,0)</f>
        <v>0</v>
      </c>
      <c r="AD426" s="55">
        <f>IF(AQ426="7",BH426,0)</f>
        <v>0</v>
      </c>
      <c r="AE426" s="55">
        <f>IF(AQ426="7",BI426,0)</f>
        <v>0</v>
      </c>
      <c r="AF426" s="55">
        <f>IF(AQ426="2",BH426,0)</f>
        <v>0</v>
      </c>
      <c r="AG426" s="55">
        <f>IF(AQ426="2",BI426,0)</f>
        <v>0</v>
      </c>
      <c r="AH426" s="55">
        <f>IF(AQ426="0",BJ426,0)</f>
        <v>0</v>
      </c>
      <c r="AI426" s="34" t="s">
        <v>116</v>
      </c>
      <c r="AJ426" s="55">
        <f>IF(AN426=0,I426,0)</f>
        <v>0</v>
      </c>
      <c r="AK426" s="55">
        <f>IF(AN426=12,I426,0)</f>
        <v>0</v>
      </c>
      <c r="AL426" s="55">
        <f>IF(AN426=21,I426,0)</f>
        <v>0</v>
      </c>
      <c r="AN426" s="55">
        <v>21</v>
      </c>
      <c r="AO426" s="55">
        <f>H426*1</f>
        <v>0</v>
      </c>
      <c r="AP426" s="55">
        <f>H426*(1-1)</f>
        <v>0</v>
      </c>
      <c r="AQ426" s="58" t="s">
        <v>120</v>
      </c>
      <c r="AV426" s="55">
        <f>AW426+AX426</f>
        <v>0</v>
      </c>
      <c r="AW426" s="55">
        <f>G426*AO426</f>
        <v>0</v>
      </c>
      <c r="AX426" s="55">
        <f>G426*AP426</f>
        <v>0</v>
      </c>
      <c r="AY426" s="58" t="s">
        <v>813</v>
      </c>
      <c r="AZ426" s="58" t="s">
        <v>787</v>
      </c>
      <c r="BA426" s="34" t="s">
        <v>128</v>
      </c>
      <c r="BB426" s="67">
        <v>100002</v>
      </c>
      <c r="BC426" s="55">
        <f>AW426+AX426</f>
        <v>0</v>
      </c>
      <c r="BD426" s="55">
        <f>H426/(100-BE426)*100</f>
        <v>0</v>
      </c>
      <c r="BE426" s="55">
        <v>0</v>
      </c>
      <c r="BF426" s="55">
        <f>K426</f>
        <v>0.46409999999999996</v>
      </c>
      <c r="BH426" s="55">
        <f>G426*AO426</f>
        <v>0</v>
      </c>
      <c r="BI426" s="55">
        <f>G426*AP426</f>
        <v>0</v>
      </c>
      <c r="BJ426" s="55">
        <f>G426*H426</f>
        <v>0</v>
      </c>
      <c r="BK426" s="55"/>
      <c r="BL426" s="55">
        <v>34</v>
      </c>
      <c r="BW426" s="55">
        <v>21</v>
      </c>
    </row>
    <row r="427" spans="1:12" ht="13.5" customHeight="1">
      <c r="A427" s="59"/>
      <c r="D427" s="218" t="s">
        <v>877</v>
      </c>
      <c r="E427" s="219"/>
      <c r="F427" s="219"/>
      <c r="G427" s="219"/>
      <c r="H427" s="220"/>
      <c r="I427" s="219"/>
      <c r="J427" s="219"/>
      <c r="K427" s="219"/>
      <c r="L427" s="221"/>
    </row>
    <row r="428" spans="1:12" ht="14.4">
      <c r="A428" s="59"/>
      <c r="D428" s="60" t="s">
        <v>902</v>
      </c>
      <c r="E428" s="60" t="s">
        <v>4</v>
      </c>
      <c r="G428" s="68">
        <v>119</v>
      </c>
      <c r="L428" s="69"/>
    </row>
    <row r="429" spans="1:75" ht="13.5" customHeight="1">
      <c r="A429" s="1" t="s">
        <v>903</v>
      </c>
      <c r="B429" s="2" t="s">
        <v>116</v>
      </c>
      <c r="C429" s="2" t="s">
        <v>904</v>
      </c>
      <c r="D429" s="147" t="s">
        <v>905</v>
      </c>
      <c r="E429" s="148"/>
      <c r="F429" s="2" t="s">
        <v>729</v>
      </c>
      <c r="G429" s="55">
        <v>1242.7</v>
      </c>
      <c r="H429" s="56">
        <v>0</v>
      </c>
      <c r="I429" s="55">
        <f>G429*H429</f>
        <v>0</v>
      </c>
      <c r="J429" s="55">
        <v>0</v>
      </c>
      <c r="K429" s="55">
        <f>G429*J429</f>
        <v>0</v>
      </c>
      <c r="L429" s="57" t="s">
        <v>785</v>
      </c>
      <c r="Z429" s="55">
        <f>IF(AQ429="5",BJ429,0)</f>
        <v>0</v>
      </c>
      <c r="AB429" s="55">
        <f>IF(AQ429="1",BH429,0)</f>
        <v>0</v>
      </c>
      <c r="AC429" s="55">
        <f>IF(AQ429="1",BI429,0)</f>
        <v>0</v>
      </c>
      <c r="AD429" s="55">
        <f>IF(AQ429="7",BH429,0)</f>
        <v>0</v>
      </c>
      <c r="AE429" s="55">
        <f>IF(AQ429="7",BI429,0)</f>
        <v>0</v>
      </c>
      <c r="AF429" s="55">
        <f>IF(AQ429="2",BH429,0)</f>
        <v>0</v>
      </c>
      <c r="AG429" s="55">
        <f>IF(AQ429="2",BI429,0)</f>
        <v>0</v>
      </c>
      <c r="AH429" s="55">
        <f>IF(AQ429="0",BJ429,0)</f>
        <v>0</v>
      </c>
      <c r="AI429" s="34" t="s">
        <v>116</v>
      </c>
      <c r="AJ429" s="55">
        <f>IF(AN429=0,I429,0)</f>
        <v>0</v>
      </c>
      <c r="AK429" s="55">
        <f>IF(AN429=12,I429,0)</f>
        <v>0</v>
      </c>
      <c r="AL429" s="55">
        <f>IF(AN429=21,I429,0)</f>
        <v>0</v>
      </c>
      <c r="AN429" s="55">
        <v>21</v>
      </c>
      <c r="AO429" s="55">
        <f>H429*0.052558129</f>
        <v>0</v>
      </c>
      <c r="AP429" s="55">
        <f>H429*(1-0.052558129)</f>
        <v>0</v>
      </c>
      <c r="AQ429" s="58" t="s">
        <v>120</v>
      </c>
      <c r="AV429" s="55">
        <f>AW429+AX429</f>
        <v>0</v>
      </c>
      <c r="AW429" s="55">
        <f>G429*AO429</f>
        <v>0</v>
      </c>
      <c r="AX429" s="55">
        <f>G429*AP429</f>
        <v>0</v>
      </c>
      <c r="AY429" s="58" t="s">
        <v>813</v>
      </c>
      <c r="AZ429" s="58" t="s">
        <v>787</v>
      </c>
      <c r="BA429" s="34" t="s">
        <v>128</v>
      </c>
      <c r="BB429" s="67">
        <v>100002</v>
      </c>
      <c r="BC429" s="55">
        <f>AW429+AX429</f>
        <v>0</v>
      </c>
      <c r="BD429" s="55">
        <f>H429/(100-BE429)*100</f>
        <v>0</v>
      </c>
      <c r="BE429" s="55">
        <v>0</v>
      </c>
      <c r="BF429" s="55">
        <f>K429</f>
        <v>0</v>
      </c>
      <c r="BH429" s="55">
        <f>G429*AO429</f>
        <v>0</v>
      </c>
      <c r="BI429" s="55">
        <f>G429*AP429</f>
        <v>0</v>
      </c>
      <c r="BJ429" s="55">
        <f>G429*H429</f>
        <v>0</v>
      </c>
      <c r="BK429" s="55"/>
      <c r="BL429" s="55">
        <v>34</v>
      </c>
      <c r="BW429" s="55">
        <v>21</v>
      </c>
    </row>
    <row r="430" spans="1:12" ht="14.4">
      <c r="A430" s="59"/>
      <c r="D430" s="60" t="s">
        <v>502</v>
      </c>
      <c r="E430" s="60" t="s">
        <v>906</v>
      </c>
      <c r="G430" s="68">
        <v>119</v>
      </c>
      <c r="L430" s="69"/>
    </row>
    <row r="431" spans="1:12" ht="14.4">
      <c r="A431" s="59"/>
      <c r="D431" s="60" t="s">
        <v>907</v>
      </c>
      <c r="E431" s="60" t="s">
        <v>908</v>
      </c>
      <c r="G431" s="68">
        <v>27.6</v>
      </c>
      <c r="L431" s="69"/>
    </row>
    <row r="432" spans="1:12" ht="14.4">
      <c r="A432" s="59"/>
      <c r="D432" s="60" t="s">
        <v>909</v>
      </c>
      <c r="E432" s="60" t="s">
        <v>910</v>
      </c>
      <c r="G432" s="68">
        <v>165</v>
      </c>
      <c r="L432" s="69"/>
    </row>
    <row r="433" spans="1:12" ht="14.4">
      <c r="A433" s="59"/>
      <c r="D433" s="60" t="s">
        <v>911</v>
      </c>
      <c r="E433" s="60" t="s">
        <v>912</v>
      </c>
      <c r="G433" s="68">
        <v>515</v>
      </c>
      <c r="L433" s="69"/>
    </row>
    <row r="434" spans="1:12" ht="14.4">
      <c r="A434" s="59"/>
      <c r="D434" s="60" t="s">
        <v>289</v>
      </c>
      <c r="E434" s="60" t="s">
        <v>913</v>
      </c>
      <c r="G434" s="68">
        <v>53</v>
      </c>
      <c r="L434" s="69"/>
    </row>
    <row r="435" spans="1:12" ht="14.4">
      <c r="A435" s="59"/>
      <c r="D435" s="60" t="s">
        <v>873</v>
      </c>
      <c r="E435" s="60" t="s">
        <v>914</v>
      </c>
      <c r="G435" s="68">
        <v>136.8</v>
      </c>
      <c r="L435" s="69"/>
    </row>
    <row r="436" spans="1:12" ht="14.4">
      <c r="A436" s="59"/>
      <c r="D436" s="60" t="s">
        <v>868</v>
      </c>
      <c r="E436" s="60" t="s">
        <v>915</v>
      </c>
      <c r="G436" s="68">
        <v>226.3</v>
      </c>
      <c r="L436" s="69"/>
    </row>
    <row r="437" spans="1:75" ht="13.5" customHeight="1">
      <c r="A437" s="1" t="s">
        <v>916</v>
      </c>
      <c r="B437" s="2" t="s">
        <v>116</v>
      </c>
      <c r="C437" s="2" t="s">
        <v>917</v>
      </c>
      <c r="D437" s="147" t="s">
        <v>918</v>
      </c>
      <c r="E437" s="148"/>
      <c r="F437" s="2" t="s">
        <v>729</v>
      </c>
      <c r="G437" s="55">
        <v>55.7</v>
      </c>
      <c r="H437" s="56">
        <v>0</v>
      </c>
      <c r="I437" s="55">
        <f>G437*H437</f>
        <v>0</v>
      </c>
      <c r="J437" s="55">
        <v>2E-05</v>
      </c>
      <c r="K437" s="55">
        <f>G437*J437</f>
        <v>0.0011140000000000002</v>
      </c>
      <c r="L437" s="57" t="s">
        <v>785</v>
      </c>
      <c r="Z437" s="55">
        <f>IF(AQ437="5",BJ437,0)</f>
        <v>0</v>
      </c>
      <c r="AB437" s="55">
        <f>IF(AQ437="1",BH437,0)</f>
        <v>0</v>
      </c>
      <c r="AC437" s="55">
        <f>IF(AQ437="1",BI437,0)</f>
        <v>0</v>
      </c>
      <c r="AD437" s="55">
        <f>IF(AQ437="7",BH437,0)</f>
        <v>0</v>
      </c>
      <c r="AE437" s="55">
        <f>IF(AQ437="7",BI437,0)</f>
        <v>0</v>
      </c>
      <c r="AF437" s="55">
        <f>IF(AQ437="2",BH437,0)</f>
        <v>0</v>
      </c>
      <c r="AG437" s="55">
        <f>IF(AQ437="2",BI437,0)</f>
        <v>0</v>
      </c>
      <c r="AH437" s="55">
        <f>IF(AQ437="0",BJ437,0)</f>
        <v>0</v>
      </c>
      <c r="AI437" s="34" t="s">
        <v>116</v>
      </c>
      <c r="AJ437" s="55">
        <f>IF(AN437=0,I437,0)</f>
        <v>0</v>
      </c>
      <c r="AK437" s="55">
        <f>IF(AN437=12,I437,0)</f>
        <v>0</v>
      </c>
      <c r="AL437" s="55">
        <f>IF(AN437=21,I437,0)</f>
        <v>0</v>
      </c>
      <c r="AN437" s="55">
        <v>21</v>
      </c>
      <c r="AO437" s="55">
        <f>H437*0.024862821</f>
        <v>0</v>
      </c>
      <c r="AP437" s="55">
        <f>H437*(1-0.024862821)</f>
        <v>0</v>
      </c>
      <c r="AQ437" s="58" t="s">
        <v>120</v>
      </c>
      <c r="AV437" s="55">
        <f>AW437+AX437</f>
        <v>0</v>
      </c>
      <c r="AW437" s="55">
        <f>G437*AO437</f>
        <v>0</v>
      </c>
      <c r="AX437" s="55">
        <f>G437*AP437</f>
        <v>0</v>
      </c>
      <c r="AY437" s="58" t="s">
        <v>813</v>
      </c>
      <c r="AZ437" s="58" t="s">
        <v>787</v>
      </c>
      <c r="BA437" s="34" t="s">
        <v>128</v>
      </c>
      <c r="BB437" s="67">
        <v>100002</v>
      </c>
      <c r="BC437" s="55">
        <f>AW437+AX437</f>
        <v>0</v>
      </c>
      <c r="BD437" s="55">
        <f>H437/(100-BE437)*100</f>
        <v>0</v>
      </c>
      <c r="BE437" s="55">
        <v>0</v>
      </c>
      <c r="BF437" s="55">
        <f>K437</f>
        <v>0.0011140000000000002</v>
      </c>
      <c r="BH437" s="55">
        <f>G437*AO437</f>
        <v>0</v>
      </c>
      <c r="BI437" s="55">
        <f>G437*AP437</f>
        <v>0</v>
      </c>
      <c r="BJ437" s="55">
        <f>G437*H437</f>
        <v>0</v>
      </c>
      <c r="BK437" s="55"/>
      <c r="BL437" s="55">
        <v>34</v>
      </c>
      <c r="BW437" s="55">
        <v>21</v>
      </c>
    </row>
    <row r="438" spans="1:12" ht="13.5" customHeight="1">
      <c r="A438" s="59"/>
      <c r="D438" s="218" t="s">
        <v>919</v>
      </c>
      <c r="E438" s="219"/>
      <c r="F438" s="219"/>
      <c r="G438" s="219"/>
      <c r="H438" s="220"/>
      <c r="I438" s="219"/>
      <c r="J438" s="219"/>
      <c r="K438" s="219"/>
      <c r="L438" s="221"/>
    </row>
    <row r="439" spans="1:12" ht="14.4">
      <c r="A439" s="59"/>
      <c r="D439" s="60" t="s">
        <v>920</v>
      </c>
      <c r="E439" s="60" t="s">
        <v>4</v>
      </c>
      <c r="G439" s="68">
        <v>55.7</v>
      </c>
      <c r="L439" s="69"/>
    </row>
    <row r="440" spans="1:47" ht="14.4">
      <c r="A440" s="50" t="s">
        <v>4</v>
      </c>
      <c r="B440" s="51" t="s">
        <v>116</v>
      </c>
      <c r="C440" s="51" t="s">
        <v>247</v>
      </c>
      <c r="D440" s="222" t="s">
        <v>921</v>
      </c>
      <c r="E440" s="223"/>
      <c r="F440" s="52" t="s">
        <v>79</v>
      </c>
      <c r="G440" s="52" t="s">
        <v>79</v>
      </c>
      <c r="H440" s="53" t="s">
        <v>79</v>
      </c>
      <c r="I440" s="27">
        <f>SUM(I441:I447)</f>
        <v>0</v>
      </c>
      <c r="J440" s="34" t="s">
        <v>4</v>
      </c>
      <c r="K440" s="27">
        <f>SUM(K441:K447)</f>
        <v>3.7564425000000004</v>
      </c>
      <c r="L440" s="54" t="s">
        <v>4</v>
      </c>
      <c r="AI440" s="34" t="s">
        <v>116</v>
      </c>
      <c r="AS440" s="27">
        <f>SUM(AJ441:AJ447)</f>
        <v>0</v>
      </c>
      <c r="AT440" s="27">
        <f>SUM(AK441:AK447)</f>
        <v>0</v>
      </c>
      <c r="AU440" s="27">
        <f>SUM(AL441:AL447)</f>
        <v>0</v>
      </c>
    </row>
    <row r="441" spans="1:75" ht="13.5" customHeight="1">
      <c r="A441" s="1" t="s">
        <v>922</v>
      </c>
      <c r="B441" s="2" t="s">
        <v>116</v>
      </c>
      <c r="C441" s="2" t="s">
        <v>923</v>
      </c>
      <c r="D441" s="147" t="s">
        <v>924</v>
      </c>
      <c r="E441" s="148"/>
      <c r="F441" s="2" t="s">
        <v>792</v>
      </c>
      <c r="G441" s="55">
        <v>1.43</v>
      </c>
      <c r="H441" s="56">
        <v>0</v>
      </c>
      <c r="I441" s="55">
        <f>G441*H441</f>
        <v>0</v>
      </c>
      <c r="J441" s="55">
        <v>2.52511</v>
      </c>
      <c r="K441" s="55">
        <f>G441*J441</f>
        <v>3.6109073</v>
      </c>
      <c r="L441" s="57" t="s">
        <v>785</v>
      </c>
      <c r="Z441" s="55">
        <f>IF(AQ441="5",BJ441,0)</f>
        <v>0</v>
      </c>
      <c r="AB441" s="55">
        <f>IF(AQ441="1",BH441,0)</f>
        <v>0</v>
      </c>
      <c r="AC441" s="55">
        <f>IF(AQ441="1",BI441,0)</f>
        <v>0</v>
      </c>
      <c r="AD441" s="55">
        <f>IF(AQ441="7",BH441,0)</f>
        <v>0</v>
      </c>
      <c r="AE441" s="55">
        <f>IF(AQ441="7",BI441,0)</f>
        <v>0</v>
      </c>
      <c r="AF441" s="55">
        <f>IF(AQ441="2",BH441,0)</f>
        <v>0</v>
      </c>
      <c r="AG441" s="55">
        <f>IF(AQ441="2",BI441,0)</f>
        <v>0</v>
      </c>
      <c r="AH441" s="55">
        <f>IF(AQ441="0",BJ441,0)</f>
        <v>0</v>
      </c>
      <c r="AI441" s="34" t="s">
        <v>116</v>
      </c>
      <c r="AJ441" s="55">
        <f>IF(AN441=0,I441,0)</f>
        <v>0</v>
      </c>
      <c r="AK441" s="55">
        <f>IF(AN441=12,I441,0)</f>
        <v>0</v>
      </c>
      <c r="AL441" s="55">
        <f>IF(AN441=21,I441,0)</f>
        <v>0</v>
      </c>
      <c r="AN441" s="55">
        <v>21</v>
      </c>
      <c r="AO441" s="55">
        <f>H441*0.839186695</f>
        <v>0</v>
      </c>
      <c r="AP441" s="55">
        <f>H441*(1-0.839186695)</f>
        <v>0</v>
      </c>
      <c r="AQ441" s="58" t="s">
        <v>120</v>
      </c>
      <c r="AV441" s="55">
        <f>AW441+AX441</f>
        <v>0</v>
      </c>
      <c r="AW441" s="55">
        <f>G441*AO441</f>
        <v>0</v>
      </c>
      <c r="AX441" s="55">
        <f>G441*AP441</f>
        <v>0</v>
      </c>
      <c r="AY441" s="58" t="s">
        <v>925</v>
      </c>
      <c r="AZ441" s="58" t="s">
        <v>926</v>
      </c>
      <c r="BA441" s="34" t="s">
        <v>128</v>
      </c>
      <c r="BB441" s="67">
        <v>100050</v>
      </c>
      <c r="BC441" s="55">
        <f>AW441+AX441</f>
        <v>0</v>
      </c>
      <c r="BD441" s="55">
        <f>H441/(100-BE441)*100</f>
        <v>0</v>
      </c>
      <c r="BE441" s="55">
        <v>0</v>
      </c>
      <c r="BF441" s="55">
        <f>K441</f>
        <v>3.6109073</v>
      </c>
      <c r="BH441" s="55">
        <f>G441*AO441</f>
        <v>0</v>
      </c>
      <c r="BI441" s="55">
        <f>G441*AP441</f>
        <v>0</v>
      </c>
      <c r="BJ441" s="55">
        <f>G441*H441</f>
        <v>0</v>
      </c>
      <c r="BK441" s="55"/>
      <c r="BL441" s="55">
        <v>41</v>
      </c>
      <c r="BW441" s="55">
        <v>21</v>
      </c>
    </row>
    <row r="442" spans="1:12" ht="14.4">
      <c r="A442" s="59"/>
      <c r="D442" s="60" t="s">
        <v>927</v>
      </c>
      <c r="E442" s="60" t="s">
        <v>4</v>
      </c>
      <c r="G442" s="68">
        <v>1.43</v>
      </c>
      <c r="L442" s="69"/>
    </row>
    <row r="443" spans="1:75" ht="13.5" customHeight="1">
      <c r="A443" s="1" t="s">
        <v>928</v>
      </c>
      <c r="B443" s="2" t="s">
        <v>116</v>
      </c>
      <c r="C443" s="2" t="s">
        <v>929</v>
      </c>
      <c r="D443" s="147" t="s">
        <v>930</v>
      </c>
      <c r="E443" s="148"/>
      <c r="F443" s="2" t="s">
        <v>729</v>
      </c>
      <c r="G443" s="55">
        <v>5.61</v>
      </c>
      <c r="H443" s="56">
        <v>0</v>
      </c>
      <c r="I443" s="55">
        <f>G443*H443</f>
        <v>0</v>
      </c>
      <c r="J443" s="55">
        <v>0.00782</v>
      </c>
      <c r="K443" s="55">
        <f>G443*J443</f>
        <v>0.043870200000000005</v>
      </c>
      <c r="L443" s="57" t="s">
        <v>785</v>
      </c>
      <c r="Z443" s="55">
        <f>IF(AQ443="5",BJ443,0)</f>
        <v>0</v>
      </c>
      <c r="AB443" s="55">
        <f>IF(AQ443="1",BH443,0)</f>
        <v>0</v>
      </c>
      <c r="AC443" s="55">
        <f>IF(AQ443="1",BI443,0)</f>
        <v>0</v>
      </c>
      <c r="AD443" s="55">
        <f>IF(AQ443="7",BH443,0)</f>
        <v>0</v>
      </c>
      <c r="AE443" s="55">
        <f>IF(AQ443="7",BI443,0)</f>
        <v>0</v>
      </c>
      <c r="AF443" s="55">
        <f>IF(AQ443="2",BH443,0)</f>
        <v>0</v>
      </c>
      <c r="AG443" s="55">
        <f>IF(AQ443="2",BI443,0)</f>
        <v>0</v>
      </c>
      <c r="AH443" s="55">
        <f>IF(AQ443="0",BJ443,0)</f>
        <v>0</v>
      </c>
      <c r="AI443" s="34" t="s">
        <v>116</v>
      </c>
      <c r="AJ443" s="55">
        <f>IF(AN443=0,I443,0)</f>
        <v>0</v>
      </c>
      <c r="AK443" s="55">
        <f>IF(AN443=12,I443,0)</f>
        <v>0</v>
      </c>
      <c r="AL443" s="55">
        <f>IF(AN443=21,I443,0)</f>
        <v>0</v>
      </c>
      <c r="AN443" s="55">
        <v>21</v>
      </c>
      <c r="AO443" s="55">
        <f>H443*0.206732963</f>
        <v>0</v>
      </c>
      <c r="AP443" s="55">
        <f>H443*(1-0.206732963)</f>
        <v>0</v>
      </c>
      <c r="AQ443" s="58" t="s">
        <v>120</v>
      </c>
      <c r="AV443" s="55">
        <f>AW443+AX443</f>
        <v>0</v>
      </c>
      <c r="AW443" s="55">
        <f>G443*AO443</f>
        <v>0</v>
      </c>
      <c r="AX443" s="55">
        <f>G443*AP443</f>
        <v>0</v>
      </c>
      <c r="AY443" s="58" t="s">
        <v>925</v>
      </c>
      <c r="AZ443" s="58" t="s">
        <v>926</v>
      </c>
      <c r="BA443" s="34" t="s">
        <v>128</v>
      </c>
      <c r="BB443" s="67">
        <v>100050</v>
      </c>
      <c r="BC443" s="55">
        <f>AW443+AX443</f>
        <v>0</v>
      </c>
      <c r="BD443" s="55">
        <f>H443/(100-BE443)*100</f>
        <v>0</v>
      </c>
      <c r="BE443" s="55">
        <v>0</v>
      </c>
      <c r="BF443" s="55">
        <f>K443</f>
        <v>0.043870200000000005</v>
      </c>
      <c r="BH443" s="55">
        <f>G443*AO443</f>
        <v>0</v>
      </c>
      <c r="BI443" s="55">
        <f>G443*AP443</f>
        <v>0</v>
      </c>
      <c r="BJ443" s="55">
        <f>G443*H443</f>
        <v>0</v>
      </c>
      <c r="BK443" s="55"/>
      <c r="BL443" s="55">
        <v>41</v>
      </c>
      <c r="BW443" s="55">
        <v>21</v>
      </c>
    </row>
    <row r="444" spans="1:12" ht="14.4">
      <c r="A444" s="59"/>
      <c r="D444" s="60" t="s">
        <v>931</v>
      </c>
      <c r="E444" s="60" t="s">
        <v>932</v>
      </c>
      <c r="G444" s="68">
        <v>5.61</v>
      </c>
      <c r="L444" s="69"/>
    </row>
    <row r="445" spans="1:75" ht="13.5" customHeight="1">
      <c r="A445" s="1" t="s">
        <v>933</v>
      </c>
      <c r="B445" s="2" t="s">
        <v>116</v>
      </c>
      <c r="C445" s="2" t="s">
        <v>934</v>
      </c>
      <c r="D445" s="147" t="s">
        <v>935</v>
      </c>
      <c r="E445" s="148"/>
      <c r="F445" s="2" t="s">
        <v>729</v>
      </c>
      <c r="G445" s="55">
        <v>5.61</v>
      </c>
      <c r="H445" s="56">
        <v>0</v>
      </c>
      <c r="I445" s="55">
        <f>G445*H445</f>
        <v>0</v>
      </c>
      <c r="J445" s="55">
        <v>0</v>
      </c>
      <c r="K445" s="55">
        <f>G445*J445</f>
        <v>0</v>
      </c>
      <c r="L445" s="57" t="s">
        <v>785</v>
      </c>
      <c r="Z445" s="55">
        <f>IF(AQ445="5",BJ445,0)</f>
        <v>0</v>
      </c>
      <c r="AB445" s="55">
        <f>IF(AQ445="1",BH445,0)</f>
        <v>0</v>
      </c>
      <c r="AC445" s="55">
        <f>IF(AQ445="1",BI445,0)</f>
        <v>0</v>
      </c>
      <c r="AD445" s="55">
        <f>IF(AQ445="7",BH445,0)</f>
        <v>0</v>
      </c>
      <c r="AE445" s="55">
        <f>IF(AQ445="7",BI445,0)</f>
        <v>0</v>
      </c>
      <c r="AF445" s="55">
        <f>IF(AQ445="2",BH445,0)</f>
        <v>0</v>
      </c>
      <c r="AG445" s="55">
        <f>IF(AQ445="2",BI445,0)</f>
        <v>0</v>
      </c>
      <c r="AH445" s="55">
        <f>IF(AQ445="0",BJ445,0)</f>
        <v>0</v>
      </c>
      <c r="AI445" s="34" t="s">
        <v>116</v>
      </c>
      <c r="AJ445" s="55">
        <f>IF(AN445=0,I445,0)</f>
        <v>0</v>
      </c>
      <c r="AK445" s="55">
        <f>IF(AN445=12,I445,0)</f>
        <v>0</v>
      </c>
      <c r="AL445" s="55">
        <f>IF(AN445=21,I445,0)</f>
        <v>0</v>
      </c>
      <c r="AN445" s="55">
        <v>21</v>
      </c>
      <c r="AO445" s="55">
        <f>H445*0</f>
        <v>0</v>
      </c>
      <c r="AP445" s="55">
        <f>H445*(1-0)</f>
        <v>0</v>
      </c>
      <c r="AQ445" s="58" t="s">
        <v>120</v>
      </c>
      <c r="AV445" s="55">
        <f>AW445+AX445</f>
        <v>0</v>
      </c>
      <c r="AW445" s="55">
        <f>G445*AO445</f>
        <v>0</v>
      </c>
      <c r="AX445" s="55">
        <f>G445*AP445</f>
        <v>0</v>
      </c>
      <c r="AY445" s="58" t="s">
        <v>925</v>
      </c>
      <c r="AZ445" s="58" t="s">
        <v>926</v>
      </c>
      <c r="BA445" s="34" t="s">
        <v>128</v>
      </c>
      <c r="BB445" s="67">
        <v>100050</v>
      </c>
      <c r="BC445" s="55">
        <f>AW445+AX445</f>
        <v>0</v>
      </c>
      <c r="BD445" s="55">
        <f>H445/(100-BE445)*100</f>
        <v>0</v>
      </c>
      <c r="BE445" s="55">
        <v>0</v>
      </c>
      <c r="BF445" s="55">
        <f>K445</f>
        <v>0</v>
      </c>
      <c r="BH445" s="55">
        <f>G445*AO445</f>
        <v>0</v>
      </c>
      <c r="BI445" s="55">
        <f>G445*AP445</f>
        <v>0</v>
      </c>
      <c r="BJ445" s="55">
        <f>G445*H445</f>
        <v>0</v>
      </c>
      <c r="BK445" s="55"/>
      <c r="BL445" s="55">
        <v>41</v>
      </c>
      <c r="BW445" s="55">
        <v>21</v>
      </c>
    </row>
    <row r="446" spans="1:12" ht="14.4">
      <c r="A446" s="59"/>
      <c r="D446" s="60" t="s">
        <v>931</v>
      </c>
      <c r="E446" s="60" t="s">
        <v>4</v>
      </c>
      <c r="G446" s="68">
        <v>5.61</v>
      </c>
      <c r="L446" s="69"/>
    </row>
    <row r="447" spans="1:75" ht="13.5" customHeight="1">
      <c r="A447" s="1" t="s">
        <v>936</v>
      </c>
      <c r="B447" s="2" t="s">
        <v>116</v>
      </c>
      <c r="C447" s="2" t="s">
        <v>937</v>
      </c>
      <c r="D447" s="147" t="s">
        <v>938</v>
      </c>
      <c r="E447" s="148"/>
      <c r="F447" s="2" t="s">
        <v>939</v>
      </c>
      <c r="G447" s="55">
        <v>0.1</v>
      </c>
      <c r="H447" s="56">
        <v>0</v>
      </c>
      <c r="I447" s="55">
        <f>G447*H447</f>
        <v>0</v>
      </c>
      <c r="J447" s="55">
        <v>1.01665</v>
      </c>
      <c r="K447" s="55">
        <f>G447*J447</f>
        <v>0.101665</v>
      </c>
      <c r="L447" s="57" t="s">
        <v>785</v>
      </c>
      <c r="Z447" s="55">
        <f>IF(AQ447="5",BJ447,0)</f>
        <v>0</v>
      </c>
      <c r="AB447" s="55">
        <f>IF(AQ447="1",BH447,0)</f>
        <v>0</v>
      </c>
      <c r="AC447" s="55">
        <f>IF(AQ447="1",BI447,0)</f>
        <v>0</v>
      </c>
      <c r="AD447" s="55">
        <f>IF(AQ447="7",BH447,0)</f>
        <v>0</v>
      </c>
      <c r="AE447" s="55">
        <f>IF(AQ447="7",BI447,0)</f>
        <v>0</v>
      </c>
      <c r="AF447" s="55">
        <f>IF(AQ447="2",BH447,0)</f>
        <v>0</v>
      </c>
      <c r="AG447" s="55">
        <f>IF(AQ447="2",BI447,0)</f>
        <v>0</v>
      </c>
      <c r="AH447" s="55">
        <f>IF(AQ447="0",BJ447,0)</f>
        <v>0</v>
      </c>
      <c r="AI447" s="34" t="s">
        <v>116</v>
      </c>
      <c r="AJ447" s="55">
        <f>IF(AN447=0,I447,0)</f>
        <v>0</v>
      </c>
      <c r="AK447" s="55">
        <f>IF(AN447=12,I447,0)</f>
        <v>0</v>
      </c>
      <c r="AL447" s="55">
        <f>IF(AN447=21,I447,0)</f>
        <v>0</v>
      </c>
      <c r="AN447" s="55">
        <v>21</v>
      </c>
      <c r="AO447" s="55">
        <f>H447*0.721520211</f>
        <v>0</v>
      </c>
      <c r="AP447" s="55">
        <f>H447*(1-0.721520211)</f>
        <v>0</v>
      </c>
      <c r="AQ447" s="58" t="s">
        <v>120</v>
      </c>
      <c r="AV447" s="55">
        <f>AW447+AX447</f>
        <v>0</v>
      </c>
      <c r="AW447" s="55">
        <f>G447*AO447</f>
        <v>0</v>
      </c>
      <c r="AX447" s="55">
        <f>G447*AP447</f>
        <v>0</v>
      </c>
      <c r="AY447" s="58" t="s">
        <v>925</v>
      </c>
      <c r="AZ447" s="58" t="s">
        <v>926</v>
      </c>
      <c r="BA447" s="34" t="s">
        <v>128</v>
      </c>
      <c r="BB447" s="67">
        <v>100050</v>
      </c>
      <c r="BC447" s="55">
        <f>AW447+AX447</f>
        <v>0</v>
      </c>
      <c r="BD447" s="55">
        <f>H447/(100-BE447)*100</f>
        <v>0</v>
      </c>
      <c r="BE447" s="55">
        <v>0</v>
      </c>
      <c r="BF447" s="55">
        <f>K447</f>
        <v>0.101665</v>
      </c>
      <c r="BH447" s="55">
        <f>G447*AO447</f>
        <v>0</v>
      </c>
      <c r="BI447" s="55">
        <f>G447*AP447</f>
        <v>0</v>
      </c>
      <c r="BJ447" s="55">
        <f>G447*H447</f>
        <v>0</v>
      </c>
      <c r="BK447" s="55"/>
      <c r="BL447" s="55">
        <v>41</v>
      </c>
      <c r="BW447" s="55">
        <v>21</v>
      </c>
    </row>
    <row r="448" spans="1:12" ht="13.5" customHeight="1">
      <c r="A448" s="59"/>
      <c r="D448" s="218" t="s">
        <v>940</v>
      </c>
      <c r="E448" s="219"/>
      <c r="F448" s="219"/>
      <c r="G448" s="219"/>
      <c r="H448" s="220"/>
      <c r="I448" s="219"/>
      <c r="J448" s="219"/>
      <c r="K448" s="219"/>
      <c r="L448" s="221"/>
    </row>
    <row r="449" spans="1:12" ht="14.4">
      <c r="A449" s="59"/>
      <c r="D449" s="60" t="s">
        <v>941</v>
      </c>
      <c r="E449" s="60" t="s">
        <v>4</v>
      </c>
      <c r="G449" s="68">
        <v>0.1</v>
      </c>
      <c r="L449" s="69"/>
    </row>
    <row r="450" spans="1:47" ht="14.4">
      <c r="A450" s="50" t="s">
        <v>4</v>
      </c>
      <c r="B450" s="51" t="s">
        <v>116</v>
      </c>
      <c r="C450" s="51" t="s">
        <v>313</v>
      </c>
      <c r="D450" s="222" t="s">
        <v>942</v>
      </c>
      <c r="E450" s="223"/>
      <c r="F450" s="52" t="s">
        <v>79</v>
      </c>
      <c r="G450" s="52" t="s">
        <v>79</v>
      </c>
      <c r="H450" s="53" t="s">
        <v>79</v>
      </c>
      <c r="I450" s="27">
        <f>SUM(I451:I456)</f>
        <v>0</v>
      </c>
      <c r="J450" s="34" t="s">
        <v>4</v>
      </c>
      <c r="K450" s="27">
        <f>SUM(K451:K456)</f>
        <v>0.43514900000000006</v>
      </c>
      <c r="L450" s="54" t="s">
        <v>4</v>
      </c>
      <c r="AI450" s="34" t="s">
        <v>116</v>
      </c>
      <c r="AS450" s="27">
        <f>SUM(AJ451:AJ456)</f>
        <v>0</v>
      </c>
      <c r="AT450" s="27">
        <f>SUM(AK451:AK456)</f>
        <v>0</v>
      </c>
      <c r="AU450" s="27">
        <f>SUM(AL451:AL456)</f>
        <v>0</v>
      </c>
    </row>
    <row r="451" spans="1:75" ht="13.5" customHeight="1">
      <c r="A451" s="1" t="s">
        <v>943</v>
      </c>
      <c r="B451" s="2" t="s">
        <v>116</v>
      </c>
      <c r="C451" s="2" t="s">
        <v>944</v>
      </c>
      <c r="D451" s="147" t="s">
        <v>945</v>
      </c>
      <c r="E451" s="148"/>
      <c r="F451" s="2" t="s">
        <v>729</v>
      </c>
      <c r="G451" s="55">
        <v>8.3</v>
      </c>
      <c r="H451" s="56">
        <v>0</v>
      </c>
      <c r="I451" s="55">
        <f>G451*H451</f>
        <v>0</v>
      </c>
      <c r="J451" s="55">
        <v>0.04766</v>
      </c>
      <c r="K451" s="55">
        <f>G451*J451</f>
        <v>0.39557800000000004</v>
      </c>
      <c r="L451" s="57" t="s">
        <v>785</v>
      </c>
      <c r="Z451" s="55">
        <f>IF(AQ451="5",BJ451,0)</f>
        <v>0</v>
      </c>
      <c r="AB451" s="55">
        <f>IF(AQ451="1",BH451,0)</f>
        <v>0</v>
      </c>
      <c r="AC451" s="55">
        <f>IF(AQ451="1",BI451,0)</f>
        <v>0</v>
      </c>
      <c r="AD451" s="55">
        <f>IF(AQ451="7",BH451,0)</f>
        <v>0</v>
      </c>
      <c r="AE451" s="55">
        <f>IF(AQ451="7",BI451,0)</f>
        <v>0</v>
      </c>
      <c r="AF451" s="55">
        <f>IF(AQ451="2",BH451,0)</f>
        <v>0</v>
      </c>
      <c r="AG451" s="55">
        <f>IF(AQ451="2",BI451,0)</f>
        <v>0</v>
      </c>
      <c r="AH451" s="55">
        <f>IF(AQ451="0",BJ451,0)</f>
        <v>0</v>
      </c>
      <c r="AI451" s="34" t="s">
        <v>116</v>
      </c>
      <c r="AJ451" s="55">
        <f>IF(AN451=0,I451,0)</f>
        <v>0</v>
      </c>
      <c r="AK451" s="55">
        <f>IF(AN451=12,I451,0)</f>
        <v>0</v>
      </c>
      <c r="AL451" s="55">
        <f>IF(AN451=21,I451,0)</f>
        <v>0</v>
      </c>
      <c r="AN451" s="55">
        <v>21</v>
      </c>
      <c r="AO451" s="55">
        <f>H451*0.131226054</f>
        <v>0</v>
      </c>
      <c r="AP451" s="55">
        <f>H451*(1-0.131226054)</f>
        <v>0</v>
      </c>
      <c r="AQ451" s="58" t="s">
        <v>120</v>
      </c>
      <c r="AV451" s="55">
        <f>AW451+AX451</f>
        <v>0</v>
      </c>
      <c r="AW451" s="55">
        <f>G451*AO451</f>
        <v>0</v>
      </c>
      <c r="AX451" s="55">
        <f>G451*AP451</f>
        <v>0</v>
      </c>
      <c r="AY451" s="58" t="s">
        <v>946</v>
      </c>
      <c r="AZ451" s="58" t="s">
        <v>947</v>
      </c>
      <c r="BA451" s="34" t="s">
        <v>128</v>
      </c>
      <c r="BB451" s="67">
        <v>100038</v>
      </c>
      <c r="BC451" s="55">
        <f>AW451+AX451</f>
        <v>0</v>
      </c>
      <c r="BD451" s="55">
        <f>H451/(100-BE451)*100</f>
        <v>0</v>
      </c>
      <c r="BE451" s="55">
        <v>0</v>
      </c>
      <c r="BF451" s="55">
        <f>K451</f>
        <v>0.39557800000000004</v>
      </c>
      <c r="BH451" s="55">
        <f>G451*AO451</f>
        <v>0</v>
      </c>
      <c r="BI451" s="55">
        <f>G451*AP451</f>
        <v>0</v>
      </c>
      <c r="BJ451" s="55">
        <f>G451*H451</f>
        <v>0</v>
      </c>
      <c r="BK451" s="55"/>
      <c r="BL451" s="55">
        <v>61</v>
      </c>
      <c r="BW451" s="55">
        <v>21</v>
      </c>
    </row>
    <row r="452" spans="1:12" ht="14.4">
      <c r="A452" s="59"/>
      <c r="D452" s="60" t="s">
        <v>948</v>
      </c>
      <c r="E452" s="60" t="s">
        <v>4</v>
      </c>
      <c r="G452" s="68">
        <v>8.3</v>
      </c>
      <c r="L452" s="69"/>
    </row>
    <row r="453" spans="1:75" ht="13.5" customHeight="1">
      <c r="A453" s="1" t="s">
        <v>949</v>
      </c>
      <c r="B453" s="2" t="s">
        <v>116</v>
      </c>
      <c r="C453" s="2" t="s">
        <v>950</v>
      </c>
      <c r="D453" s="147" t="s">
        <v>951</v>
      </c>
      <c r="E453" s="148"/>
      <c r="F453" s="2" t="s">
        <v>374</v>
      </c>
      <c r="G453" s="55">
        <v>0.7</v>
      </c>
      <c r="H453" s="56">
        <v>0</v>
      </c>
      <c r="I453" s="55">
        <f>G453*H453</f>
        <v>0</v>
      </c>
      <c r="J453" s="55">
        <v>0.03562</v>
      </c>
      <c r="K453" s="55">
        <f>G453*J453</f>
        <v>0.024933999999999998</v>
      </c>
      <c r="L453" s="57" t="s">
        <v>785</v>
      </c>
      <c r="Z453" s="55">
        <f>IF(AQ453="5",BJ453,0)</f>
        <v>0</v>
      </c>
      <c r="AB453" s="55">
        <f>IF(AQ453="1",BH453,0)</f>
        <v>0</v>
      </c>
      <c r="AC453" s="55">
        <f>IF(AQ453="1",BI453,0)</f>
        <v>0</v>
      </c>
      <c r="AD453" s="55">
        <f>IF(AQ453="7",BH453,0)</f>
        <v>0</v>
      </c>
      <c r="AE453" s="55">
        <f>IF(AQ453="7",BI453,0)</f>
        <v>0</v>
      </c>
      <c r="AF453" s="55">
        <f>IF(AQ453="2",BH453,0)</f>
        <v>0</v>
      </c>
      <c r="AG453" s="55">
        <f>IF(AQ453="2",BI453,0)</f>
        <v>0</v>
      </c>
      <c r="AH453" s="55">
        <f>IF(AQ453="0",BJ453,0)</f>
        <v>0</v>
      </c>
      <c r="AI453" s="34" t="s">
        <v>116</v>
      </c>
      <c r="AJ453" s="55">
        <f>IF(AN453=0,I453,0)</f>
        <v>0</v>
      </c>
      <c r="AK453" s="55">
        <f>IF(AN453=12,I453,0)</f>
        <v>0</v>
      </c>
      <c r="AL453" s="55">
        <f>IF(AN453=21,I453,0)</f>
        <v>0</v>
      </c>
      <c r="AN453" s="55">
        <v>21</v>
      </c>
      <c r="AO453" s="55">
        <f>H453*0.381144279</f>
        <v>0</v>
      </c>
      <c r="AP453" s="55">
        <f>H453*(1-0.381144279)</f>
        <v>0</v>
      </c>
      <c r="AQ453" s="58" t="s">
        <v>120</v>
      </c>
      <c r="AV453" s="55">
        <f>AW453+AX453</f>
        <v>0</v>
      </c>
      <c r="AW453" s="55">
        <f>G453*AO453</f>
        <v>0</v>
      </c>
      <c r="AX453" s="55">
        <f>G453*AP453</f>
        <v>0</v>
      </c>
      <c r="AY453" s="58" t="s">
        <v>946</v>
      </c>
      <c r="AZ453" s="58" t="s">
        <v>947</v>
      </c>
      <c r="BA453" s="34" t="s">
        <v>128</v>
      </c>
      <c r="BB453" s="67">
        <v>100038</v>
      </c>
      <c r="BC453" s="55">
        <f>AW453+AX453</f>
        <v>0</v>
      </c>
      <c r="BD453" s="55">
        <f>H453/(100-BE453)*100</f>
        <v>0</v>
      </c>
      <c r="BE453" s="55">
        <v>0</v>
      </c>
      <c r="BF453" s="55">
        <f>K453</f>
        <v>0.024933999999999998</v>
      </c>
      <c r="BH453" s="55">
        <f>G453*AO453</f>
        <v>0</v>
      </c>
      <c r="BI453" s="55">
        <f>G453*AP453</f>
        <v>0</v>
      </c>
      <c r="BJ453" s="55">
        <f>G453*H453</f>
        <v>0</v>
      </c>
      <c r="BK453" s="55"/>
      <c r="BL453" s="55">
        <v>61</v>
      </c>
      <c r="BW453" s="55">
        <v>21</v>
      </c>
    </row>
    <row r="454" spans="1:12" ht="13.5" customHeight="1">
      <c r="A454" s="59"/>
      <c r="D454" s="218" t="s">
        <v>788</v>
      </c>
      <c r="E454" s="219"/>
      <c r="F454" s="219"/>
      <c r="G454" s="219"/>
      <c r="H454" s="220"/>
      <c r="I454" s="219"/>
      <c r="J454" s="219"/>
      <c r="K454" s="219"/>
      <c r="L454" s="221"/>
    </row>
    <row r="455" spans="1:12" ht="14.4">
      <c r="A455" s="59"/>
      <c r="D455" s="60" t="s">
        <v>952</v>
      </c>
      <c r="E455" s="60" t="s">
        <v>4</v>
      </c>
      <c r="G455" s="68">
        <v>0.7</v>
      </c>
      <c r="L455" s="69"/>
    </row>
    <row r="456" spans="1:75" ht="13.5" customHeight="1">
      <c r="A456" s="1" t="s">
        <v>953</v>
      </c>
      <c r="B456" s="2" t="s">
        <v>116</v>
      </c>
      <c r="C456" s="2" t="s">
        <v>954</v>
      </c>
      <c r="D456" s="147" t="s">
        <v>955</v>
      </c>
      <c r="E456" s="148"/>
      <c r="F456" s="2" t="s">
        <v>174</v>
      </c>
      <c r="G456" s="55">
        <v>6.15</v>
      </c>
      <c r="H456" s="56">
        <v>0</v>
      </c>
      <c r="I456" s="55">
        <f>G456*H456</f>
        <v>0</v>
      </c>
      <c r="J456" s="55">
        <v>0.00238</v>
      </c>
      <c r="K456" s="55">
        <f>G456*J456</f>
        <v>0.014637000000000002</v>
      </c>
      <c r="L456" s="57" t="s">
        <v>785</v>
      </c>
      <c r="Z456" s="55">
        <f>IF(AQ456="5",BJ456,0)</f>
        <v>0</v>
      </c>
      <c r="AB456" s="55">
        <f>IF(AQ456="1",BH456,0)</f>
        <v>0</v>
      </c>
      <c r="AC456" s="55">
        <f>IF(AQ456="1",BI456,0)</f>
        <v>0</v>
      </c>
      <c r="AD456" s="55">
        <f>IF(AQ456="7",BH456,0)</f>
        <v>0</v>
      </c>
      <c r="AE456" s="55">
        <f>IF(AQ456="7",BI456,0)</f>
        <v>0</v>
      </c>
      <c r="AF456" s="55">
        <f>IF(AQ456="2",BH456,0)</f>
        <v>0</v>
      </c>
      <c r="AG456" s="55">
        <f>IF(AQ456="2",BI456,0)</f>
        <v>0</v>
      </c>
      <c r="AH456" s="55">
        <f>IF(AQ456="0",BJ456,0)</f>
        <v>0</v>
      </c>
      <c r="AI456" s="34" t="s">
        <v>116</v>
      </c>
      <c r="AJ456" s="55">
        <f>IF(AN456=0,I456,0)</f>
        <v>0</v>
      </c>
      <c r="AK456" s="55">
        <f>IF(AN456=12,I456,0)</f>
        <v>0</v>
      </c>
      <c r="AL456" s="55">
        <f>IF(AN456=21,I456,0)</f>
        <v>0</v>
      </c>
      <c r="AN456" s="55">
        <v>21</v>
      </c>
      <c r="AO456" s="55">
        <f>H456*0.22737404</f>
        <v>0</v>
      </c>
      <c r="AP456" s="55">
        <f>H456*(1-0.22737404)</f>
        <v>0</v>
      </c>
      <c r="AQ456" s="58" t="s">
        <v>120</v>
      </c>
      <c r="AV456" s="55">
        <f>AW456+AX456</f>
        <v>0</v>
      </c>
      <c r="AW456" s="55">
        <f>G456*AO456</f>
        <v>0</v>
      </c>
      <c r="AX456" s="55">
        <f>G456*AP456</f>
        <v>0</v>
      </c>
      <c r="AY456" s="58" t="s">
        <v>946</v>
      </c>
      <c r="AZ456" s="58" t="s">
        <v>947</v>
      </c>
      <c r="BA456" s="34" t="s">
        <v>128</v>
      </c>
      <c r="BB456" s="67">
        <v>100038</v>
      </c>
      <c r="BC456" s="55">
        <f>AW456+AX456</f>
        <v>0</v>
      </c>
      <c r="BD456" s="55">
        <f>H456/(100-BE456)*100</f>
        <v>0</v>
      </c>
      <c r="BE456" s="55">
        <v>0</v>
      </c>
      <c r="BF456" s="55">
        <f>K456</f>
        <v>0.014637000000000002</v>
      </c>
      <c r="BH456" s="55">
        <f>G456*AO456</f>
        <v>0</v>
      </c>
      <c r="BI456" s="55">
        <f>G456*AP456</f>
        <v>0</v>
      </c>
      <c r="BJ456" s="55">
        <f>G456*H456</f>
        <v>0</v>
      </c>
      <c r="BK456" s="55"/>
      <c r="BL456" s="55">
        <v>61</v>
      </c>
      <c r="BW456" s="55">
        <v>21</v>
      </c>
    </row>
    <row r="457" spans="1:12" ht="13.5" customHeight="1">
      <c r="A457" s="59"/>
      <c r="D457" s="218" t="s">
        <v>788</v>
      </c>
      <c r="E457" s="219"/>
      <c r="F457" s="219"/>
      <c r="G457" s="219"/>
      <c r="H457" s="220"/>
      <c r="I457" s="219"/>
      <c r="J457" s="219"/>
      <c r="K457" s="219"/>
      <c r="L457" s="221"/>
    </row>
    <row r="458" spans="1:12" ht="14.4">
      <c r="A458" s="59"/>
      <c r="D458" s="60" t="s">
        <v>956</v>
      </c>
      <c r="E458" s="60" t="s">
        <v>4</v>
      </c>
      <c r="G458" s="68">
        <v>6.15</v>
      </c>
      <c r="L458" s="69"/>
    </row>
    <row r="459" spans="1:47" ht="14.4">
      <c r="A459" s="50" t="s">
        <v>4</v>
      </c>
      <c r="B459" s="51" t="s">
        <v>116</v>
      </c>
      <c r="C459" s="51" t="s">
        <v>316</v>
      </c>
      <c r="D459" s="222" t="s">
        <v>957</v>
      </c>
      <c r="E459" s="223"/>
      <c r="F459" s="52" t="s">
        <v>79</v>
      </c>
      <c r="G459" s="52" t="s">
        <v>79</v>
      </c>
      <c r="H459" s="53" t="s">
        <v>79</v>
      </c>
      <c r="I459" s="27">
        <f>SUM(I460:I478)</f>
        <v>0</v>
      </c>
      <c r="J459" s="34" t="s">
        <v>4</v>
      </c>
      <c r="K459" s="27">
        <f>SUM(K460:K478)</f>
        <v>0.0590361</v>
      </c>
      <c r="L459" s="54" t="s">
        <v>4</v>
      </c>
      <c r="AI459" s="34" t="s">
        <v>116</v>
      </c>
      <c r="AS459" s="27">
        <f>SUM(AJ460:AJ478)</f>
        <v>0</v>
      </c>
      <c r="AT459" s="27">
        <f>SUM(AK460:AK478)</f>
        <v>0</v>
      </c>
      <c r="AU459" s="27">
        <f>SUM(AL460:AL478)</f>
        <v>0</v>
      </c>
    </row>
    <row r="460" spans="1:75" ht="27" customHeight="1">
      <c r="A460" s="1" t="s">
        <v>958</v>
      </c>
      <c r="B460" s="2" t="s">
        <v>116</v>
      </c>
      <c r="C460" s="2" t="s">
        <v>959</v>
      </c>
      <c r="D460" s="147" t="s">
        <v>960</v>
      </c>
      <c r="E460" s="148"/>
      <c r="F460" s="2" t="s">
        <v>729</v>
      </c>
      <c r="G460" s="55">
        <v>0.94</v>
      </c>
      <c r="H460" s="56">
        <v>0</v>
      </c>
      <c r="I460" s="55">
        <f>G460*H460</f>
        <v>0</v>
      </c>
      <c r="J460" s="55">
        <v>0.01101</v>
      </c>
      <c r="K460" s="55">
        <f>G460*J460</f>
        <v>0.0103494</v>
      </c>
      <c r="L460" s="57" t="s">
        <v>785</v>
      </c>
      <c r="Z460" s="55">
        <f>IF(AQ460="5",BJ460,0)</f>
        <v>0</v>
      </c>
      <c r="AB460" s="55">
        <f>IF(AQ460="1",BH460,0)</f>
        <v>0</v>
      </c>
      <c r="AC460" s="55">
        <f>IF(AQ460="1",BI460,0)</f>
        <v>0</v>
      </c>
      <c r="AD460" s="55">
        <f>IF(AQ460="7",BH460,0)</f>
        <v>0</v>
      </c>
      <c r="AE460" s="55">
        <f>IF(AQ460="7",BI460,0)</f>
        <v>0</v>
      </c>
      <c r="AF460" s="55">
        <f>IF(AQ460="2",BH460,0)</f>
        <v>0</v>
      </c>
      <c r="AG460" s="55">
        <f>IF(AQ460="2",BI460,0)</f>
        <v>0</v>
      </c>
      <c r="AH460" s="55">
        <f>IF(AQ460="0",BJ460,0)</f>
        <v>0</v>
      </c>
      <c r="AI460" s="34" t="s">
        <v>116</v>
      </c>
      <c r="AJ460" s="55">
        <f>IF(AN460=0,I460,0)</f>
        <v>0</v>
      </c>
      <c r="AK460" s="55">
        <f>IF(AN460=12,I460,0)</f>
        <v>0</v>
      </c>
      <c r="AL460" s="55">
        <f>IF(AN460=21,I460,0)</f>
        <v>0</v>
      </c>
      <c r="AN460" s="55">
        <v>21</v>
      </c>
      <c r="AO460" s="55">
        <f>H460*0.353975482</f>
        <v>0</v>
      </c>
      <c r="AP460" s="55">
        <f>H460*(1-0.353975482)</f>
        <v>0</v>
      </c>
      <c r="AQ460" s="58" t="s">
        <v>120</v>
      </c>
      <c r="AV460" s="55">
        <f>AW460+AX460</f>
        <v>0</v>
      </c>
      <c r="AW460" s="55">
        <f>G460*AO460</f>
        <v>0</v>
      </c>
      <c r="AX460" s="55">
        <f>G460*AP460</f>
        <v>0</v>
      </c>
      <c r="AY460" s="58" t="s">
        <v>961</v>
      </c>
      <c r="AZ460" s="58" t="s">
        <v>947</v>
      </c>
      <c r="BA460" s="34" t="s">
        <v>128</v>
      </c>
      <c r="BB460" s="67">
        <v>100039</v>
      </c>
      <c r="BC460" s="55">
        <f>AW460+AX460</f>
        <v>0</v>
      </c>
      <c r="BD460" s="55">
        <f>H460/(100-BE460)*100</f>
        <v>0</v>
      </c>
      <c r="BE460" s="55">
        <v>0</v>
      </c>
      <c r="BF460" s="55">
        <f>K460</f>
        <v>0.0103494</v>
      </c>
      <c r="BH460" s="55">
        <f>G460*AO460</f>
        <v>0</v>
      </c>
      <c r="BI460" s="55">
        <f>G460*AP460</f>
        <v>0</v>
      </c>
      <c r="BJ460" s="55">
        <f>G460*H460</f>
        <v>0</v>
      </c>
      <c r="BK460" s="55"/>
      <c r="BL460" s="55">
        <v>62</v>
      </c>
      <c r="BW460" s="55">
        <v>21</v>
      </c>
    </row>
    <row r="461" spans="1:12" ht="13.5" customHeight="1">
      <c r="A461" s="59"/>
      <c r="D461" s="218" t="s">
        <v>962</v>
      </c>
      <c r="E461" s="219"/>
      <c r="F461" s="219"/>
      <c r="G461" s="219"/>
      <c r="H461" s="220"/>
      <c r="I461" s="219"/>
      <c r="J461" s="219"/>
      <c r="K461" s="219"/>
      <c r="L461" s="221"/>
    </row>
    <row r="462" spans="1:12" ht="14.4">
      <c r="A462" s="59"/>
      <c r="D462" s="60" t="s">
        <v>963</v>
      </c>
      <c r="E462" s="60" t="s">
        <v>4</v>
      </c>
      <c r="G462" s="68">
        <v>0.94</v>
      </c>
      <c r="L462" s="69"/>
    </row>
    <row r="463" spans="1:75" ht="27" customHeight="1">
      <c r="A463" s="1" t="s">
        <v>964</v>
      </c>
      <c r="B463" s="2" t="s">
        <v>116</v>
      </c>
      <c r="C463" s="2" t="s">
        <v>965</v>
      </c>
      <c r="D463" s="147" t="s">
        <v>966</v>
      </c>
      <c r="E463" s="148"/>
      <c r="F463" s="2" t="s">
        <v>729</v>
      </c>
      <c r="G463" s="55">
        <v>0.41</v>
      </c>
      <c r="H463" s="56">
        <v>0</v>
      </c>
      <c r="I463" s="55">
        <f>G463*H463</f>
        <v>0</v>
      </c>
      <c r="J463" s="55">
        <v>0.01248</v>
      </c>
      <c r="K463" s="55">
        <f>G463*J463</f>
        <v>0.0051167999999999995</v>
      </c>
      <c r="L463" s="57" t="s">
        <v>785</v>
      </c>
      <c r="Z463" s="55">
        <f>IF(AQ463="5",BJ463,0)</f>
        <v>0</v>
      </c>
      <c r="AB463" s="55">
        <f>IF(AQ463="1",BH463,0)</f>
        <v>0</v>
      </c>
      <c r="AC463" s="55">
        <f>IF(AQ463="1",BI463,0)</f>
        <v>0</v>
      </c>
      <c r="AD463" s="55">
        <f>IF(AQ463="7",BH463,0)</f>
        <v>0</v>
      </c>
      <c r="AE463" s="55">
        <f>IF(AQ463="7",BI463,0)</f>
        <v>0</v>
      </c>
      <c r="AF463" s="55">
        <f>IF(AQ463="2",BH463,0)</f>
        <v>0</v>
      </c>
      <c r="AG463" s="55">
        <f>IF(AQ463="2",BI463,0)</f>
        <v>0</v>
      </c>
      <c r="AH463" s="55">
        <f>IF(AQ463="0",BJ463,0)</f>
        <v>0</v>
      </c>
      <c r="AI463" s="34" t="s">
        <v>116</v>
      </c>
      <c r="AJ463" s="55">
        <f>IF(AN463=0,I463,0)</f>
        <v>0</v>
      </c>
      <c r="AK463" s="55">
        <f>IF(AN463=12,I463,0)</f>
        <v>0</v>
      </c>
      <c r="AL463" s="55">
        <f>IF(AN463=21,I463,0)</f>
        <v>0</v>
      </c>
      <c r="AN463" s="55">
        <v>21</v>
      </c>
      <c r="AO463" s="55">
        <f>H463*0.566208808</f>
        <v>0</v>
      </c>
      <c r="AP463" s="55">
        <f>H463*(1-0.566208808)</f>
        <v>0</v>
      </c>
      <c r="AQ463" s="58" t="s">
        <v>120</v>
      </c>
      <c r="AV463" s="55">
        <f>AW463+AX463</f>
        <v>0</v>
      </c>
      <c r="AW463" s="55">
        <f>G463*AO463</f>
        <v>0</v>
      </c>
      <c r="AX463" s="55">
        <f>G463*AP463</f>
        <v>0</v>
      </c>
      <c r="AY463" s="58" t="s">
        <v>961</v>
      </c>
      <c r="AZ463" s="58" t="s">
        <v>947</v>
      </c>
      <c r="BA463" s="34" t="s">
        <v>128</v>
      </c>
      <c r="BB463" s="67">
        <v>100039</v>
      </c>
      <c r="BC463" s="55">
        <f>AW463+AX463</f>
        <v>0</v>
      </c>
      <c r="BD463" s="55">
        <f>H463/(100-BE463)*100</f>
        <v>0</v>
      </c>
      <c r="BE463" s="55">
        <v>0</v>
      </c>
      <c r="BF463" s="55">
        <f>K463</f>
        <v>0.0051167999999999995</v>
      </c>
      <c r="BH463" s="55">
        <f>G463*AO463</f>
        <v>0</v>
      </c>
      <c r="BI463" s="55">
        <f>G463*AP463</f>
        <v>0</v>
      </c>
      <c r="BJ463" s="55">
        <f>G463*H463</f>
        <v>0</v>
      </c>
      <c r="BK463" s="55"/>
      <c r="BL463" s="55">
        <v>62</v>
      </c>
      <c r="BW463" s="55">
        <v>21</v>
      </c>
    </row>
    <row r="464" spans="1:12" ht="13.5" customHeight="1">
      <c r="A464" s="59"/>
      <c r="D464" s="218" t="s">
        <v>967</v>
      </c>
      <c r="E464" s="219"/>
      <c r="F464" s="219"/>
      <c r="G464" s="219"/>
      <c r="H464" s="220"/>
      <c r="I464" s="219"/>
      <c r="J464" s="219"/>
      <c r="K464" s="219"/>
      <c r="L464" s="221"/>
    </row>
    <row r="465" spans="1:12" ht="14.4">
      <c r="A465" s="59"/>
      <c r="D465" s="60" t="s">
        <v>968</v>
      </c>
      <c r="E465" s="60" t="s">
        <v>4</v>
      </c>
      <c r="G465" s="68">
        <v>0.41</v>
      </c>
      <c r="L465" s="69"/>
    </row>
    <row r="466" spans="1:75" ht="13.5" customHeight="1">
      <c r="A466" s="1" t="s">
        <v>969</v>
      </c>
      <c r="B466" s="2" t="s">
        <v>116</v>
      </c>
      <c r="C466" s="2" t="s">
        <v>970</v>
      </c>
      <c r="D466" s="147" t="s">
        <v>971</v>
      </c>
      <c r="E466" s="148"/>
      <c r="F466" s="2" t="s">
        <v>729</v>
      </c>
      <c r="G466" s="55">
        <v>1.35</v>
      </c>
      <c r="H466" s="56">
        <v>0</v>
      </c>
      <c r="I466" s="55">
        <f>G466*H466</f>
        <v>0</v>
      </c>
      <c r="J466" s="55">
        <v>0.00421</v>
      </c>
      <c r="K466" s="55">
        <f>G466*J466</f>
        <v>0.005683500000000001</v>
      </c>
      <c r="L466" s="57" t="s">
        <v>785</v>
      </c>
      <c r="Z466" s="55">
        <f>IF(AQ466="5",BJ466,0)</f>
        <v>0</v>
      </c>
      <c r="AB466" s="55">
        <f>IF(AQ466="1",BH466,0)</f>
        <v>0</v>
      </c>
      <c r="AC466" s="55">
        <f>IF(AQ466="1",BI466,0)</f>
        <v>0</v>
      </c>
      <c r="AD466" s="55">
        <f>IF(AQ466="7",BH466,0)</f>
        <v>0</v>
      </c>
      <c r="AE466" s="55">
        <f>IF(AQ466="7",BI466,0)</f>
        <v>0</v>
      </c>
      <c r="AF466" s="55">
        <f>IF(AQ466="2",BH466,0)</f>
        <v>0</v>
      </c>
      <c r="AG466" s="55">
        <f>IF(AQ466="2",BI466,0)</f>
        <v>0</v>
      </c>
      <c r="AH466" s="55">
        <f>IF(AQ466="0",BJ466,0)</f>
        <v>0</v>
      </c>
      <c r="AI466" s="34" t="s">
        <v>116</v>
      </c>
      <c r="AJ466" s="55">
        <f>IF(AN466=0,I466,0)</f>
        <v>0</v>
      </c>
      <c r="AK466" s="55">
        <f>IF(AN466=12,I466,0)</f>
        <v>0</v>
      </c>
      <c r="AL466" s="55">
        <f>IF(AN466=21,I466,0)</f>
        <v>0</v>
      </c>
      <c r="AN466" s="55">
        <v>21</v>
      </c>
      <c r="AO466" s="55">
        <f>H466*0.231718763</f>
        <v>0</v>
      </c>
      <c r="AP466" s="55">
        <f>H466*(1-0.231718763)</f>
        <v>0</v>
      </c>
      <c r="AQ466" s="58" t="s">
        <v>120</v>
      </c>
      <c r="AV466" s="55">
        <f>AW466+AX466</f>
        <v>0</v>
      </c>
      <c r="AW466" s="55">
        <f>G466*AO466</f>
        <v>0</v>
      </c>
      <c r="AX466" s="55">
        <f>G466*AP466</f>
        <v>0</v>
      </c>
      <c r="AY466" s="58" t="s">
        <v>961</v>
      </c>
      <c r="AZ466" s="58" t="s">
        <v>947</v>
      </c>
      <c r="BA466" s="34" t="s">
        <v>128</v>
      </c>
      <c r="BB466" s="67">
        <v>100039</v>
      </c>
      <c r="BC466" s="55">
        <f>AW466+AX466</f>
        <v>0</v>
      </c>
      <c r="BD466" s="55">
        <f>H466/(100-BE466)*100</f>
        <v>0</v>
      </c>
      <c r="BE466" s="55">
        <v>0</v>
      </c>
      <c r="BF466" s="55">
        <f>K466</f>
        <v>0.005683500000000001</v>
      </c>
      <c r="BH466" s="55">
        <f>G466*AO466</f>
        <v>0</v>
      </c>
      <c r="BI466" s="55">
        <f>G466*AP466</f>
        <v>0</v>
      </c>
      <c r="BJ466" s="55">
        <f>G466*H466</f>
        <v>0</v>
      </c>
      <c r="BK466" s="55"/>
      <c r="BL466" s="55">
        <v>62</v>
      </c>
      <c r="BW466" s="55">
        <v>21</v>
      </c>
    </row>
    <row r="467" spans="1:12" ht="13.5" customHeight="1">
      <c r="A467" s="59"/>
      <c r="D467" s="218" t="s">
        <v>972</v>
      </c>
      <c r="E467" s="219"/>
      <c r="F467" s="219"/>
      <c r="G467" s="219"/>
      <c r="H467" s="220"/>
      <c r="I467" s="219"/>
      <c r="J467" s="219"/>
      <c r="K467" s="219"/>
      <c r="L467" s="221"/>
    </row>
    <row r="468" spans="1:12" ht="14.4">
      <c r="A468" s="59"/>
      <c r="D468" s="60" t="s">
        <v>973</v>
      </c>
      <c r="E468" s="60" t="s">
        <v>4</v>
      </c>
      <c r="G468" s="68">
        <v>1.35</v>
      </c>
      <c r="L468" s="69"/>
    </row>
    <row r="469" spans="1:75" ht="13.5" customHeight="1">
      <c r="A469" s="61" t="s">
        <v>974</v>
      </c>
      <c r="B469" s="62" t="s">
        <v>116</v>
      </c>
      <c r="C469" s="62" t="s">
        <v>975</v>
      </c>
      <c r="D469" s="224" t="s">
        <v>976</v>
      </c>
      <c r="E469" s="225"/>
      <c r="F469" s="62" t="s">
        <v>729</v>
      </c>
      <c r="G469" s="63">
        <v>1.42</v>
      </c>
      <c r="H469" s="64">
        <v>0</v>
      </c>
      <c r="I469" s="63">
        <f>G469*H469</f>
        <v>0</v>
      </c>
      <c r="J469" s="63">
        <v>0.011</v>
      </c>
      <c r="K469" s="63">
        <f>G469*J469</f>
        <v>0.015619999999999998</v>
      </c>
      <c r="L469" s="65" t="s">
        <v>124</v>
      </c>
      <c r="Z469" s="55">
        <f>IF(AQ469="5",BJ469,0)</f>
        <v>0</v>
      </c>
      <c r="AB469" s="55">
        <f>IF(AQ469="1",BH469,0)</f>
        <v>0</v>
      </c>
      <c r="AC469" s="55">
        <f>IF(AQ469="1",BI469,0)</f>
        <v>0</v>
      </c>
      <c r="AD469" s="55">
        <f>IF(AQ469="7",BH469,0)</f>
        <v>0</v>
      </c>
      <c r="AE469" s="55">
        <f>IF(AQ469="7",BI469,0)</f>
        <v>0</v>
      </c>
      <c r="AF469" s="55">
        <f>IF(AQ469="2",BH469,0)</f>
        <v>0</v>
      </c>
      <c r="AG469" s="55">
        <f>IF(AQ469="2",BI469,0)</f>
        <v>0</v>
      </c>
      <c r="AH469" s="55">
        <f>IF(AQ469="0",BJ469,0)</f>
        <v>0</v>
      </c>
      <c r="AI469" s="34" t="s">
        <v>116</v>
      </c>
      <c r="AJ469" s="63">
        <f>IF(AN469=0,I469,0)</f>
        <v>0</v>
      </c>
      <c r="AK469" s="63">
        <f>IF(AN469=12,I469,0)</f>
        <v>0</v>
      </c>
      <c r="AL469" s="63">
        <f>IF(AN469=21,I469,0)</f>
        <v>0</v>
      </c>
      <c r="AN469" s="55">
        <v>21</v>
      </c>
      <c r="AO469" s="55">
        <f>H469*1</f>
        <v>0</v>
      </c>
      <c r="AP469" s="55">
        <f>H469*(1-1)</f>
        <v>0</v>
      </c>
      <c r="AQ469" s="66" t="s">
        <v>120</v>
      </c>
      <c r="AV469" s="55">
        <f>AW469+AX469</f>
        <v>0</v>
      </c>
      <c r="AW469" s="55">
        <f>G469*AO469</f>
        <v>0</v>
      </c>
      <c r="AX469" s="55">
        <f>G469*AP469</f>
        <v>0</v>
      </c>
      <c r="AY469" s="58" t="s">
        <v>961</v>
      </c>
      <c r="AZ469" s="58" t="s">
        <v>947</v>
      </c>
      <c r="BA469" s="34" t="s">
        <v>128</v>
      </c>
      <c r="BC469" s="55">
        <f>AW469+AX469</f>
        <v>0</v>
      </c>
      <c r="BD469" s="55">
        <f>H469/(100-BE469)*100</f>
        <v>0</v>
      </c>
      <c r="BE469" s="55">
        <v>0</v>
      </c>
      <c r="BF469" s="55">
        <f>K469</f>
        <v>0.015619999999999998</v>
      </c>
      <c r="BH469" s="63">
        <f>G469*AO469</f>
        <v>0</v>
      </c>
      <c r="BI469" s="63">
        <f>G469*AP469</f>
        <v>0</v>
      </c>
      <c r="BJ469" s="63">
        <f>G469*H469</f>
        <v>0</v>
      </c>
      <c r="BK469" s="63"/>
      <c r="BL469" s="55">
        <v>62</v>
      </c>
      <c r="BW469" s="55">
        <v>21</v>
      </c>
    </row>
    <row r="470" spans="1:12" ht="14.4">
      <c r="A470" s="59"/>
      <c r="D470" s="60" t="s">
        <v>977</v>
      </c>
      <c r="E470" s="60" t="s">
        <v>4</v>
      </c>
      <c r="G470" s="68">
        <v>1.35</v>
      </c>
      <c r="L470" s="69"/>
    </row>
    <row r="471" spans="1:12" ht="14.4">
      <c r="A471" s="59"/>
      <c r="D471" s="60" t="s">
        <v>978</v>
      </c>
      <c r="E471" s="60" t="s">
        <v>4</v>
      </c>
      <c r="G471" s="68">
        <v>0.07</v>
      </c>
      <c r="L471" s="69"/>
    </row>
    <row r="472" spans="1:75" ht="27" customHeight="1">
      <c r="A472" s="1" t="s">
        <v>979</v>
      </c>
      <c r="B472" s="2" t="s">
        <v>116</v>
      </c>
      <c r="C472" s="2" t="s">
        <v>980</v>
      </c>
      <c r="D472" s="147" t="s">
        <v>981</v>
      </c>
      <c r="E472" s="148"/>
      <c r="F472" s="2" t="s">
        <v>729</v>
      </c>
      <c r="G472" s="55">
        <v>0.3</v>
      </c>
      <c r="H472" s="56">
        <v>0</v>
      </c>
      <c r="I472" s="55">
        <f>G472*H472</f>
        <v>0</v>
      </c>
      <c r="J472" s="55">
        <v>0.01598</v>
      </c>
      <c r="K472" s="55">
        <f>G472*J472</f>
        <v>0.0047940000000000005</v>
      </c>
      <c r="L472" s="57" t="s">
        <v>785</v>
      </c>
      <c r="Z472" s="55">
        <f>IF(AQ472="5",BJ472,0)</f>
        <v>0</v>
      </c>
      <c r="AB472" s="55">
        <f>IF(AQ472="1",BH472,0)</f>
        <v>0</v>
      </c>
      <c r="AC472" s="55">
        <f>IF(AQ472="1",BI472,0)</f>
        <v>0</v>
      </c>
      <c r="AD472" s="55">
        <f>IF(AQ472="7",BH472,0)</f>
        <v>0</v>
      </c>
      <c r="AE472" s="55">
        <f>IF(AQ472="7",BI472,0)</f>
        <v>0</v>
      </c>
      <c r="AF472" s="55">
        <f>IF(AQ472="2",BH472,0)</f>
        <v>0</v>
      </c>
      <c r="AG472" s="55">
        <f>IF(AQ472="2",BI472,0)</f>
        <v>0</v>
      </c>
      <c r="AH472" s="55">
        <f>IF(AQ472="0",BJ472,0)</f>
        <v>0</v>
      </c>
      <c r="AI472" s="34" t="s">
        <v>116</v>
      </c>
      <c r="AJ472" s="55">
        <f>IF(AN472=0,I472,0)</f>
        <v>0</v>
      </c>
      <c r="AK472" s="55">
        <f>IF(AN472=12,I472,0)</f>
        <v>0</v>
      </c>
      <c r="AL472" s="55">
        <f>IF(AN472=21,I472,0)</f>
        <v>0</v>
      </c>
      <c r="AN472" s="55">
        <v>21</v>
      </c>
      <c r="AO472" s="55">
        <f>H472*0.576574685</f>
        <v>0</v>
      </c>
      <c r="AP472" s="55">
        <f>H472*(1-0.576574685)</f>
        <v>0</v>
      </c>
      <c r="AQ472" s="58" t="s">
        <v>120</v>
      </c>
      <c r="AV472" s="55">
        <f>AW472+AX472</f>
        <v>0</v>
      </c>
      <c r="AW472" s="55">
        <f>G472*AO472</f>
        <v>0</v>
      </c>
      <c r="AX472" s="55">
        <f>G472*AP472</f>
        <v>0</v>
      </c>
      <c r="AY472" s="58" t="s">
        <v>961</v>
      </c>
      <c r="AZ472" s="58" t="s">
        <v>947</v>
      </c>
      <c r="BA472" s="34" t="s">
        <v>128</v>
      </c>
      <c r="BB472" s="67">
        <v>100039</v>
      </c>
      <c r="BC472" s="55">
        <f>AW472+AX472</f>
        <v>0</v>
      </c>
      <c r="BD472" s="55">
        <f>H472/(100-BE472)*100</f>
        <v>0</v>
      </c>
      <c r="BE472" s="55">
        <v>0</v>
      </c>
      <c r="BF472" s="55">
        <f>K472</f>
        <v>0.0047940000000000005</v>
      </c>
      <c r="BH472" s="55">
        <f>G472*AO472</f>
        <v>0</v>
      </c>
      <c r="BI472" s="55">
        <f>G472*AP472</f>
        <v>0</v>
      </c>
      <c r="BJ472" s="55">
        <f>G472*H472</f>
        <v>0</v>
      </c>
      <c r="BK472" s="55"/>
      <c r="BL472" s="55">
        <v>62</v>
      </c>
      <c r="BW472" s="55">
        <v>21</v>
      </c>
    </row>
    <row r="473" spans="1:12" ht="13.5" customHeight="1">
      <c r="A473" s="59"/>
      <c r="D473" s="218" t="s">
        <v>982</v>
      </c>
      <c r="E473" s="219"/>
      <c r="F473" s="219"/>
      <c r="G473" s="219"/>
      <c r="H473" s="220"/>
      <c r="I473" s="219"/>
      <c r="J473" s="219"/>
      <c r="K473" s="219"/>
      <c r="L473" s="221"/>
    </row>
    <row r="474" spans="1:12" ht="14.4">
      <c r="A474" s="59"/>
      <c r="D474" s="60" t="s">
        <v>983</v>
      </c>
      <c r="E474" s="60" t="s">
        <v>4</v>
      </c>
      <c r="G474" s="68">
        <v>0.3</v>
      </c>
      <c r="L474" s="69"/>
    </row>
    <row r="475" spans="1:75" ht="27" customHeight="1">
      <c r="A475" s="1" t="s">
        <v>984</v>
      </c>
      <c r="B475" s="2" t="s">
        <v>116</v>
      </c>
      <c r="C475" s="2" t="s">
        <v>985</v>
      </c>
      <c r="D475" s="147" t="s">
        <v>986</v>
      </c>
      <c r="E475" s="148"/>
      <c r="F475" s="2" t="s">
        <v>729</v>
      </c>
      <c r="G475" s="55">
        <v>1.21</v>
      </c>
      <c r="H475" s="56">
        <v>0</v>
      </c>
      <c r="I475" s="55">
        <f>G475*H475</f>
        <v>0</v>
      </c>
      <c r="J475" s="55">
        <v>0.01444</v>
      </c>
      <c r="K475" s="55">
        <f>G475*J475</f>
        <v>0.0174724</v>
      </c>
      <c r="L475" s="57" t="s">
        <v>785</v>
      </c>
      <c r="Z475" s="55">
        <f>IF(AQ475="5",BJ475,0)</f>
        <v>0</v>
      </c>
      <c r="AB475" s="55">
        <f>IF(AQ475="1",BH475,0)</f>
        <v>0</v>
      </c>
      <c r="AC475" s="55">
        <f>IF(AQ475="1",BI475,0)</f>
        <v>0</v>
      </c>
      <c r="AD475" s="55">
        <f>IF(AQ475="7",BH475,0)</f>
        <v>0</v>
      </c>
      <c r="AE475" s="55">
        <f>IF(AQ475="7",BI475,0)</f>
        <v>0</v>
      </c>
      <c r="AF475" s="55">
        <f>IF(AQ475="2",BH475,0)</f>
        <v>0</v>
      </c>
      <c r="AG475" s="55">
        <f>IF(AQ475="2",BI475,0)</f>
        <v>0</v>
      </c>
      <c r="AH475" s="55">
        <f>IF(AQ475="0",BJ475,0)</f>
        <v>0</v>
      </c>
      <c r="AI475" s="34" t="s">
        <v>116</v>
      </c>
      <c r="AJ475" s="55">
        <f>IF(AN475=0,I475,0)</f>
        <v>0</v>
      </c>
      <c r="AK475" s="55">
        <f>IF(AN475=12,I475,0)</f>
        <v>0</v>
      </c>
      <c r="AL475" s="55">
        <f>IF(AN475=21,I475,0)</f>
        <v>0</v>
      </c>
      <c r="AN475" s="55">
        <v>21</v>
      </c>
      <c r="AO475" s="55">
        <f>H475*0.394654293</f>
        <v>0</v>
      </c>
      <c r="AP475" s="55">
        <f>H475*(1-0.394654293)</f>
        <v>0</v>
      </c>
      <c r="AQ475" s="58" t="s">
        <v>120</v>
      </c>
      <c r="AV475" s="55">
        <f>AW475+AX475</f>
        <v>0</v>
      </c>
      <c r="AW475" s="55">
        <f>G475*AO475</f>
        <v>0</v>
      </c>
      <c r="AX475" s="55">
        <f>G475*AP475</f>
        <v>0</v>
      </c>
      <c r="AY475" s="58" t="s">
        <v>961</v>
      </c>
      <c r="AZ475" s="58" t="s">
        <v>947</v>
      </c>
      <c r="BA475" s="34" t="s">
        <v>128</v>
      </c>
      <c r="BB475" s="67">
        <v>100039</v>
      </c>
      <c r="BC475" s="55">
        <f>AW475+AX475</f>
        <v>0</v>
      </c>
      <c r="BD475" s="55">
        <f>H475/(100-BE475)*100</f>
        <v>0</v>
      </c>
      <c r="BE475" s="55">
        <v>0</v>
      </c>
      <c r="BF475" s="55">
        <f>K475</f>
        <v>0.0174724</v>
      </c>
      <c r="BH475" s="55">
        <f>G475*AO475</f>
        <v>0</v>
      </c>
      <c r="BI475" s="55">
        <f>G475*AP475</f>
        <v>0</v>
      </c>
      <c r="BJ475" s="55">
        <f>G475*H475</f>
        <v>0</v>
      </c>
      <c r="BK475" s="55"/>
      <c r="BL475" s="55">
        <v>62</v>
      </c>
      <c r="BW475" s="55">
        <v>21</v>
      </c>
    </row>
    <row r="476" spans="1:12" ht="13.5" customHeight="1">
      <c r="A476" s="59"/>
      <c r="D476" s="218" t="s">
        <v>987</v>
      </c>
      <c r="E476" s="219"/>
      <c r="F476" s="219"/>
      <c r="G476" s="219"/>
      <c r="H476" s="220"/>
      <c r="I476" s="219"/>
      <c r="J476" s="219"/>
      <c r="K476" s="219"/>
      <c r="L476" s="221"/>
    </row>
    <row r="477" spans="1:12" ht="14.4">
      <c r="A477" s="59"/>
      <c r="D477" s="60" t="s">
        <v>988</v>
      </c>
      <c r="E477" s="60" t="s">
        <v>989</v>
      </c>
      <c r="G477" s="68">
        <v>1.21</v>
      </c>
      <c r="L477" s="69"/>
    </row>
    <row r="478" spans="1:75" ht="13.5" customHeight="1">
      <c r="A478" s="1" t="s">
        <v>990</v>
      </c>
      <c r="B478" s="2" t="s">
        <v>116</v>
      </c>
      <c r="C478" s="2" t="s">
        <v>991</v>
      </c>
      <c r="D478" s="147" t="s">
        <v>992</v>
      </c>
      <c r="E478" s="148"/>
      <c r="F478" s="2" t="s">
        <v>993</v>
      </c>
      <c r="G478" s="55">
        <v>1</v>
      </c>
      <c r="H478" s="56">
        <v>0</v>
      </c>
      <c r="I478" s="55">
        <f>G478*H478</f>
        <v>0</v>
      </c>
      <c r="J478" s="55">
        <v>0</v>
      </c>
      <c r="K478" s="55">
        <f>G478*J478</f>
        <v>0</v>
      </c>
      <c r="L478" s="57" t="s">
        <v>124</v>
      </c>
      <c r="Z478" s="55">
        <f>IF(AQ478="5",BJ478,0)</f>
        <v>0</v>
      </c>
      <c r="AB478" s="55">
        <f>IF(AQ478="1",BH478,0)</f>
        <v>0</v>
      </c>
      <c r="AC478" s="55">
        <f>IF(AQ478="1",BI478,0)</f>
        <v>0</v>
      </c>
      <c r="AD478" s="55">
        <f>IF(AQ478="7",BH478,0)</f>
        <v>0</v>
      </c>
      <c r="AE478" s="55">
        <f>IF(AQ478="7",BI478,0)</f>
        <v>0</v>
      </c>
      <c r="AF478" s="55">
        <f>IF(AQ478="2",BH478,0)</f>
        <v>0</v>
      </c>
      <c r="AG478" s="55">
        <f>IF(AQ478="2",BI478,0)</f>
        <v>0</v>
      </c>
      <c r="AH478" s="55">
        <f>IF(AQ478="0",BJ478,0)</f>
        <v>0</v>
      </c>
      <c r="AI478" s="34" t="s">
        <v>116</v>
      </c>
      <c r="AJ478" s="55">
        <f>IF(AN478=0,I478,0)</f>
        <v>0</v>
      </c>
      <c r="AK478" s="55">
        <f>IF(AN478=12,I478,0)</f>
        <v>0</v>
      </c>
      <c r="AL478" s="55">
        <f>IF(AN478=21,I478,0)</f>
        <v>0</v>
      </c>
      <c r="AN478" s="55">
        <v>21</v>
      </c>
      <c r="AO478" s="55">
        <f>H478*0.217391304</f>
        <v>0</v>
      </c>
      <c r="AP478" s="55">
        <f>H478*(1-0.217391304)</f>
        <v>0</v>
      </c>
      <c r="AQ478" s="58" t="s">
        <v>120</v>
      </c>
      <c r="AV478" s="55">
        <f>AW478+AX478</f>
        <v>0</v>
      </c>
      <c r="AW478" s="55">
        <f>G478*AO478</f>
        <v>0</v>
      </c>
      <c r="AX478" s="55">
        <f>G478*AP478</f>
        <v>0</v>
      </c>
      <c r="AY478" s="58" t="s">
        <v>961</v>
      </c>
      <c r="AZ478" s="58" t="s">
        <v>947</v>
      </c>
      <c r="BA478" s="34" t="s">
        <v>128</v>
      </c>
      <c r="BB478" s="67">
        <v>100039</v>
      </c>
      <c r="BC478" s="55">
        <f>AW478+AX478</f>
        <v>0</v>
      </c>
      <c r="BD478" s="55">
        <f>H478/(100-BE478)*100</f>
        <v>0</v>
      </c>
      <c r="BE478" s="55">
        <v>0</v>
      </c>
      <c r="BF478" s="55">
        <f>K478</f>
        <v>0</v>
      </c>
      <c r="BH478" s="55">
        <f>G478*AO478</f>
        <v>0</v>
      </c>
      <c r="BI478" s="55">
        <f>G478*AP478</f>
        <v>0</v>
      </c>
      <c r="BJ478" s="55">
        <f>G478*H478</f>
        <v>0</v>
      </c>
      <c r="BK478" s="55"/>
      <c r="BL478" s="55">
        <v>62</v>
      </c>
      <c r="BW478" s="55">
        <v>21</v>
      </c>
    </row>
    <row r="479" spans="1:12" ht="13.5" customHeight="1">
      <c r="A479" s="59"/>
      <c r="D479" s="218" t="s">
        <v>788</v>
      </c>
      <c r="E479" s="219"/>
      <c r="F479" s="219"/>
      <c r="G479" s="219"/>
      <c r="H479" s="220"/>
      <c r="I479" s="219"/>
      <c r="J479" s="219"/>
      <c r="K479" s="219"/>
      <c r="L479" s="221"/>
    </row>
    <row r="480" spans="1:12" ht="14.4">
      <c r="A480" s="59"/>
      <c r="D480" s="60" t="s">
        <v>120</v>
      </c>
      <c r="E480" s="60" t="s">
        <v>4</v>
      </c>
      <c r="G480" s="68">
        <v>1</v>
      </c>
      <c r="L480" s="69"/>
    </row>
    <row r="481" spans="1:47" ht="14.4">
      <c r="A481" s="50" t="s">
        <v>4</v>
      </c>
      <c r="B481" s="51" t="s">
        <v>116</v>
      </c>
      <c r="C481" s="51" t="s">
        <v>319</v>
      </c>
      <c r="D481" s="222" t="s">
        <v>994</v>
      </c>
      <c r="E481" s="223"/>
      <c r="F481" s="52" t="s">
        <v>79</v>
      </c>
      <c r="G481" s="52" t="s">
        <v>79</v>
      </c>
      <c r="H481" s="53" t="s">
        <v>79</v>
      </c>
      <c r="I481" s="27">
        <f>SUM(I482:I497)</f>
        <v>0</v>
      </c>
      <c r="J481" s="34" t="s">
        <v>4</v>
      </c>
      <c r="K481" s="27">
        <f>SUM(K482:K497)</f>
        <v>16.455831500000002</v>
      </c>
      <c r="L481" s="54" t="s">
        <v>4</v>
      </c>
      <c r="AI481" s="34" t="s">
        <v>116</v>
      </c>
      <c r="AS481" s="27">
        <f>SUM(AJ482:AJ497)</f>
        <v>0</v>
      </c>
      <c r="AT481" s="27">
        <f>SUM(AK482:AK497)</f>
        <v>0</v>
      </c>
      <c r="AU481" s="27">
        <f>SUM(AL482:AL497)</f>
        <v>0</v>
      </c>
    </row>
    <row r="482" spans="1:75" ht="13.5" customHeight="1">
      <c r="A482" s="1" t="s">
        <v>995</v>
      </c>
      <c r="B482" s="2" t="s">
        <v>116</v>
      </c>
      <c r="C482" s="2" t="s">
        <v>996</v>
      </c>
      <c r="D482" s="147" t="s">
        <v>997</v>
      </c>
      <c r="E482" s="148"/>
      <c r="F482" s="2" t="s">
        <v>729</v>
      </c>
      <c r="G482" s="55">
        <v>52.9</v>
      </c>
      <c r="H482" s="56">
        <v>0</v>
      </c>
      <c r="I482" s="55">
        <f>G482*H482</f>
        <v>0</v>
      </c>
      <c r="J482" s="55">
        <v>0.02427</v>
      </c>
      <c r="K482" s="55">
        <f>G482*J482</f>
        <v>1.2838829999999999</v>
      </c>
      <c r="L482" s="57" t="s">
        <v>785</v>
      </c>
      <c r="Z482" s="55">
        <f>IF(AQ482="5",BJ482,0)</f>
        <v>0</v>
      </c>
      <c r="AB482" s="55">
        <f>IF(AQ482="1",BH482,0)</f>
        <v>0</v>
      </c>
      <c r="AC482" s="55">
        <f>IF(AQ482="1",BI482,0)</f>
        <v>0</v>
      </c>
      <c r="AD482" s="55">
        <f>IF(AQ482="7",BH482,0)</f>
        <v>0</v>
      </c>
      <c r="AE482" s="55">
        <f>IF(AQ482="7",BI482,0)</f>
        <v>0</v>
      </c>
      <c r="AF482" s="55">
        <f>IF(AQ482="2",BH482,0)</f>
        <v>0</v>
      </c>
      <c r="AG482" s="55">
        <f>IF(AQ482="2",BI482,0)</f>
        <v>0</v>
      </c>
      <c r="AH482" s="55">
        <f>IF(AQ482="0",BJ482,0)</f>
        <v>0</v>
      </c>
      <c r="AI482" s="34" t="s">
        <v>116</v>
      </c>
      <c r="AJ482" s="55">
        <f>IF(AN482=0,I482,0)</f>
        <v>0</v>
      </c>
      <c r="AK482" s="55">
        <f>IF(AN482=12,I482,0)</f>
        <v>0</v>
      </c>
      <c r="AL482" s="55">
        <f>IF(AN482=21,I482,0)</f>
        <v>0</v>
      </c>
      <c r="AN482" s="55">
        <v>21</v>
      </c>
      <c r="AO482" s="55">
        <f>H482*0.793121175</f>
        <v>0</v>
      </c>
      <c r="AP482" s="55">
        <f>H482*(1-0.793121175)</f>
        <v>0</v>
      </c>
      <c r="AQ482" s="58" t="s">
        <v>120</v>
      </c>
      <c r="AV482" s="55">
        <f>AW482+AX482</f>
        <v>0</v>
      </c>
      <c r="AW482" s="55">
        <f>G482*AO482</f>
        <v>0</v>
      </c>
      <c r="AX482" s="55">
        <f>G482*AP482</f>
        <v>0</v>
      </c>
      <c r="AY482" s="58" t="s">
        <v>998</v>
      </c>
      <c r="AZ482" s="58" t="s">
        <v>947</v>
      </c>
      <c r="BA482" s="34" t="s">
        <v>128</v>
      </c>
      <c r="BB482" s="67">
        <v>100004</v>
      </c>
      <c r="BC482" s="55">
        <f>AW482+AX482</f>
        <v>0</v>
      </c>
      <c r="BD482" s="55">
        <f>H482/(100-BE482)*100</f>
        <v>0</v>
      </c>
      <c r="BE482" s="55">
        <v>0</v>
      </c>
      <c r="BF482" s="55">
        <f>K482</f>
        <v>1.2838829999999999</v>
      </c>
      <c r="BH482" s="55">
        <f>G482*AO482</f>
        <v>0</v>
      </c>
      <c r="BI482" s="55">
        <f>G482*AP482</f>
        <v>0</v>
      </c>
      <c r="BJ482" s="55">
        <f>G482*H482</f>
        <v>0</v>
      </c>
      <c r="BK482" s="55"/>
      <c r="BL482" s="55">
        <v>63</v>
      </c>
      <c r="BW482" s="55">
        <v>21</v>
      </c>
    </row>
    <row r="483" spans="1:12" ht="14.4">
      <c r="A483" s="59"/>
      <c r="D483" s="60" t="s">
        <v>999</v>
      </c>
      <c r="E483" s="60" t="s">
        <v>4</v>
      </c>
      <c r="G483" s="68">
        <v>52.9</v>
      </c>
      <c r="L483" s="69"/>
    </row>
    <row r="484" spans="1:75" ht="13.5" customHeight="1">
      <c r="A484" s="1" t="s">
        <v>1000</v>
      </c>
      <c r="B484" s="2" t="s">
        <v>116</v>
      </c>
      <c r="C484" s="2" t="s">
        <v>1001</v>
      </c>
      <c r="D484" s="147" t="s">
        <v>1002</v>
      </c>
      <c r="E484" s="148"/>
      <c r="F484" s="2" t="s">
        <v>729</v>
      </c>
      <c r="G484" s="55">
        <v>255.8</v>
      </c>
      <c r="H484" s="56">
        <v>0</v>
      </c>
      <c r="I484" s="55">
        <f>G484*H484</f>
        <v>0</v>
      </c>
      <c r="J484" s="55">
        <v>0.03162</v>
      </c>
      <c r="K484" s="55">
        <f>G484*J484</f>
        <v>8.088396000000001</v>
      </c>
      <c r="L484" s="57" t="s">
        <v>785</v>
      </c>
      <c r="Z484" s="55">
        <f>IF(AQ484="5",BJ484,0)</f>
        <v>0</v>
      </c>
      <c r="AB484" s="55">
        <f>IF(AQ484="1",BH484,0)</f>
        <v>0</v>
      </c>
      <c r="AC484" s="55">
        <f>IF(AQ484="1",BI484,0)</f>
        <v>0</v>
      </c>
      <c r="AD484" s="55">
        <f>IF(AQ484="7",BH484,0)</f>
        <v>0</v>
      </c>
      <c r="AE484" s="55">
        <f>IF(AQ484="7",BI484,0)</f>
        <v>0</v>
      </c>
      <c r="AF484" s="55">
        <f>IF(AQ484="2",BH484,0)</f>
        <v>0</v>
      </c>
      <c r="AG484" s="55">
        <f>IF(AQ484="2",BI484,0)</f>
        <v>0</v>
      </c>
      <c r="AH484" s="55">
        <f>IF(AQ484="0",BJ484,0)</f>
        <v>0</v>
      </c>
      <c r="AI484" s="34" t="s">
        <v>116</v>
      </c>
      <c r="AJ484" s="55">
        <f>IF(AN484=0,I484,0)</f>
        <v>0</v>
      </c>
      <c r="AK484" s="55">
        <f>IF(AN484=12,I484,0)</f>
        <v>0</v>
      </c>
      <c r="AL484" s="55">
        <f>IF(AN484=21,I484,0)</f>
        <v>0</v>
      </c>
      <c r="AN484" s="55">
        <v>21</v>
      </c>
      <c r="AO484" s="55">
        <f>H484*0.819423077</f>
        <v>0</v>
      </c>
      <c r="AP484" s="55">
        <f>H484*(1-0.819423077)</f>
        <v>0</v>
      </c>
      <c r="AQ484" s="58" t="s">
        <v>120</v>
      </c>
      <c r="AV484" s="55">
        <f>AW484+AX484</f>
        <v>0</v>
      </c>
      <c r="AW484" s="55">
        <f>G484*AO484</f>
        <v>0</v>
      </c>
      <c r="AX484" s="55">
        <f>G484*AP484</f>
        <v>0</v>
      </c>
      <c r="AY484" s="58" t="s">
        <v>998</v>
      </c>
      <c r="AZ484" s="58" t="s">
        <v>947</v>
      </c>
      <c r="BA484" s="34" t="s">
        <v>128</v>
      </c>
      <c r="BB484" s="67">
        <v>100004</v>
      </c>
      <c r="BC484" s="55">
        <f>AW484+AX484</f>
        <v>0</v>
      </c>
      <c r="BD484" s="55">
        <f>H484/(100-BE484)*100</f>
        <v>0</v>
      </c>
      <c r="BE484" s="55">
        <v>0</v>
      </c>
      <c r="BF484" s="55">
        <f>K484</f>
        <v>8.088396000000001</v>
      </c>
      <c r="BH484" s="55">
        <f>G484*AO484</f>
        <v>0</v>
      </c>
      <c r="BI484" s="55">
        <f>G484*AP484</f>
        <v>0</v>
      </c>
      <c r="BJ484" s="55">
        <f>G484*H484</f>
        <v>0</v>
      </c>
      <c r="BK484" s="55"/>
      <c r="BL484" s="55">
        <v>63</v>
      </c>
      <c r="BW484" s="55">
        <v>21</v>
      </c>
    </row>
    <row r="485" spans="1:12" ht="14.4">
      <c r="A485" s="59"/>
      <c r="D485" s="60" t="s">
        <v>1003</v>
      </c>
      <c r="E485" s="60" t="s">
        <v>4</v>
      </c>
      <c r="G485" s="68">
        <v>255.8</v>
      </c>
      <c r="L485" s="69"/>
    </row>
    <row r="486" spans="1:75" ht="13.5" customHeight="1">
      <c r="A486" s="1" t="s">
        <v>1004</v>
      </c>
      <c r="B486" s="2" t="s">
        <v>116</v>
      </c>
      <c r="C486" s="2" t="s">
        <v>1005</v>
      </c>
      <c r="D486" s="147" t="s">
        <v>1006</v>
      </c>
      <c r="E486" s="148"/>
      <c r="F486" s="2" t="s">
        <v>729</v>
      </c>
      <c r="G486" s="55">
        <v>18.5</v>
      </c>
      <c r="H486" s="56">
        <v>0</v>
      </c>
      <c r="I486" s="55">
        <f>G486*H486</f>
        <v>0</v>
      </c>
      <c r="J486" s="55">
        <v>0.00714</v>
      </c>
      <c r="K486" s="55">
        <f>G486*J486</f>
        <v>0.13208999999999999</v>
      </c>
      <c r="L486" s="57" t="s">
        <v>785</v>
      </c>
      <c r="Z486" s="55">
        <f>IF(AQ486="5",BJ486,0)</f>
        <v>0</v>
      </c>
      <c r="AB486" s="55">
        <f>IF(AQ486="1",BH486,0)</f>
        <v>0</v>
      </c>
      <c r="AC486" s="55">
        <f>IF(AQ486="1",BI486,0)</f>
        <v>0</v>
      </c>
      <c r="AD486" s="55">
        <f>IF(AQ486="7",BH486,0)</f>
        <v>0</v>
      </c>
      <c r="AE486" s="55">
        <f>IF(AQ486="7",BI486,0)</f>
        <v>0</v>
      </c>
      <c r="AF486" s="55">
        <f>IF(AQ486="2",BH486,0)</f>
        <v>0</v>
      </c>
      <c r="AG486" s="55">
        <f>IF(AQ486="2",BI486,0)</f>
        <v>0</v>
      </c>
      <c r="AH486" s="55">
        <f>IF(AQ486="0",BJ486,0)</f>
        <v>0</v>
      </c>
      <c r="AI486" s="34" t="s">
        <v>116</v>
      </c>
      <c r="AJ486" s="55">
        <f>IF(AN486=0,I486,0)</f>
        <v>0</v>
      </c>
      <c r="AK486" s="55">
        <f>IF(AN486=12,I486,0)</f>
        <v>0</v>
      </c>
      <c r="AL486" s="55">
        <f>IF(AN486=21,I486,0)</f>
        <v>0</v>
      </c>
      <c r="AN486" s="55">
        <v>21</v>
      </c>
      <c r="AO486" s="55">
        <f>H486*0.665367647</f>
        <v>0</v>
      </c>
      <c r="AP486" s="55">
        <f>H486*(1-0.665367647)</f>
        <v>0</v>
      </c>
      <c r="AQ486" s="58" t="s">
        <v>120</v>
      </c>
      <c r="AV486" s="55">
        <f>AW486+AX486</f>
        <v>0</v>
      </c>
      <c r="AW486" s="55">
        <f>G486*AO486</f>
        <v>0</v>
      </c>
      <c r="AX486" s="55">
        <f>G486*AP486</f>
        <v>0</v>
      </c>
      <c r="AY486" s="58" t="s">
        <v>998</v>
      </c>
      <c r="AZ486" s="58" t="s">
        <v>947</v>
      </c>
      <c r="BA486" s="34" t="s">
        <v>128</v>
      </c>
      <c r="BB486" s="67">
        <v>100004</v>
      </c>
      <c r="BC486" s="55">
        <f>AW486+AX486</f>
        <v>0</v>
      </c>
      <c r="BD486" s="55">
        <f>H486/(100-BE486)*100</f>
        <v>0</v>
      </c>
      <c r="BE486" s="55">
        <v>0</v>
      </c>
      <c r="BF486" s="55">
        <f>K486</f>
        <v>0.13208999999999999</v>
      </c>
      <c r="BH486" s="55">
        <f>G486*AO486</f>
        <v>0</v>
      </c>
      <c r="BI486" s="55">
        <f>G486*AP486</f>
        <v>0</v>
      </c>
      <c r="BJ486" s="55">
        <f>G486*H486</f>
        <v>0</v>
      </c>
      <c r="BK486" s="55"/>
      <c r="BL486" s="55">
        <v>63</v>
      </c>
      <c r="BW486" s="55">
        <v>21</v>
      </c>
    </row>
    <row r="487" spans="1:12" ht="13.5" customHeight="1">
      <c r="A487" s="59"/>
      <c r="D487" s="218" t="s">
        <v>1007</v>
      </c>
      <c r="E487" s="219"/>
      <c r="F487" s="219"/>
      <c r="G487" s="219"/>
      <c r="H487" s="220"/>
      <c r="I487" s="219"/>
      <c r="J487" s="219"/>
      <c r="K487" s="219"/>
      <c r="L487" s="221"/>
    </row>
    <row r="488" spans="1:12" ht="14.4">
      <c r="A488" s="59"/>
      <c r="D488" s="60" t="s">
        <v>1008</v>
      </c>
      <c r="E488" s="60" t="s">
        <v>4</v>
      </c>
      <c r="G488" s="68">
        <v>18.5</v>
      </c>
      <c r="L488" s="69"/>
    </row>
    <row r="489" spans="1:75" ht="13.5" customHeight="1">
      <c r="A489" s="1" t="s">
        <v>1009</v>
      </c>
      <c r="B489" s="2" t="s">
        <v>116</v>
      </c>
      <c r="C489" s="2" t="s">
        <v>1010</v>
      </c>
      <c r="D489" s="147" t="s">
        <v>1011</v>
      </c>
      <c r="E489" s="148"/>
      <c r="F489" s="2" t="s">
        <v>792</v>
      </c>
      <c r="G489" s="55">
        <v>0.44</v>
      </c>
      <c r="H489" s="56">
        <v>0</v>
      </c>
      <c r="I489" s="55">
        <f>G489*H489</f>
        <v>0</v>
      </c>
      <c r="J489" s="55">
        <v>2.525</v>
      </c>
      <c r="K489" s="55">
        <f>G489*J489</f>
        <v>1.111</v>
      </c>
      <c r="L489" s="57" t="s">
        <v>785</v>
      </c>
      <c r="Z489" s="55">
        <f>IF(AQ489="5",BJ489,0)</f>
        <v>0</v>
      </c>
      <c r="AB489" s="55">
        <f>IF(AQ489="1",BH489,0)</f>
        <v>0</v>
      </c>
      <c r="AC489" s="55">
        <f>IF(AQ489="1",BI489,0)</f>
        <v>0</v>
      </c>
      <c r="AD489" s="55">
        <f>IF(AQ489="7",BH489,0)</f>
        <v>0</v>
      </c>
      <c r="AE489" s="55">
        <f>IF(AQ489="7",BI489,0)</f>
        <v>0</v>
      </c>
      <c r="AF489" s="55">
        <f>IF(AQ489="2",BH489,0)</f>
        <v>0</v>
      </c>
      <c r="AG489" s="55">
        <f>IF(AQ489="2",BI489,0)</f>
        <v>0</v>
      </c>
      <c r="AH489" s="55">
        <f>IF(AQ489="0",BJ489,0)</f>
        <v>0</v>
      </c>
      <c r="AI489" s="34" t="s">
        <v>116</v>
      </c>
      <c r="AJ489" s="55">
        <f>IF(AN489=0,I489,0)</f>
        <v>0</v>
      </c>
      <c r="AK489" s="55">
        <f>IF(AN489=12,I489,0)</f>
        <v>0</v>
      </c>
      <c r="AL489" s="55">
        <f>IF(AN489=21,I489,0)</f>
        <v>0</v>
      </c>
      <c r="AN489" s="55">
        <v>21</v>
      </c>
      <c r="AO489" s="55">
        <f>H489*0.713982873</f>
        <v>0</v>
      </c>
      <c r="AP489" s="55">
        <f>H489*(1-0.713982873)</f>
        <v>0</v>
      </c>
      <c r="AQ489" s="58" t="s">
        <v>120</v>
      </c>
      <c r="AV489" s="55">
        <f>AW489+AX489</f>
        <v>0</v>
      </c>
      <c r="AW489" s="55">
        <f>G489*AO489</f>
        <v>0</v>
      </c>
      <c r="AX489" s="55">
        <f>G489*AP489</f>
        <v>0</v>
      </c>
      <c r="AY489" s="58" t="s">
        <v>998</v>
      </c>
      <c r="AZ489" s="58" t="s">
        <v>947</v>
      </c>
      <c r="BA489" s="34" t="s">
        <v>128</v>
      </c>
      <c r="BB489" s="67">
        <v>100004</v>
      </c>
      <c r="BC489" s="55">
        <f>AW489+AX489</f>
        <v>0</v>
      </c>
      <c r="BD489" s="55">
        <f>H489/(100-BE489)*100</f>
        <v>0</v>
      </c>
      <c r="BE489" s="55">
        <v>0</v>
      </c>
      <c r="BF489" s="55">
        <f>K489</f>
        <v>1.111</v>
      </c>
      <c r="BH489" s="55">
        <f>G489*AO489</f>
        <v>0</v>
      </c>
      <c r="BI489" s="55">
        <f>G489*AP489</f>
        <v>0</v>
      </c>
      <c r="BJ489" s="55">
        <f>G489*H489</f>
        <v>0</v>
      </c>
      <c r="BK489" s="55"/>
      <c r="BL489" s="55">
        <v>63</v>
      </c>
      <c r="BW489" s="55">
        <v>21</v>
      </c>
    </row>
    <row r="490" spans="1:12" ht="14.4">
      <c r="A490" s="59"/>
      <c r="D490" s="60" t="s">
        <v>1012</v>
      </c>
      <c r="E490" s="60" t="s">
        <v>4</v>
      </c>
      <c r="G490" s="68">
        <v>0.44</v>
      </c>
      <c r="L490" s="69"/>
    </row>
    <row r="491" spans="1:75" ht="13.5" customHeight="1">
      <c r="A491" s="1" t="s">
        <v>1013</v>
      </c>
      <c r="B491" s="2" t="s">
        <v>116</v>
      </c>
      <c r="C491" s="2" t="s">
        <v>1014</v>
      </c>
      <c r="D491" s="147" t="s">
        <v>1015</v>
      </c>
      <c r="E491" s="148"/>
      <c r="F491" s="2" t="s">
        <v>939</v>
      </c>
      <c r="G491" s="55">
        <v>0.01</v>
      </c>
      <c r="H491" s="56">
        <v>0</v>
      </c>
      <c r="I491" s="55">
        <f>G491*H491</f>
        <v>0</v>
      </c>
      <c r="J491" s="55">
        <v>1.06625</v>
      </c>
      <c r="K491" s="55">
        <f>G491*J491</f>
        <v>0.0106625</v>
      </c>
      <c r="L491" s="57" t="s">
        <v>785</v>
      </c>
      <c r="Z491" s="55">
        <f>IF(AQ491="5",BJ491,0)</f>
        <v>0</v>
      </c>
      <c r="AB491" s="55">
        <f>IF(AQ491="1",BH491,0)</f>
        <v>0</v>
      </c>
      <c r="AC491" s="55">
        <f>IF(AQ491="1",BI491,0)</f>
        <v>0</v>
      </c>
      <c r="AD491" s="55">
        <f>IF(AQ491="7",BH491,0)</f>
        <v>0</v>
      </c>
      <c r="AE491" s="55">
        <f>IF(AQ491="7",BI491,0)</f>
        <v>0</v>
      </c>
      <c r="AF491" s="55">
        <f>IF(AQ491="2",BH491,0)</f>
        <v>0</v>
      </c>
      <c r="AG491" s="55">
        <f>IF(AQ491="2",BI491,0)</f>
        <v>0</v>
      </c>
      <c r="AH491" s="55">
        <f>IF(AQ491="0",BJ491,0)</f>
        <v>0</v>
      </c>
      <c r="AI491" s="34" t="s">
        <v>116</v>
      </c>
      <c r="AJ491" s="55">
        <f>IF(AN491=0,I491,0)</f>
        <v>0</v>
      </c>
      <c r="AK491" s="55">
        <f>IF(AN491=12,I491,0)</f>
        <v>0</v>
      </c>
      <c r="AL491" s="55">
        <f>IF(AN491=21,I491,0)</f>
        <v>0</v>
      </c>
      <c r="AN491" s="55">
        <v>21</v>
      </c>
      <c r="AO491" s="55">
        <f>H491*0.792362396</f>
        <v>0</v>
      </c>
      <c r="AP491" s="55">
        <f>H491*(1-0.792362396)</f>
        <v>0</v>
      </c>
      <c r="AQ491" s="58" t="s">
        <v>120</v>
      </c>
      <c r="AV491" s="55">
        <f>AW491+AX491</f>
        <v>0</v>
      </c>
      <c r="AW491" s="55">
        <f>G491*AO491</f>
        <v>0</v>
      </c>
      <c r="AX491" s="55">
        <f>G491*AP491</f>
        <v>0</v>
      </c>
      <c r="AY491" s="58" t="s">
        <v>998</v>
      </c>
      <c r="AZ491" s="58" t="s">
        <v>947</v>
      </c>
      <c r="BA491" s="34" t="s">
        <v>128</v>
      </c>
      <c r="BB491" s="67">
        <v>100004</v>
      </c>
      <c r="BC491" s="55">
        <f>AW491+AX491</f>
        <v>0</v>
      </c>
      <c r="BD491" s="55">
        <f>H491/(100-BE491)*100</f>
        <v>0</v>
      </c>
      <c r="BE491" s="55">
        <v>0</v>
      </c>
      <c r="BF491" s="55">
        <f>K491</f>
        <v>0.0106625</v>
      </c>
      <c r="BH491" s="55">
        <f>G491*AO491</f>
        <v>0</v>
      </c>
      <c r="BI491" s="55">
        <f>G491*AP491</f>
        <v>0</v>
      </c>
      <c r="BJ491" s="55">
        <f>G491*H491</f>
        <v>0</v>
      </c>
      <c r="BK491" s="55"/>
      <c r="BL491" s="55">
        <v>63</v>
      </c>
      <c r="BW491" s="55">
        <v>21</v>
      </c>
    </row>
    <row r="492" spans="1:12" ht="13.5" customHeight="1">
      <c r="A492" s="59"/>
      <c r="D492" s="218" t="s">
        <v>1016</v>
      </c>
      <c r="E492" s="219"/>
      <c r="F492" s="219"/>
      <c r="G492" s="219"/>
      <c r="H492" s="220"/>
      <c r="I492" s="219"/>
      <c r="J492" s="219"/>
      <c r="K492" s="219"/>
      <c r="L492" s="221"/>
    </row>
    <row r="493" spans="1:12" ht="14.4">
      <c r="A493" s="59"/>
      <c r="D493" s="60" t="s">
        <v>1017</v>
      </c>
      <c r="E493" s="60" t="s">
        <v>4</v>
      </c>
      <c r="G493" s="68">
        <v>0.01</v>
      </c>
      <c r="L493" s="69"/>
    </row>
    <row r="494" spans="1:75" ht="13.5" customHeight="1">
      <c r="A494" s="1" t="s">
        <v>1018</v>
      </c>
      <c r="B494" s="2" t="s">
        <v>116</v>
      </c>
      <c r="C494" s="2" t="s">
        <v>1019</v>
      </c>
      <c r="D494" s="147" t="s">
        <v>1020</v>
      </c>
      <c r="E494" s="148"/>
      <c r="F494" s="2" t="s">
        <v>729</v>
      </c>
      <c r="G494" s="55">
        <v>292.7</v>
      </c>
      <c r="H494" s="56">
        <v>0</v>
      </c>
      <c r="I494" s="55">
        <f>G494*H494</f>
        <v>0</v>
      </c>
      <c r="J494" s="55">
        <v>0.01</v>
      </c>
      <c r="K494" s="55">
        <f>G494*J494</f>
        <v>2.927</v>
      </c>
      <c r="L494" s="57" t="s">
        <v>124</v>
      </c>
      <c r="Z494" s="55">
        <f>IF(AQ494="5",BJ494,0)</f>
        <v>0</v>
      </c>
      <c r="AB494" s="55">
        <f>IF(AQ494="1",BH494,0)</f>
        <v>0</v>
      </c>
      <c r="AC494" s="55">
        <f>IF(AQ494="1",BI494,0)</f>
        <v>0</v>
      </c>
      <c r="AD494" s="55">
        <f>IF(AQ494="7",BH494,0)</f>
        <v>0</v>
      </c>
      <c r="AE494" s="55">
        <f>IF(AQ494="7",BI494,0)</f>
        <v>0</v>
      </c>
      <c r="AF494" s="55">
        <f>IF(AQ494="2",BH494,0)</f>
        <v>0</v>
      </c>
      <c r="AG494" s="55">
        <f>IF(AQ494="2",BI494,0)</f>
        <v>0</v>
      </c>
      <c r="AH494" s="55">
        <f>IF(AQ494="0",BJ494,0)</f>
        <v>0</v>
      </c>
      <c r="AI494" s="34" t="s">
        <v>116</v>
      </c>
      <c r="AJ494" s="55">
        <f>IF(AN494=0,I494,0)</f>
        <v>0</v>
      </c>
      <c r="AK494" s="55">
        <f>IF(AN494=12,I494,0)</f>
        <v>0</v>
      </c>
      <c r="AL494" s="55">
        <f>IF(AN494=21,I494,0)</f>
        <v>0</v>
      </c>
      <c r="AN494" s="55">
        <v>21</v>
      </c>
      <c r="AO494" s="55">
        <f>H494*0.912715539</f>
        <v>0</v>
      </c>
      <c r="AP494" s="55">
        <f>H494*(1-0.912715539)</f>
        <v>0</v>
      </c>
      <c r="AQ494" s="58" t="s">
        <v>120</v>
      </c>
      <c r="AV494" s="55">
        <f>AW494+AX494</f>
        <v>0</v>
      </c>
      <c r="AW494" s="55">
        <f>G494*AO494</f>
        <v>0</v>
      </c>
      <c r="AX494" s="55">
        <f>G494*AP494</f>
        <v>0</v>
      </c>
      <c r="AY494" s="58" t="s">
        <v>998</v>
      </c>
      <c r="AZ494" s="58" t="s">
        <v>947</v>
      </c>
      <c r="BA494" s="34" t="s">
        <v>128</v>
      </c>
      <c r="BB494" s="67">
        <v>100004</v>
      </c>
      <c r="BC494" s="55">
        <f>AW494+AX494</f>
        <v>0</v>
      </c>
      <c r="BD494" s="55">
        <f>H494/(100-BE494)*100</f>
        <v>0</v>
      </c>
      <c r="BE494" s="55">
        <v>0</v>
      </c>
      <c r="BF494" s="55">
        <f>K494</f>
        <v>2.927</v>
      </c>
      <c r="BH494" s="55">
        <f>G494*AO494</f>
        <v>0</v>
      </c>
      <c r="BI494" s="55">
        <f>G494*AP494</f>
        <v>0</v>
      </c>
      <c r="BJ494" s="55">
        <f>G494*H494</f>
        <v>0</v>
      </c>
      <c r="BK494" s="55"/>
      <c r="BL494" s="55">
        <v>63</v>
      </c>
      <c r="BW494" s="55">
        <v>21</v>
      </c>
    </row>
    <row r="495" spans="1:12" ht="13.5" customHeight="1">
      <c r="A495" s="59"/>
      <c r="D495" s="218" t="s">
        <v>1021</v>
      </c>
      <c r="E495" s="219"/>
      <c r="F495" s="219"/>
      <c r="G495" s="219"/>
      <c r="H495" s="220"/>
      <c r="I495" s="219"/>
      <c r="J495" s="219"/>
      <c r="K495" s="219"/>
      <c r="L495" s="221"/>
    </row>
    <row r="496" spans="1:12" ht="14.4">
      <c r="A496" s="59"/>
      <c r="D496" s="60" t="s">
        <v>1022</v>
      </c>
      <c r="E496" s="60" t="s">
        <v>816</v>
      </c>
      <c r="G496" s="68">
        <v>292.7</v>
      </c>
      <c r="L496" s="69"/>
    </row>
    <row r="497" spans="1:75" ht="13.5" customHeight="1">
      <c r="A497" s="1" t="s">
        <v>1023</v>
      </c>
      <c r="B497" s="2" t="s">
        <v>116</v>
      </c>
      <c r="C497" s="2" t="s">
        <v>1024</v>
      </c>
      <c r="D497" s="147" t="s">
        <v>1025</v>
      </c>
      <c r="E497" s="148"/>
      <c r="F497" s="2" t="s">
        <v>729</v>
      </c>
      <c r="G497" s="55">
        <v>30.75</v>
      </c>
      <c r="H497" s="56">
        <v>0</v>
      </c>
      <c r="I497" s="55">
        <f>G497*H497</f>
        <v>0</v>
      </c>
      <c r="J497" s="55">
        <v>0.0944</v>
      </c>
      <c r="K497" s="55">
        <f>G497*J497</f>
        <v>2.9028</v>
      </c>
      <c r="L497" s="57" t="s">
        <v>785</v>
      </c>
      <c r="Z497" s="55">
        <f>IF(AQ497="5",BJ497,0)</f>
        <v>0</v>
      </c>
      <c r="AB497" s="55">
        <f>IF(AQ497="1",BH497,0)</f>
        <v>0</v>
      </c>
      <c r="AC497" s="55">
        <f>IF(AQ497="1",BI497,0)</f>
        <v>0</v>
      </c>
      <c r="AD497" s="55">
        <f>IF(AQ497="7",BH497,0)</f>
        <v>0</v>
      </c>
      <c r="AE497" s="55">
        <f>IF(AQ497="7",BI497,0)</f>
        <v>0</v>
      </c>
      <c r="AF497" s="55">
        <f>IF(AQ497="2",BH497,0)</f>
        <v>0</v>
      </c>
      <c r="AG497" s="55">
        <f>IF(AQ497="2",BI497,0)</f>
        <v>0</v>
      </c>
      <c r="AH497" s="55">
        <f>IF(AQ497="0",BJ497,0)</f>
        <v>0</v>
      </c>
      <c r="AI497" s="34" t="s">
        <v>116</v>
      </c>
      <c r="AJ497" s="55">
        <f>IF(AN497=0,I497,0)</f>
        <v>0</v>
      </c>
      <c r="AK497" s="55">
        <f>IF(AN497=12,I497,0)</f>
        <v>0</v>
      </c>
      <c r="AL497" s="55">
        <f>IF(AN497=21,I497,0)</f>
        <v>0</v>
      </c>
      <c r="AN497" s="55">
        <v>21</v>
      </c>
      <c r="AO497" s="55">
        <f>H497*0.385668674</f>
        <v>0</v>
      </c>
      <c r="AP497" s="55">
        <f>H497*(1-0.385668674)</f>
        <v>0</v>
      </c>
      <c r="AQ497" s="58" t="s">
        <v>120</v>
      </c>
      <c r="AV497" s="55">
        <f>AW497+AX497</f>
        <v>0</v>
      </c>
      <c r="AW497" s="55">
        <f>G497*AO497</f>
        <v>0</v>
      </c>
      <c r="AX497" s="55">
        <f>G497*AP497</f>
        <v>0</v>
      </c>
      <c r="AY497" s="58" t="s">
        <v>998</v>
      </c>
      <c r="AZ497" s="58" t="s">
        <v>947</v>
      </c>
      <c r="BA497" s="34" t="s">
        <v>128</v>
      </c>
      <c r="BB497" s="67">
        <v>100004</v>
      </c>
      <c r="BC497" s="55">
        <f>AW497+AX497</f>
        <v>0</v>
      </c>
      <c r="BD497" s="55">
        <f>H497/(100-BE497)*100</f>
        <v>0</v>
      </c>
      <c r="BE497" s="55">
        <v>0</v>
      </c>
      <c r="BF497" s="55">
        <f>K497</f>
        <v>2.9028</v>
      </c>
      <c r="BH497" s="55">
        <f>G497*AO497</f>
        <v>0</v>
      </c>
      <c r="BI497" s="55">
        <f>G497*AP497</f>
        <v>0</v>
      </c>
      <c r="BJ497" s="55">
        <f>G497*H497</f>
        <v>0</v>
      </c>
      <c r="BK497" s="55"/>
      <c r="BL497" s="55">
        <v>63</v>
      </c>
      <c r="BW497" s="55">
        <v>21</v>
      </c>
    </row>
    <row r="498" spans="1:12" ht="13.5" customHeight="1">
      <c r="A498" s="59"/>
      <c r="D498" s="218" t="s">
        <v>1026</v>
      </c>
      <c r="E498" s="219"/>
      <c r="F498" s="219"/>
      <c r="G498" s="219"/>
      <c r="H498" s="220"/>
      <c r="I498" s="219"/>
      <c r="J498" s="219"/>
      <c r="K498" s="219"/>
      <c r="L498" s="221"/>
    </row>
    <row r="499" spans="1:12" ht="14.4">
      <c r="A499" s="59"/>
      <c r="D499" s="60" t="s">
        <v>1027</v>
      </c>
      <c r="E499" s="60" t="s">
        <v>1028</v>
      </c>
      <c r="G499" s="68">
        <v>30.75</v>
      </c>
      <c r="L499" s="69"/>
    </row>
    <row r="500" spans="1:47" ht="14.4">
      <c r="A500" s="50" t="s">
        <v>4</v>
      </c>
      <c r="B500" s="51" t="s">
        <v>116</v>
      </c>
      <c r="C500" s="51" t="s">
        <v>322</v>
      </c>
      <c r="D500" s="222" t="s">
        <v>1029</v>
      </c>
      <c r="E500" s="223"/>
      <c r="F500" s="52" t="s">
        <v>79</v>
      </c>
      <c r="G500" s="52" t="s">
        <v>79</v>
      </c>
      <c r="H500" s="53" t="s">
        <v>79</v>
      </c>
      <c r="I500" s="27">
        <f>SUM(I501:I518)</f>
        <v>0</v>
      </c>
      <c r="J500" s="34" t="s">
        <v>4</v>
      </c>
      <c r="K500" s="27">
        <f>SUM(K501:K518)</f>
        <v>0.49733000000000005</v>
      </c>
      <c r="L500" s="54" t="s">
        <v>4</v>
      </c>
      <c r="AI500" s="34" t="s">
        <v>116</v>
      </c>
      <c r="AS500" s="27">
        <f>SUM(AJ501:AJ518)</f>
        <v>0</v>
      </c>
      <c r="AT500" s="27">
        <f>SUM(AK501:AK518)</f>
        <v>0</v>
      </c>
      <c r="AU500" s="27">
        <f>SUM(AL501:AL518)</f>
        <v>0</v>
      </c>
    </row>
    <row r="501" spans="1:75" ht="13.5" customHeight="1">
      <c r="A501" s="1" t="s">
        <v>1030</v>
      </c>
      <c r="B501" s="2" t="s">
        <v>116</v>
      </c>
      <c r="C501" s="2" t="s">
        <v>1031</v>
      </c>
      <c r="D501" s="147" t="s">
        <v>1032</v>
      </c>
      <c r="E501" s="148"/>
      <c r="F501" s="2" t="s">
        <v>374</v>
      </c>
      <c r="G501" s="55">
        <v>9</v>
      </c>
      <c r="H501" s="56">
        <v>0</v>
      </c>
      <c r="I501" s="55">
        <f>G501*H501</f>
        <v>0</v>
      </c>
      <c r="J501" s="55">
        <v>0</v>
      </c>
      <c r="K501" s="55">
        <f>G501*J501</f>
        <v>0</v>
      </c>
      <c r="L501" s="57" t="s">
        <v>785</v>
      </c>
      <c r="Z501" s="55">
        <f>IF(AQ501="5",BJ501,0)</f>
        <v>0</v>
      </c>
      <c r="AB501" s="55">
        <f>IF(AQ501="1",BH501,0)</f>
        <v>0</v>
      </c>
      <c r="AC501" s="55">
        <f>IF(AQ501="1",BI501,0)</f>
        <v>0</v>
      </c>
      <c r="AD501" s="55">
        <f>IF(AQ501="7",BH501,0)</f>
        <v>0</v>
      </c>
      <c r="AE501" s="55">
        <f>IF(AQ501="7",BI501,0)</f>
        <v>0</v>
      </c>
      <c r="AF501" s="55">
        <f>IF(AQ501="2",BH501,0)</f>
        <v>0</v>
      </c>
      <c r="AG501" s="55">
        <f>IF(AQ501="2",BI501,0)</f>
        <v>0</v>
      </c>
      <c r="AH501" s="55">
        <f>IF(AQ501="0",BJ501,0)</f>
        <v>0</v>
      </c>
      <c r="AI501" s="34" t="s">
        <v>116</v>
      </c>
      <c r="AJ501" s="55">
        <f>IF(AN501=0,I501,0)</f>
        <v>0</v>
      </c>
      <c r="AK501" s="55">
        <f>IF(AN501=12,I501,0)</f>
        <v>0</v>
      </c>
      <c r="AL501" s="55">
        <f>IF(AN501=21,I501,0)</f>
        <v>0</v>
      </c>
      <c r="AN501" s="55">
        <v>21</v>
      </c>
      <c r="AO501" s="55">
        <f>H501*0</f>
        <v>0</v>
      </c>
      <c r="AP501" s="55">
        <f>H501*(1-0)</f>
        <v>0</v>
      </c>
      <c r="AQ501" s="58" t="s">
        <v>120</v>
      </c>
      <c r="AV501" s="55">
        <f>AW501+AX501</f>
        <v>0</v>
      </c>
      <c r="AW501" s="55">
        <f>G501*AO501</f>
        <v>0</v>
      </c>
      <c r="AX501" s="55">
        <f>G501*AP501</f>
        <v>0</v>
      </c>
      <c r="AY501" s="58" t="s">
        <v>1033</v>
      </c>
      <c r="AZ501" s="58" t="s">
        <v>947</v>
      </c>
      <c r="BA501" s="34" t="s">
        <v>128</v>
      </c>
      <c r="BB501" s="67">
        <v>100003</v>
      </c>
      <c r="BC501" s="55">
        <f>AW501+AX501</f>
        <v>0</v>
      </c>
      <c r="BD501" s="55">
        <f>H501/(100-BE501)*100</f>
        <v>0</v>
      </c>
      <c r="BE501" s="55">
        <v>0</v>
      </c>
      <c r="BF501" s="55">
        <f>K501</f>
        <v>0</v>
      </c>
      <c r="BH501" s="55">
        <f>G501*AO501</f>
        <v>0</v>
      </c>
      <c r="BI501" s="55">
        <f>G501*AP501</f>
        <v>0</v>
      </c>
      <c r="BJ501" s="55">
        <f>G501*H501</f>
        <v>0</v>
      </c>
      <c r="BK501" s="55"/>
      <c r="BL501" s="55">
        <v>64</v>
      </c>
      <c r="BW501" s="55">
        <v>21</v>
      </c>
    </row>
    <row r="502" spans="1:12" ht="14.4">
      <c r="A502" s="59"/>
      <c r="D502" s="60" t="s">
        <v>1034</v>
      </c>
      <c r="E502" s="60" t="s">
        <v>4</v>
      </c>
      <c r="G502" s="68">
        <v>9</v>
      </c>
      <c r="L502" s="69"/>
    </row>
    <row r="503" spans="1:75" ht="13.5" customHeight="1">
      <c r="A503" s="61" t="s">
        <v>1035</v>
      </c>
      <c r="B503" s="62" t="s">
        <v>116</v>
      </c>
      <c r="C503" s="62" t="s">
        <v>1036</v>
      </c>
      <c r="D503" s="224" t="s">
        <v>1037</v>
      </c>
      <c r="E503" s="225"/>
      <c r="F503" s="62" t="s">
        <v>374</v>
      </c>
      <c r="G503" s="63">
        <v>7</v>
      </c>
      <c r="H503" s="64">
        <v>0</v>
      </c>
      <c r="I503" s="63">
        <f>G503*H503</f>
        <v>0</v>
      </c>
      <c r="J503" s="63">
        <v>0.0235</v>
      </c>
      <c r="K503" s="63">
        <f>G503*J503</f>
        <v>0.1645</v>
      </c>
      <c r="L503" s="65" t="s">
        <v>785</v>
      </c>
      <c r="Z503" s="55">
        <f>IF(AQ503="5",BJ503,0)</f>
        <v>0</v>
      </c>
      <c r="AB503" s="55">
        <f>IF(AQ503="1",BH503,0)</f>
        <v>0</v>
      </c>
      <c r="AC503" s="55">
        <f>IF(AQ503="1",BI503,0)</f>
        <v>0</v>
      </c>
      <c r="AD503" s="55">
        <f>IF(AQ503="7",BH503,0)</f>
        <v>0</v>
      </c>
      <c r="AE503" s="55">
        <f>IF(AQ503="7",BI503,0)</f>
        <v>0</v>
      </c>
      <c r="AF503" s="55">
        <f>IF(AQ503="2",BH503,0)</f>
        <v>0</v>
      </c>
      <c r="AG503" s="55">
        <f>IF(AQ503="2",BI503,0)</f>
        <v>0</v>
      </c>
      <c r="AH503" s="55">
        <f>IF(AQ503="0",BJ503,0)</f>
        <v>0</v>
      </c>
      <c r="AI503" s="34" t="s">
        <v>116</v>
      </c>
      <c r="AJ503" s="63">
        <f>IF(AN503=0,I503,0)</f>
        <v>0</v>
      </c>
      <c r="AK503" s="63">
        <f>IF(AN503=12,I503,0)</f>
        <v>0</v>
      </c>
      <c r="AL503" s="63">
        <f>IF(AN503=21,I503,0)</f>
        <v>0</v>
      </c>
      <c r="AN503" s="55">
        <v>21</v>
      </c>
      <c r="AO503" s="55">
        <f>H503*1</f>
        <v>0</v>
      </c>
      <c r="AP503" s="55">
        <f>H503*(1-1)</f>
        <v>0</v>
      </c>
      <c r="AQ503" s="66" t="s">
        <v>120</v>
      </c>
      <c r="AV503" s="55">
        <f>AW503+AX503</f>
        <v>0</v>
      </c>
      <c r="AW503" s="55">
        <f>G503*AO503</f>
        <v>0</v>
      </c>
      <c r="AX503" s="55">
        <f>G503*AP503</f>
        <v>0</v>
      </c>
      <c r="AY503" s="58" t="s">
        <v>1033</v>
      </c>
      <c r="AZ503" s="58" t="s">
        <v>947</v>
      </c>
      <c r="BA503" s="34" t="s">
        <v>128</v>
      </c>
      <c r="BC503" s="55">
        <f>AW503+AX503</f>
        <v>0</v>
      </c>
      <c r="BD503" s="55">
        <f>H503/(100-BE503)*100</f>
        <v>0</v>
      </c>
      <c r="BE503" s="55">
        <v>0</v>
      </c>
      <c r="BF503" s="55">
        <f>K503</f>
        <v>0.1645</v>
      </c>
      <c r="BH503" s="63">
        <f>G503*AO503</f>
        <v>0</v>
      </c>
      <c r="BI503" s="63">
        <f>G503*AP503</f>
        <v>0</v>
      </c>
      <c r="BJ503" s="63">
        <f>G503*H503</f>
        <v>0</v>
      </c>
      <c r="BK503" s="63"/>
      <c r="BL503" s="55">
        <v>64</v>
      </c>
      <c r="BW503" s="55">
        <v>21</v>
      </c>
    </row>
    <row r="504" spans="1:12" ht="14.4">
      <c r="A504" s="59"/>
      <c r="D504" s="60" t="s">
        <v>125</v>
      </c>
      <c r="E504" s="60" t="s">
        <v>4</v>
      </c>
      <c r="G504" s="68">
        <v>7</v>
      </c>
      <c r="L504" s="69"/>
    </row>
    <row r="505" spans="1:75" ht="13.5" customHeight="1">
      <c r="A505" s="61" t="s">
        <v>1038</v>
      </c>
      <c r="B505" s="62" t="s">
        <v>116</v>
      </c>
      <c r="C505" s="62" t="s">
        <v>1039</v>
      </c>
      <c r="D505" s="224" t="s">
        <v>1040</v>
      </c>
      <c r="E505" s="225"/>
      <c r="F505" s="62" t="s">
        <v>374</v>
      </c>
      <c r="G505" s="63">
        <v>2</v>
      </c>
      <c r="H505" s="64">
        <v>0</v>
      </c>
      <c r="I505" s="63">
        <f>G505*H505</f>
        <v>0</v>
      </c>
      <c r="J505" s="63">
        <v>0.0241</v>
      </c>
      <c r="K505" s="63">
        <f>G505*J505</f>
        <v>0.0482</v>
      </c>
      <c r="L505" s="65" t="s">
        <v>785</v>
      </c>
      <c r="Z505" s="55">
        <f>IF(AQ505="5",BJ505,0)</f>
        <v>0</v>
      </c>
      <c r="AB505" s="55">
        <f>IF(AQ505="1",BH505,0)</f>
        <v>0</v>
      </c>
      <c r="AC505" s="55">
        <f>IF(AQ505="1",BI505,0)</f>
        <v>0</v>
      </c>
      <c r="AD505" s="55">
        <f>IF(AQ505="7",BH505,0)</f>
        <v>0</v>
      </c>
      <c r="AE505" s="55">
        <f>IF(AQ505="7",BI505,0)</f>
        <v>0</v>
      </c>
      <c r="AF505" s="55">
        <f>IF(AQ505="2",BH505,0)</f>
        <v>0</v>
      </c>
      <c r="AG505" s="55">
        <f>IF(AQ505="2",BI505,0)</f>
        <v>0</v>
      </c>
      <c r="AH505" s="55">
        <f>IF(AQ505="0",BJ505,0)</f>
        <v>0</v>
      </c>
      <c r="AI505" s="34" t="s">
        <v>116</v>
      </c>
      <c r="AJ505" s="63">
        <f>IF(AN505=0,I505,0)</f>
        <v>0</v>
      </c>
      <c r="AK505" s="63">
        <f>IF(AN505=12,I505,0)</f>
        <v>0</v>
      </c>
      <c r="AL505" s="63">
        <f>IF(AN505=21,I505,0)</f>
        <v>0</v>
      </c>
      <c r="AN505" s="55">
        <v>21</v>
      </c>
      <c r="AO505" s="55">
        <f>H505*1</f>
        <v>0</v>
      </c>
      <c r="AP505" s="55">
        <f>H505*(1-1)</f>
        <v>0</v>
      </c>
      <c r="AQ505" s="66" t="s">
        <v>120</v>
      </c>
      <c r="AV505" s="55">
        <f>AW505+AX505</f>
        <v>0</v>
      </c>
      <c r="AW505" s="55">
        <f>G505*AO505</f>
        <v>0</v>
      </c>
      <c r="AX505" s="55">
        <f>G505*AP505</f>
        <v>0</v>
      </c>
      <c r="AY505" s="58" t="s">
        <v>1033</v>
      </c>
      <c r="AZ505" s="58" t="s">
        <v>947</v>
      </c>
      <c r="BA505" s="34" t="s">
        <v>128</v>
      </c>
      <c r="BC505" s="55">
        <f>AW505+AX505</f>
        <v>0</v>
      </c>
      <c r="BD505" s="55">
        <f>H505/(100-BE505)*100</f>
        <v>0</v>
      </c>
      <c r="BE505" s="55">
        <v>0</v>
      </c>
      <c r="BF505" s="55">
        <f>K505</f>
        <v>0.0482</v>
      </c>
      <c r="BH505" s="63">
        <f>G505*AO505</f>
        <v>0</v>
      </c>
      <c r="BI505" s="63">
        <f>G505*AP505</f>
        <v>0</v>
      </c>
      <c r="BJ505" s="63">
        <f>G505*H505</f>
        <v>0</v>
      </c>
      <c r="BK505" s="63"/>
      <c r="BL505" s="55">
        <v>64</v>
      </c>
      <c r="BW505" s="55">
        <v>21</v>
      </c>
    </row>
    <row r="506" spans="1:12" ht="14.4">
      <c r="A506" s="59"/>
      <c r="D506" s="60" t="s">
        <v>130</v>
      </c>
      <c r="E506" s="60" t="s">
        <v>4</v>
      </c>
      <c r="G506" s="68">
        <v>2</v>
      </c>
      <c r="L506" s="69"/>
    </row>
    <row r="507" spans="1:75" ht="13.5" customHeight="1">
      <c r="A507" s="1" t="s">
        <v>1041</v>
      </c>
      <c r="B507" s="2" t="s">
        <v>116</v>
      </c>
      <c r="C507" s="2" t="s">
        <v>1042</v>
      </c>
      <c r="D507" s="147" t="s">
        <v>1043</v>
      </c>
      <c r="E507" s="148"/>
      <c r="F507" s="2" t="s">
        <v>374</v>
      </c>
      <c r="G507" s="55">
        <v>13</v>
      </c>
      <c r="H507" s="56">
        <v>0</v>
      </c>
      <c r="I507" s="55">
        <f>G507*H507</f>
        <v>0</v>
      </c>
      <c r="J507" s="55">
        <v>0</v>
      </c>
      <c r="K507" s="55">
        <f>G507*J507</f>
        <v>0</v>
      </c>
      <c r="L507" s="57" t="s">
        <v>785</v>
      </c>
      <c r="Z507" s="55">
        <f>IF(AQ507="5",BJ507,0)</f>
        <v>0</v>
      </c>
      <c r="AB507" s="55">
        <f>IF(AQ507="1",BH507,0)</f>
        <v>0</v>
      </c>
      <c r="AC507" s="55">
        <f>IF(AQ507="1",BI507,0)</f>
        <v>0</v>
      </c>
      <c r="AD507" s="55">
        <f>IF(AQ507="7",BH507,0)</f>
        <v>0</v>
      </c>
      <c r="AE507" s="55">
        <f>IF(AQ507="7",BI507,0)</f>
        <v>0</v>
      </c>
      <c r="AF507" s="55">
        <f>IF(AQ507="2",BH507,0)</f>
        <v>0</v>
      </c>
      <c r="AG507" s="55">
        <f>IF(AQ507="2",BI507,0)</f>
        <v>0</v>
      </c>
      <c r="AH507" s="55">
        <f>IF(AQ507="0",BJ507,0)</f>
        <v>0</v>
      </c>
      <c r="AI507" s="34" t="s">
        <v>116</v>
      </c>
      <c r="AJ507" s="55">
        <f>IF(AN507=0,I507,0)</f>
        <v>0</v>
      </c>
      <c r="AK507" s="55">
        <f>IF(AN507=12,I507,0)</f>
        <v>0</v>
      </c>
      <c r="AL507" s="55">
        <f>IF(AN507=21,I507,0)</f>
        <v>0</v>
      </c>
      <c r="AN507" s="55">
        <v>21</v>
      </c>
      <c r="AO507" s="55">
        <f>H507*0</f>
        <v>0</v>
      </c>
      <c r="AP507" s="55">
        <f>H507*(1-0)</f>
        <v>0</v>
      </c>
      <c r="AQ507" s="58" t="s">
        <v>120</v>
      </c>
      <c r="AV507" s="55">
        <f>AW507+AX507</f>
        <v>0</v>
      </c>
      <c r="AW507" s="55">
        <f>G507*AO507</f>
        <v>0</v>
      </c>
      <c r="AX507" s="55">
        <f>G507*AP507</f>
        <v>0</v>
      </c>
      <c r="AY507" s="58" t="s">
        <v>1033</v>
      </c>
      <c r="AZ507" s="58" t="s">
        <v>947</v>
      </c>
      <c r="BA507" s="34" t="s">
        <v>128</v>
      </c>
      <c r="BB507" s="67">
        <v>100003</v>
      </c>
      <c r="BC507" s="55">
        <f>AW507+AX507</f>
        <v>0</v>
      </c>
      <c r="BD507" s="55">
        <f>H507/(100-BE507)*100</f>
        <v>0</v>
      </c>
      <c r="BE507" s="55">
        <v>0</v>
      </c>
      <c r="BF507" s="55">
        <f>K507</f>
        <v>0</v>
      </c>
      <c r="BH507" s="55">
        <f>G507*AO507</f>
        <v>0</v>
      </c>
      <c r="BI507" s="55">
        <f>G507*AP507</f>
        <v>0</v>
      </c>
      <c r="BJ507" s="55">
        <f>G507*H507</f>
        <v>0</v>
      </c>
      <c r="BK507" s="55"/>
      <c r="BL507" s="55">
        <v>64</v>
      </c>
      <c r="BW507" s="55">
        <v>21</v>
      </c>
    </row>
    <row r="508" spans="1:12" ht="14.4">
      <c r="A508" s="59"/>
      <c r="D508" s="60" t="s">
        <v>1044</v>
      </c>
      <c r="E508" s="60" t="s">
        <v>4</v>
      </c>
      <c r="G508" s="68">
        <v>13</v>
      </c>
      <c r="L508" s="69"/>
    </row>
    <row r="509" spans="1:75" ht="13.5" customHeight="1">
      <c r="A509" s="61" t="s">
        <v>1045</v>
      </c>
      <c r="B509" s="62" t="s">
        <v>116</v>
      </c>
      <c r="C509" s="62" t="s">
        <v>1046</v>
      </c>
      <c r="D509" s="224" t="s">
        <v>1047</v>
      </c>
      <c r="E509" s="225"/>
      <c r="F509" s="62" t="s">
        <v>374</v>
      </c>
      <c r="G509" s="63">
        <v>3</v>
      </c>
      <c r="H509" s="64">
        <v>0</v>
      </c>
      <c r="I509" s="63">
        <f>G509*H509</f>
        <v>0</v>
      </c>
      <c r="J509" s="63">
        <v>0.01607</v>
      </c>
      <c r="K509" s="63">
        <f>G509*J509</f>
        <v>0.04821</v>
      </c>
      <c r="L509" s="65" t="s">
        <v>785</v>
      </c>
      <c r="Z509" s="55">
        <f>IF(AQ509="5",BJ509,0)</f>
        <v>0</v>
      </c>
      <c r="AB509" s="55">
        <f>IF(AQ509="1",BH509,0)</f>
        <v>0</v>
      </c>
      <c r="AC509" s="55">
        <f>IF(AQ509="1",BI509,0)</f>
        <v>0</v>
      </c>
      <c r="AD509" s="55">
        <f>IF(AQ509="7",BH509,0)</f>
        <v>0</v>
      </c>
      <c r="AE509" s="55">
        <f>IF(AQ509="7",BI509,0)</f>
        <v>0</v>
      </c>
      <c r="AF509" s="55">
        <f>IF(AQ509="2",BH509,0)</f>
        <v>0</v>
      </c>
      <c r="AG509" s="55">
        <f>IF(AQ509="2",BI509,0)</f>
        <v>0</v>
      </c>
      <c r="AH509" s="55">
        <f>IF(AQ509="0",BJ509,0)</f>
        <v>0</v>
      </c>
      <c r="AI509" s="34" t="s">
        <v>116</v>
      </c>
      <c r="AJ509" s="63">
        <f>IF(AN509=0,I509,0)</f>
        <v>0</v>
      </c>
      <c r="AK509" s="63">
        <f>IF(AN509=12,I509,0)</f>
        <v>0</v>
      </c>
      <c r="AL509" s="63">
        <f>IF(AN509=21,I509,0)</f>
        <v>0</v>
      </c>
      <c r="AN509" s="55">
        <v>21</v>
      </c>
      <c r="AO509" s="55">
        <f>H509*1</f>
        <v>0</v>
      </c>
      <c r="AP509" s="55">
        <f>H509*(1-1)</f>
        <v>0</v>
      </c>
      <c r="AQ509" s="66" t="s">
        <v>120</v>
      </c>
      <c r="AV509" s="55">
        <f>AW509+AX509</f>
        <v>0</v>
      </c>
      <c r="AW509" s="55">
        <f>G509*AO509</f>
        <v>0</v>
      </c>
      <c r="AX509" s="55">
        <f>G509*AP509</f>
        <v>0</v>
      </c>
      <c r="AY509" s="58" t="s">
        <v>1033</v>
      </c>
      <c r="AZ509" s="58" t="s">
        <v>947</v>
      </c>
      <c r="BA509" s="34" t="s">
        <v>128</v>
      </c>
      <c r="BC509" s="55">
        <f>AW509+AX509</f>
        <v>0</v>
      </c>
      <c r="BD509" s="55">
        <f>H509/(100-BE509)*100</f>
        <v>0</v>
      </c>
      <c r="BE509" s="55">
        <v>0</v>
      </c>
      <c r="BF509" s="55">
        <f>K509</f>
        <v>0.04821</v>
      </c>
      <c r="BH509" s="63">
        <f>G509*AO509</f>
        <v>0</v>
      </c>
      <c r="BI509" s="63">
        <f>G509*AP509</f>
        <v>0</v>
      </c>
      <c r="BJ509" s="63">
        <f>G509*H509</f>
        <v>0</v>
      </c>
      <c r="BK509" s="63"/>
      <c r="BL509" s="55">
        <v>64</v>
      </c>
      <c r="BW509" s="55">
        <v>21</v>
      </c>
    </row>
    <row r="510" spans="1:12" ht="14.4">
      <c r="A510" s="59"/>
      <c r="D510" s="60" t="s">
        <v>133</v>
      </c>
      <c r="E510" s="60" t="s">
        <v>4</v>
      </c>
      <c r="G510" s="68">
        <v>3</v>
      </c>
      <c r="L510" s="69"/>
    </row>
    <row r="511" spans="1:75" ht="13.5" customHeight="1">
      <c r="A511" s="61" t="s">
        <v>1048</v>
      </c>
      <c r="B511" s="62" t="s">
        <v>116</v>
      </c>
      <c r="C511" s="62" t="s">
        <v>1049</v>
      </c>
      <c r="D511" s="224" t="s">
        <v>1050</v>
      </c>
      <c r="E511" s="225"/>
      <c r="F511" s="62" t="s">
        <v>374</v>
      </c>
      <c r="G511" s="63">
        <v>9</v>
      </c>
      <c r="H511" s="64">
        <v>0</v>
      </c>
      <c r="I511" s="63">
        <f>G511*H511</f>
        <v>0</v>
      </c>
      <c r="J511" s="63">
        <v>0.01649</v>
      </c>
      <c r="K511" s="63">
        <f>G511*J511</f>
        <v>0.14841000000000001</v>
      </c>
      <c r="L511" s="65" t="s">
        <v>785</v>
      </c>
      <c r="Z511" s="55">
        <f>IF(AQ511="5",BJ511,0)</f>
        <v>0</v>
      </c>
      <c r="AB511" s="55">
        <f>IF(AQ511="1",BH511,0)</f>
        <v>0</v>
      </c>
      <c r="AC511" s="55">
        <f>IF(AQ511="1",BI511,0)</f>
        <v>0</v>
      </c>
      <c r="AD511" s="55">
        <f>IF(AQ511="7",BH511,0)</f>
        <v>0</v>
      </c>
      <c r="AE511" s="55">
        <f>IF(AQ511="7",BI511,0)</f>
        <v>0</v>
      </c>
      <c r="AF511" s="55">
        <f>IF(AQ511="2",BH511,0)</f>
        <v>0</v>
      </c>
      <c r="AG511" s="55">
        <f>IF(AQ511="2",BI511,0)</f>
        <v>0</v>
      </c>
      <c r="AH511" s="55">
        <f>IF(AQ511="0",BJ511,0)</f>
        <v>0</v>
      </c>
      <c r="AI511" s="34" t="s">
        <v>116</v>
      </c>
      <c r="AJ511" s="63">
        <f>IF(AN511=0,I511,0)</f>
        <v>0</v>
      </c>
      <c r="AK511" s="63">
        <f>IF(AN511=12,I511,0)</f>
        <v>0</v>
      </c>
      <c r="AL511" s="63">
        <f>IF(AN511=21,I511,0)</f>
        <v>0</v>
      </c>
      <c r="AN511" s="55">
        <v>21</v>
      </c>
      <c r="AO511" s="55">
        <f>H511*1</f>
        <v>0</v>
      </c>
      <c r="AP511" s="55">
        <f>H511*(1-1)</f>
        <v>0</v>
      </c>
      <c r="AQ511" s="66" t="s">
        <v>120</v>
      </c>
      <c r="AV511" s="55">
        <f>AW511+AX511</f>
        <v>0</v>
      </c>
      <c r="AW511" s="55">
        <f>G511*AO511</f>
        <v>0</v>
      </c>
      <c r="AX511" s="55">
        <f>G511*AP511</f>
        <v>0</v>
      </c>
      <c r="AY511" s="58" t="s">
        <v>1033</v>
      </c>
      <c r="AZ511" s="58" t="s">
        <v>947</v>
      </c>
      <c r="BA511" s="34" t="s">
        <v>128</v>
      </c>
      <c r="BC511" s="55">
        <f>AW511+AX511</f>
        <v>0</v>
      </c>
      <c r="BD511" s="55">
        <f>H511/(100-BE511)*100</f>
        <v>0</v>
      </c>
      <c r="BE511" s="55">
        <v>0</v>
      </c>
      <c r="BF511" s="55">
        <f>K511</f>
        <v>0.14841000000000001</v>
      </c>
      <c r="BH511" s="63">
        <f>G511*AO511</f>
        <v>0</v>
      </c>
      <c r="BI511" s="63">
        <f>G511*AP511</f>
        <v>0</v>
      </c>
      <c r="BJ511" s="63">
        <f>G511*H511</f>
        <v>0</v>
      </c>
      <c r="BK511" s="63"/>
      <c r="BL511" s="55">
        <v>64</v>
      </c>
      <c r="BW511" s="55">
        <v>21</v>
      </c>
    </row>
    <row r="512" spans="1:12" ht="14.4">
      <c r="A512" s="59"/>
      <c r="D512" s="60" t="s">
        <v>150</v>
      </c>
      <c r="E512" s="60" t="s">
        <v>4</v>
      </c>
      <c r="G512" s="68">
        <v>9</v>
      </c>
      <c r="L512" s="69"/>
    </row>
    <row r="513" spans="1:75" ht="13.5" customHeight="1">
      <c r="A513" s="61" t="s">
        <v>1051</v>
      </c>
      <c r="B513" s="62" t="s">
        <v>116</v>
      </c>
      <c r="C513" s="62" t="s">
        <v>1052</v>
      </c>
      <c r="D513" s="224" t="s">
        <v>1053</v>
      </c>
      <c r="E513" s="225"/>
      <c r="F513" s="62" t="s">
        <v>374</v>
      </c>
      <c r="G513" s="63">
        <v>1</v>
      </c>
      <c r="H513" s="64">
        <v>0</v>
      </c>
      <c r="I513" s="63">
        <f>G513*H513</f>
        <v>0</v>
      </c>
      <c r="J513" s="63">
        <v>0.0193</v>
      </c>
      <c r="K513" s="63">
        <f>G513*J513</f>
        <v>0.0193</v>
      </c>
      <c r="L513" s="65" t="s">
        <v>785</v>
      </c>
      <c r="Z513" s="55">
        <f>IF(AQ513="5",BJ513,0)</f>
        <v>0</v>
      </c>
      <c r="AB513" s="55">
        <f>IF(AQ513="1",BH513,0)</f>
        <v>0</v>
      </c>
      <c r="AC513" s="55">
        <f>IF(AQ513="1",BI513,0)</f>
        <v>0</v>
      </c>
      <c r="AD513" s="55">
        <f>IF(AQ513="7",BH513,0)</f>
        <v>0</v>
      </c>
      <c r="AE513" s="55">
        <f>IF(AQ513="7",BI513,0)</f>
        <v>0</v>
      </c>
      <c r="AF513" s="55">
        <f>IF(AQ513="2",BH513,0)</f>
        <v>0</v>
      </c>
      <c r="AG513" s="55">
        <f>IF(AQ513="2",BI513,0)</f>
        <v>0</v>
      </c>
      <c r="AH513" s="55">
        <f>IF(AQ513="0",BJ513,0)</f>
        <v>0</v>
      </c>
      <c r="AI513" s="34" t="s">
        <v>116</v>
      </c>
      <c r="AJ513" s="63">
        <f>IF(AN513=0,I513,0)</f>
        <v>0</v>
      </c>
      <c r="AK513" s="63">
        <f>IF(AN513=12,I513,0)</f>
        <v>0</v>
      </c>
      <c r="AL513" s="63">
        <f>IF(AN513=21,I513,0)</f>
        <v>0</v>
      </c>
      <c r="AN513" s="55">
        <v>21</v>
      </c>
      <c r="AO513" s="55">
        <f>H513*1</f>
        <v>0</v>
      </c>
      <c r="AP513" s="55">
        <f>H513*(1-1)</f>
        <v>0</v>
      </c>
      <c r="AQ513" s="66" t="s">
        <v>120</v>
      </c>
      <c r="AV513" s="55">
        <f>AW513+AX513</f>
        <v>0</v>
      </c>
      <c r="AW513" s="55">
        <f>G513*AO513</f>
        <v>0</v>
      </c>
      <c r="AX513" s="55">
        <f>G513*AP513</f>
        <v>0</v>
      </c>
      <c r="AY513" s="58" t="s">
        <v>1033</v>
      </c>
      <c r="AZ513" s="58" t="s">
        <v>947</v>
      </c>
      <c r="BA513" s="34" t="s">
        <v>128</v>
      </c>
      <c r="BC513" s="55">
        <f>AW513+AX513</f>
        <v>0</v>
      </c>
      <c r="BD513" s="55">
        <f>H513/(100-BE513)*100</f>
        <v>0</v>
      </c>
      <c r="BE513" s="55">
        <v>0</v>
      </c>
      <c r="BF513" s="55">
        <f>K513</f>
        <v>0.0193</v>
      </c>
      <c r="BH513" s="63">
        <f>G513*AO513</f>
        <v>0</v>
      </c>
      <c r="BI513" s="63">
        <f>G513*AP513</f>
        <v>0</v>
      </c>
      <c r="BJ513" s="63">
        <f>G513*H513</f>
        <v>0</v>
      </c>
      <c r="BK513" s="63"/>
      <c r="BL513" s="55">
        <v>64</v>
      </c>
      <c r="BW513" s="55">
        <v>21</v>
      </c>
    </row>
    <row r="514" spans="1:12" ht="14.4">
      <c r="A514" s="59"/>
      <c r="D514" s="60" t="s">
        <v>120</v>
      </c>
      <c r="E514" s="60" t="s">
        <v>4</v>
      </c>
      <c r="G514" s="68">
        <v>1</v>
      </c>
      <c r="L514" s="69"/>
    </row>
    <row r="515" spans="1:75" ht="13.5" customHeight="1">
      <c r="A515" s="1" t="s">
        <v>1054</v>
      </c>
      <c r="B515" s="2" t="s">
        <v>116</v>
      </c>
      <c r="C515" s="2" t="s">
        <v>1055</v>
      </c>
      <c r="D515" s="147" t="s">
        <v>1056</v>
      </c>
      <c r="E515" s="148"/>
      <c r="F515" s="2" t="s">
        <v>374</v>
      </c>
      <c r="G515" s="55">
        <v>1</v>
      </c>
      <c r="H515" s="56">
        <v>0</v>
      </c>
      <c r="I515" s="55">
        <f>G515*H515</f>
        <v>0</v>
      </c>
      <c r="J515" s="55">
        <v>0.04315</v>
      </c>
      <c r="K515" s="55">
        <f>G515*J515</f>
        <v>0.04315</v>
      </c>
      <c r="L515" s="57" t="s">
        <v>785</v>
      </c>
      <c r="Z515" s="55">
        <f>IF(AQ515="5",BJ515,0)</f>
        <v>0</v>
      </c>
      <c r="AB515" s="55">
        <f>IF(AQ515="1",BH515,0)</f>
        <v>0</v>
      </c>
      <c r="AC515" s="55">
        <f>IF(AQ515="1",BI515,0)</f>
        <v>0</v>
      </c>
      <c r="AD515" s="55">
        <f>IF(AQ515="7",BH515,0)</f>
        <v>0</v>
      </c>
      <c r="AE515" s="55">
        <f>IF(AQ515="7",BI515,0)</f>
        <v>0</v>
      </c>
      <c r="AF515" s="55">
        <f>IF(AQ515="2",BH515,0)</f>
        <v>0</v>
      </c>
      <c r="AG515" s="55">
        <f>IF(AQ515="2",BI515,0)</f>
        <v>0</v>
      </c>
      <c r="AH515" s="55">
        <f>IF(AQ515="0",BJ515,0)</f>
        <v>0</v>
      </c>
      <c r="AI515" s="34" t="s">
        <v>116</v>
      </c>
      <c r="AJ515" s="55">
        <f>IF(AN515=0,I515,0)</f>
        <v>0</v>
      </c>
      <c r="AK515" s="55">
        <f>IF(AN515=12,I515,0)</f>
        <v>0</v>
      </c>
      <c r="AL515" s="55">
        <f>IF(AN515=21,I515,0)</f>
        <v>0</v>
      </c>
      <c r="AN515" s="55">
        <v>21</v>
      </c>
      <c r="AO515" s="55">
        <f>H515*0.909128226</f>
        <v>0</v>
      </c>
      <c r="AP515" s="55">
        <f>H515*(1-0.909128226)</f>
        <v>0</v>
      </c>
      <c r="AQ515" s="58" t="s">
        <v>120</v>
      </c>
      <c r="AV515" s="55">
        <f>AW515+AX515</f>
        <v>0</v>
      </c>
      <c r="AW515" s="55">
        <f>G515*AO515</f>
        <v>0</v>
      </c>
      <c r="AX515" s="55">
        <f>G515*AP515</f>
        <v>0</v>
      </c>
      <c r="AY515" s="58" t="s">
        <v>1033</v>
      </c>
      <c r="AZ515" s="58" t="s">
        <v>947</v>
      </c>
      <c r="BA515" s="34" t="s">
        <v>128</v>
      </c>
      <c r="BB515" s="67">
        <v>100003</v>
      </c>
      <c r="BC515" s="55">
        <f>AW515+AX515</f>
        <v>0</v>
      </c>
      <c r="BD515" s="55">
        <f>H515/(100-BE515)*100</f>
        <v>0</v>
      </c>
      <c r="BE515" s="55">
        <v>0</v>
      </c>
      <c r="BF515" s="55">
        <f>K515</f>
        <v>0.04315</v>
      </c>
      <c r="BH515" s="55">
        <f>G515*AO515</f>
        <v>0</v>
      </c>
      <c r="BI515" s="55">
        <f>G515*AP515</f>
        <v>0</v>
      </c>
      <c r="BJ515" s="55">
        <f>G515*H515</f>
        <v>0</v>
      </c>
      <c r="BK515" s="55"/>
      <c r="BL515" s="55">
        <v>64</v>
      </c>
      <c r="BW515" s="55">
        <v>21</v>
      </c>
    </row>
    <row r="516" spans="1:12" ht="13.5" customHeight="1">
      <c r="A516" s="59"/>
      <c r="D516" s="218" t="s">
        <v>1057</v>
      </c>
      <c r="E516" s="219"/>
      <c r="F516" s="219"/>
      <c r="G516" s="219"/>
      <c r="H516" s="220"/>
      <c r="I516" s="219"/>
      <c r="J516" s="219"/>
      <c r="K516" s="219"/>
      <c r="L516" s="221"/>
    </row>
    <row r="517" spans="1:12" ht="14.4">
      <c r="A517" s="59"/>
      <c r="D517" s="60" t="s">
        <v>120</v>
      </c>
      <c r="E517" s="60" t="s">
        <v>4</v>
      </c>
      <c r="G517" s="68">
        <v>1</v>
      </c>
      <c r="L517" s="69"/>
    </row>
    <row r="518" spans="1:75" ht="13.5" customHeight="1">
      <c r="A518" s="1" t="s">
        <v>1058</v>
      </c>
      <c r="B518" s="2" t="s">
        <v>116</v>
      </c>
      <c r="C518" s="2" t="s">
        <v>1059</v>
      </c>
      <c r="D518" s="147" t="s">
        <v>1060</v>
      </c>
      <c r="E518" s="148"/>
      <c r="F518" s="2" t="s">
        <v>374</v>
      </c>
      <c r="G518" s="55">
        <v>1</v>
      </c>
      <c r="H518" s="56">
        <v>0</v>
      </c>
      <c r="I518" s="55">
        <f>G518*H518</f>
        <v>0</v>
      </c>
      <c r="J518" s="55">
        <v>0.02556</v>
      </c>
      <c r="K518" s="55">
        <f>G518*J518</f>
        <v>0.02556</v>
      </c>
      <c r="L518" s="57" t="s">
        <v>124</v>
      </c>
      <c r="Z518" s="55">
        <f>IF(AQ518="5",BJ518,0)</f>
        <v>0</v>
      </c>
      <c r="AB518" s="55">
        <f>IF(AQ518="1",BH518,0)</f>
        <v>0</v>
      </c>
      <c r="AC518" s="55">
        <f>IF(AQ518="1",BI518,0)</f>
        <v>0</v>
      </c>
      <c r="AD518" s="55">
        <f>IF(AQ518="7",BH518,0)</f>
        <v>0</v>
      </c>
      <c r="AE518" s="55">
        <f>IF(AQ518="7",BI518,0)</f>
        <v>0</v>
      </c>
      <c r="AF518" s="55">
        <f>IF(AQ518="2",BH518,0)</f>
        <v>0</v>
      </c>
      <c r="AG518" s="55">
        <f>IF(AQ518="2",BI518,0)</f>
        <v>0</v>
      </c>
      <c r="AH518" s="55">
        <f>IF(AQ518="0",BJ518,0)</f>
        <v>0</v>
      </c>
      <c r="AI518" s="34" t="s">
        <v>116</v>
      </c>
      <c r="AJ518" s="55">
        <f>IF(AN518=0,I518,0)</f>
        <v>0</v>
      </c>
      <c r="AK518" s="55">
        <f>IF(AN518=12,I518,0)</f>
        <v>0</v>
      </c>
      <c r="AL518" s="55">
        <f>IF(AN518=21,I518,0)</f>
        <v>0</v>
      </c>
      <c r="AN518" s="55">
        <v>21</v>
      </c>
      <c r="AO518" s="55">
        <f>H518*0.764818545</f>
        <v>0</v>
      </c>
      <c r="AP518" s="55">
        <f>H518*(1-0.764818545)</f>
        <v>0</v>
      </c>
      <c r="AQ518" s="58" t="s">
        <v>120</v>
      </c>
      <c r="AV518" s="55">
        <f>AW518+AX518</f>
        <v>0</v>
      </c>
      <c r="AW518" s="55">
        <f>G518*AO518</f>
        <v>0</v>
      </c>
      <c r="AX518" s="55">
        <f>G518*AP518</f>
        <v>0</v>
      </c>
      <c r="AY518" s="58" t="s">
        <v>1033</v>
      </c>
      <c r="AZ518" s="58" t="s">
        <v>947</v>
      </c>
      <c r="BA518" s="34" t="s">
        <v>128</v>
      </c>
      <c r="BB518" s="67">
        <v>100003</v>
      </c>
      <c r="BC518" s="55">
        <f>AW518+AX518</f>
        <v>0</v>
      </c>
      <c r="BD518" s="55">
        <f>H518/(100-BE518)*100</f>
        <v>0</v>
      </c>
      <c r="BE518" s="55">
        <v>0</v>
      </c>
      <c r="BF518" s="55">
        <f>K518</f>
        <v>0.02556</v>
      </c>
      <c r="BH518" s="55">
        <f>G518*AO518</f>
        <v>0</v>
      </c>
      <c r="BI518" s="55">
        <f>G518*AP518</f>
        <v>0</v>
      </c>
      <c r="BJ518" s="55">
        <f>G518*H518</f>
        <v>0</v>
      </c>
      <c r="BK518" s="55"/>
      <c r="BL518" s="55">
        <v>64</v>
      </c>
      <c r="BW518" s="55">
        <v>21</v>
      </c>
    </row>
    <row r="519" spans="1:12" ht="13.5" customHeight="1">
      <c r="A519" s="59"/>
      <c r="D519" s="218" t="s">
        <v>1061</v>
      </c>
      <c r="E519" s="219"/>
      <c r="F519" s="219"/>
      <c r="G519" s="219"/>
      <c r="H519" s="220"/>
      <c r="I519" s="219"/>
      <c r="J519" s="219"/>
      <c r="K519" s="219"/>
      <c r="L519" s="221"/>
    </row>
    <row r="520" spans="1:12" ht="14.4">
      <c r="A520" s="59"/>
      <c r="D520" s="60" t="s">
        <v>120</v>
      </c>
      <c r="E520" s="60" t="s">
        <v>4</v>
      </c>
      <c r="G520" s="68">
        <v>1</v>
      </c>
      <c r="L520" s="69"/>
    </row>
    <row r="521" spans="1:47" ht="14.4">
      <c r="A521" s="50" t="s">
        <v>4</v>
      </c>
      <c r="B521" s="51" t="s">
        <v>116</v>
      </c>
      <c r="C521" s="51" t="s">
        <v>1062</v>
      </c>
      <c r="D521" s="222" t="s">
        <v>1063</v>
      </c>
      <c r="E521" s="223"/>
      <c r="F521" s="52" t="s">
        <v>79</v>
      </c>
      <c r="G521" s="52" t="s">
        <v>79</v>
      </c>
      <c r="H521" s="53" t="s">
        <v>79</v>
      </c>
      <c r="I521" s="27">
        <f>SUM(I522:I536)</f>
        <v>0</v>
      </c>
      <c r="J521" s="34" t="s">
        <v>4</v>
      </c>
      <c r="K521" s="27">
        <f>SUM(K522:K536)</f>
        <v>0.035131</v>
      </c>
      <c r="L521" s="54" t="s">
        <v>4</v>
      </c>
      <c r="AI521" s="34" t="s">
        <v>116</v>
      </c>
      <c r="AS521" s="27">
        <f>SUM(AJ522:AJ536)</f>
        <v>0</v>
      </c>
      <c r="AT521" s="27">
        <f>SUM(AK522:AK536)</f>
        <v>0</v>
      </c>
      <c r="AU521" s="27">
        <f>SUM(AL522:AL536)</f>
        <v>0</v>
      </c>
    </row>
    <row r="522" spans="1:75" ht="13.5" customHeight="1">
      <c r="A522" s="1" t="s">
        <v>1064</v>
      </c>
      <c r="B522" s="2" t="s">
        <v>116</v>
      </c>
      <c r="C522" s="2" t="s">
        <v>1065</v>
      </c>
      <c r="D522" s="147" t="s">
        <v>1066</v>
      </c>
      <c r="E522" s="148"/>
      <c r="F522" s="2" t="s">
        <v>729</v>
      </c>
      <c r="G522" s="55">
        <v>17.63</v>
      </c>
      <c r="H522" s="56">
        <v>0</v>
      </c>
      <c r="I522" s="55">
        <f>G522*H522</f>
        <v>0</v>
      </c>
      <c r="J522" s="55">
        <v>0.0015</v>
      </c>
      <c r="K522" s="55">
        <f>G522*J522</f>
        <v>0.026445</v>
      </c>
      <c r="L522" s="57" t="s">
        <v>785</v>
      </c>
      <c r="Z522" s="55">
        <f>IF(AQ522="5",BJ522,0)</f>
        <v>0</v>
      </c>
      <c r="AB522" s="55">
        <f>IF(AQ522="1",BH522,0)</f>
        <v>0</v>
      </c>
      <c r="AC522" s="55">
        <f>IF(AQ522="1",BI522,0)</f>
        <v>0</v>
      </c>
      <c r="AD522" s="55">
        <f>IF(AQ522="7",BH522,0)</f>
        <v>0</v>
      </c>
      <c r="AE522" s="55">
        <f>IF(AQ522="7",BI522,0)</f>
        <v>0</v>
      </c>
      <c r="AF522" s="55">
        <f>IF(AQ522="2",BH522,0)</f>
        <v>0</v>
      </c>
      <c r="AG522" s="55">
        <f>IF(AQ522="2",BI522,0)</f>
        <v>0</v>
      </c>
      <c r="AH522" s="55">
        <f>IF(AQ522="0",BJ522,0)</f>
        <v>0</v>
      </c>
      <c r="AI522" s="34" t="s">
        <v>116</v>
      </c>
      <c r="AJ522" s="55">
        <f>IF(AN522=0,I522,0)</f>
        <v>0</v>
      </c>
      <c r="AK522" s="55">
        <f>IF(AN522=12,I522,0)</f>
        <v>0</v>
      </c>
      <c r="AL522" s="55">
        <f>IF(AN522=21,I522,0)</f>
        <v>0</v>
      </c>
      <c r="AN522" s="55">
        <v>21</v>
      </c>
      <c r="AO522" s="55">
        <f>H522*0.658100363</f>
        <v>0</v>
      </c>
      <c r="AP522" s="55">
        <f>H522*(1-0.658100363)</f>
        <v>0</v>
      </c>
      <c r="AQ522" s="58" t="s">
        <v>125</v>
      </c>
      <c r="AV522" s="55">
        <f>AW522+AX522</f>
        <v>0</v>
      </c>
      <c r="AW522" s="55">
        <f>G522*AO522</f>
        <v>0</v>
      </c>
      <c r="AX522" s="55">
        <f>G522*AP522</f>
        <v>0</v>
      </c>
      <c r="AY522" s="58" t="s">
        <v>1067</v>
      </c>
      <c r="AZ522" s="58" t="s">
        <v>1068</v>
      </c>
      <c r="BA522" s="34" t="s">
        <v>128</v>
      </c>
      <c r="BB522" s="67">
        <v>100033</v>
      </c>
      <c r="BC522" s="55">
        <f>AW522+AX522</f>
        <v>0</v>
      </c>
      <c r="BD522" s="55">
        <f>H522/(100-BE522)*100</f>
        <v>0</v>
      </c>
      <c r="BE522" s="55">
        <v>0</v>
      </c>
      <c r="BF522" s="55">
        <f>K522</f>
        <v>0.026445</v>
      </c>
      <c r="BH522" s="55">
        <f>G522*AO522</f>
        <v>0</v>
      </c>
      <c r="BI522" s="55">
        <f>G522*AP522</f>
        <v>0</v>
      </c>
      <c r="BJ522" s="55">
        <f>G522*H522</f>
        <v>0</v>
      </c>
      <c r="BK522" s="55"/>
      <c r="BL522" s="55">
        <v>711</v>
      </c>
      <c r="BW522" s="55">
        <v>21</v>
      </c>
    </row>
    <row r="523" spans="1:12" ht="13.5" customHeight="1">
      <c r="A523" s="59"/>
      <c r="D523" s="218" t="s">
        <v>3781</v>
      </c>
      <c r="E523" s="219"/>
      <c r="F523" s="219"/>
      <c r="G523" s="219"/>
      <c r="H523" s="220"/>
      <c r="I523" s="219"/>
      <c r="J523" s="219"/>
      <c r="K523" s="219"/>
      <c r="L523" s="221"/>
    </row>
    <row r="524" spans="1:12" ht="14.4">
      <c r="A524" s="59"/>
      <c r="D524" s="60" t="s">
        <v>1069</v>
      </c>
      <c r="E524" s="60" t="s">
        <v>1070</v>
      </c>
      <c r="G524" s="68">
        <v>2.56</v>
      </c>
      <c r="L524" s="69"/>
    </row>
    <row r="525" spans="1:12" ht="14.4">
      <c r="A525" s="59"/>
      <c r="D525" s="60" t="s">
        <v>1071</v>
      </c>
      <c r="E525" s="60" t="s">
        <v>1072</v>
      </c>
      <c r="G525" s="68">
        <v>2.67</v>
      </c>
      <c r="L525" s="69"/>
    </row>
    <row r="526" spans="1:12" ht="14.4">
      <c r="A526" s="59"/>
      <c r="D526" s="60" t="s">
        <v>1073</v>
      </c>
      <c r="E526" s="60" t="s">
        <v>1074</v>
      </c>
      <c r="G526" s="68">
        <v>10.2</v>
      </c>
      <c r="L526" s="69"/>
    </row>
    <row r="527" spans="1:12" ht="14.4">
      <c r="A527" s="59"/>
      <c r="D527" s="60" t="s">
        <v>1075</v>
      </c>
      <c r="E527" s="60" t="s">
        <v>1076</v>
      </c>
      <c r="G527" s="68">
        <v>2.2</v>
      </c>
      <c r="L527" s="69"/>
    </row>
    <row r="528" spans="1:75" ht="13.5" customHeight="1">
      <c r="A528" s="1" t="s">
        <v>1077</v>
      </c>
      <c r="B528" s="2" t="s">
        <v>116</v>
      </c>
      <c r="C528" s="2" t="s">
        <v>1065</v>
      </c>
      <c r="D528" s="147" t="s">
        <v>1078</v>
      </c>
      <c r="E528" s="148"/>
      <c r="F528" s="2" t="s">
        <v>729</v>
      </c>
      <c r="G528" s="55">
        <v>5.4</v>
      </c>
      <c r="H528" s="56">
        <v>0</v>
      </c>
      <c r="I528" s="55">
        <f>G528*H528</f>
        <v>0</v>
      </c>
      <c r="J528" s="55">
        <v>0.0015</v>
      </c>
      <c r="K528" s="55">
        <f>G528*J528</f>
        <v>0.008100000000000001</v>
      </c>
      <c r="L528" s="57" t="s">
        <v>785</v>
      </c>
      <c r="Z528" s="55">
        <f>IF(AQ528="5",BJ528,0)</f>
        <v>0</v>
      </c>
      <c r="AB528" s="55">
        <f>IF(AQ528="1",BH528,0)</f>
        <v>0</v>
      </c>
      <c r="AC528" s="55">
        <f>IF(AQ528="1",BI528,0)</f>
        <v>0</v>
      </c>
      <c r="AD528" s="55">
        <f>IF(AQ528="7",BH528,0)</f>
        <v>0</v>
      </c>
      <c r="AE528" s="55">
        <f>IF(AQ528="7",BI528,0)</f>
        <v>0</v>
      </c>
      <c r="AF528" s="55">
        <f>IF(AQ528="2",BH528,0)</f>
        <v>0</v>
      </c>
      <c r="AG528" s="55">
        <f>IF(AQ528="2",BI528,0)</f>
        <v>0</v>
      </c>
      <c r="AH528" s="55">
        <f>IF(AQ528="0",BJ528,0)</f>
        <v>0</v>
      </c>
      <c r="AI528" s="34" t="s">
        <v>116</v>
      </c>
      <c r="AJ528" s="55">
        <f>IF(AN528=0,I528,0)</f>
        <v>0</v>
      </c>
      <c r="AK528" s="55">
        <f>IF(AN528=12,I528,0)</f>
        <v>0</v>
      </c>
      <c r="AL528" s="55">
        <f>IF(AN528=21,I528,0)</f>
        <v>0</v>
      </c>
      <c r="AN528" s="55">
        <v>21</v>
      </c>
      <c r="AO528" s="55">
        <f>H528*0.658103666</f>
        <v>0</v>
      </c>
      <c r="AP528" s="55">
        <f>H528*(1-0.658103666)</f>
        <v>0</v>
      </c>
      <c r="AQ528" s="58" t="s">
        <v>125</v>
      </c>
      <c r="AV528" s="55">
        <f>AW528+AX528</f>
        <v>0</v>
      </c>
      <c r="AW528" s="55">
        <f>G528*AO528</f>
        <v>0</v>
      </c>
      <c r="AX528" s="55">
        <f>G528*AP528</f>
        <v>0</v>
      </c>
      <c r="AY528" s="58" t="s">
        <v>1067</v>
      </c>
      <c r="AZ528" s="58" t="s">
        <v>1068</v>
      </c>
      <c r="BA528" s="34" t="s">
        <v>128</v>
      </c>
      <c r="BB528" s="67">
        <v>100033</v>
      </c>
      <c r="BC528" s="55">
        <f>AW528+AX528</f>
        <v>0</v>
      </c>
      <c r="BD528" s="55">
        <f>H528/(100-BE528)*100</f>
        <v>0</v>
      </c>
      <c r="BE528" s="55">
        <v>0</v>
      </c>
      <c r="BF528" s="55">
        <f>K528</f>
        <v>0.008100000000000001</v>
      </c>
      <c r="BH528" s="55">
        <f>G528*AO528</f>
        <v>0</v>
      </c>
      <c r="BI528" s="55">
        <f>G528*AP528</f>
        <v>0</v>
      </c>
      <c r="BJ528" s="55">
        <f>G528*H528</f>
        <v>0</v>
      </c>
      <c r="BK528" s="55"/>
      <c r="BL528" s="55">
        <v>711</v>
      </c>
      <c r="BW528" s="55">
        <v>21</v>
      </c>
    </row>
    <row r="529" spans="1:12" ht="13.5" customHeight="1">
      <c r="A529" s="59"/>
      <c r="D529" s="218" t="s">
        <v>3782</v>
      </c>
      <c r="E529" s="219"/>
      <c r="F529" s="219"/>
      <c r="G529" s="219"/>
      <c r="H529" s="220"/>
      <c r="I529" s="219"/>
      <c r="J529" s="219"/>
      <c r="K529" s="219"/>
      <c r="L529" s="221"/>
    </row>
    <row r="530" spans="1:12" ht="14.4">
      <c r="A530" s="59"/>
      <c r="D530" s="60" t="s">
        <v>1079</v>
      </c>
      <c r="E530" s="60" t="s">
        <v>4</v>
      </c>
      <c r="G530" s="68">
        <v>5.4</v>
      </c>
      <c r="L530" s="69"/>
    </row>
    <row r="531" spans="1:75" ht="13.5" customHeight="1">
      <c r="A531" s="1" t="s">
        <v>1080</v>
      </c>
      <c r="B531" s="2" t="s">
        <v>116</v>
      </c>
      <c r="C531" s="2" t="s">
        <v>1081</v>
      </c>
      <c r="D531" s="147" t="s">
        <v>1082</v>
      </c>
      <c r="E531" s="148"/>
      <c r="F531" s="2" t="s">
        <v>174</v>
      </c>
      <c r="G531" s="55">
        <v>29.3</v>
      </c>
      <c r="H531" s="56">
        <v>0</v>
      </c>
      <c r="I531" s="55">
        <f>G531*H531</f>
        <v>0</v>
      </c>
      <c r="J531" s="55">
        <v>2E-05</v>
      </c>
      <c r="K531" s="55">
        <f>G531*J531</f>
        <v>0.000586</v>
      </c>
      <c r="L531" s="57" t="s">
        <v>785</v>
      </c>
      <c r="Z531" s="55">
        <f>IF(AQ531="5",BJ531,0)</f>
        <v>0</v>
      </c>
      <c r="AB531" s="55">
        <f>IF(AQ531="1",BH531,0)</f>
        <v>0</v>
      </c>
      <c r="AC531" s="55">
        <f>IF(AQ531="1",BI531,0)</f>
        <v>0</v>
      </c>
      <c r="AD531" s="55">
        <f>IF(AQ531="7",BH531,0)</f>
        <v>0</v>
      </c>
      <c r="AE531" s="55">
        <f>IF(AQ531="7",BI531,0)</f>
        <v>0</v>
      </c>
      <c r="AF531" s="55">
        <f>IF(AQ531="2",BH531,0)</f>
        <v>0</v>
      </c>
      <c r="AG531" s="55">
        <f>IF(AQ531="2",BI531,0)</f>
        <v>0</v>
      </c>
      <c r="AH531" s="55">
        <f>IF(AQ531="0",BJ531,0)</f>
        <v>0</v>
      </c>
      <c r="AI531" s="34" t="s">
        <v>116</v>
      </c>
      <c r="AJ531" s="55">
        <f>IF(AN531=0,I531,0)</f>
        <v>0</v>
      </c>
      <c r="AK531" s="55">
        <f>IF(AN531=12,I531,0)</f>
        <v>0</v>
      </c>
      <c r="AL531" s="55">
        <f>IF(AN531=21,I531,0)</f>
        <v>0</v>
      </c>
      <c r="AN531" s="55">
        <v>21</v>
      </c>
      <c r="AO531" s="55">
        <f>H531*0.693217822</f>
        <v>0</v>
      </c>
      <c r="AP531" s="55">
        <f>H531*(1-0.693217822)</f>
        <v>0</v>
      </c>
      <c r="AQ531" s="58" t="s">
        <v>125</v>
      </c>
      <c r="AV531" s="55">
        <f>AW531+AX531</f>
        <v>0</v>
      </c>
      <c r="AW531" s="55">
        <f>G531*AO531</f>
        <v>0</v>
      </c>
      <c r="AX531" s="55">
        <f>G531*AP531</f>
        <v>0</v>
      </c>
      <c r="AY531" s="58" t="s">
        <v>1067</v>
      </c>
      <c r="AZ531" s="58" t="s">
        <v>1068</v>
      </c>
      <c r="BA531" s="34" t="s">
        <v>128</v>
      </c>
      <c r="BB531" s="67">
        <v>100033</v>
      </c>
      <c r="BC531" s="55">
        <f>AW531+AX531</f>
        <v>0</v>
      </c>
      <c r="BD531" s="55">
        <f>H531/(100-BE531)*100</f>
        <v>0</v>
      </c>
      <c r="BE531" s="55">
        <v>0</v>
      </c>
      <c r="BF531" s="55">
        <f>K531</f>
        <v>0.000586</v>
      </c>
      <c r="BH531" s="55">
        <f>G531*AO531</f>
        <v>0</v>
      </c>
      <c r="BI531" s="55">
        <f>G531*AP531</f>
        <v>0</v>
      </c>
      <c r="BJ531" s="55">
        <f>G531*H531</f>
        <v>0</v>
      </c>
      <c r="BK531" s="55"/>
      <c r="BL531" s="55">
        <v>711</v>
      </c>
      <c r="BW531" s="55">
        <v>21</v>
      </c>
    </row>
    <row r="532" spans="1:12" ht="13.5" customHeight="1">
      <c r="A532" s="59"/>
      <c r="D532" s="218" t="s">
        <v>1083</v>
      </c>
      <c r="E532" s="219"/>
      <c r="F532" s="219"/>
      <c r="G532" s="219"/>
      <c r="H532" s="220"/>
      <c r="I532" s="219"/>
      <c r="J532" s="219"/>
      <c r="K532" s="219"/>
      <c r="L532" s="221"/>
    </row>
    <row r="533" spans="1:12" ht="14.4">
      <c r="A533" s="59"/>
      <c r="D533" s="60" t="s">
        <v>896</v>
      </c>
      <c r="E533" s="60" t="s">
        <v>1084</v>
      </c>
      <c r="G533" s="68">
        <v>10.3</v>
      </c>
      <c r="L533" s="69"/>
    </row>
    <row r="534" spans="1:12" ht="14.4">
      <c r="A534" s="59"/>
      <c r="D534" s="60" t="s">
        <v>1085</v>
      </c>
      <c r="E534" s="60" t="s">
        <v>1074</v>
      </c>
      <c r="G534" s="68">
        <v>13.2</v>
      </c>
      <c r="L534" s="69"/>
    </row>
    <row r="535" spans="1:12" ht="14.4">
      <c r="A535" s="59"/>
      <c r="D535" s="60" t="s">
        <v>1086</v>
      </c>
      <c r="E535" s="60" t="s">
        <v>1076</v>
      </c>
      <c r="G535" s="68">
        <v>5.8</v>
      </c>
      <c r="L535" s="69"/>
    </row>
    <row r="536" spans="1:75" ht="13.5" customHeight="1">
      <c r="A536" s="1" t="s">
        <v>1087</v>
      </c>
      <c r="B536" s="2" t="s">
        <v>116</v>
      </c>
      <c r="C536" s="2" t="s">
        <v>1088</v>
      </c>
      <c r="D536" s="147" t="s">
        <v>1089</v>
      </c>
      <c r="E536" s="148"/>
      <c r="F536" s="2" t="s">
        <v>939</v>
      </c>
      <c r="G536" s="55">
        <v>0.04</v>
      </c>
      <c r="H536" s="56">
        <v>0</v>
      </c>
      <c r="I536" s="55">
        <f>G536*H536</f>
        <v>0</v>
      </c>
      <c r="J536" s="55">
        <v>0</v>
      </c>
      <c r="K536" s="55">
        <f>G536*J536</f>
        <v>0</v>
      </c>
      <c r="L536" s="57" t="s">
        <v>785</v>
      </c>
      <c r="Z536" s="55">
        <f>IF(AQ536="5",BJ536,0)</f>
        <v>0</v>
      </c>
      <c r="AB536" s="55">
        <f>IF(AQ536="1",BH536,0)</f>
        <v>0</v>
      </c>
      <c r="AC536" s="55">
        <f>IF(AQ536="1",BI536,0)</f>
        <v>0</v>
      </c>
      <c r="AD536" s="55">
        <f>IF(AQ536="7",BH536,0)</f>
        <v>0</v>
      </c>
      <c r="AE536" s="55">
        <f>IF(AQ536="7",BI536,0)</f>
        <v>0</v>
      </c>
      <c r="AF536" s="55">
        <f>IF(AQ536="2",BH536,0)</f>
        <v>0</v>
      </c>
      <c r="AG536" s="55">
        <f>IF(AQ536="2",BI536,0)</f>
        <v>0</v>
      </c>
      <c r="AH536" s="55">
        <f>IF(AQ536="0",BJ536,0)</f>
        <v>0</v>
      </c>
      <c r="AI536" s="34" t="s">
        <v>116</v>
      </c>
      <c r="AJ536" s="55">
        <f>IF(AN536=0,I536,0)</f>
        <v>0</v>
      </c>
      <c r="AK536" s="55">
        <f>IF(AN536=12,I536,0)</f>
        <v>0</v>
      </c>
      <c r="AL536" s="55">
        <f>IF(AN536=21,I536,0)</f>
        <v>0</v>
      </c>
      <c r="AN536" s="55">
        <v>21</v>
      </c>
      <c r="AO536" s="55">
        <f>H536*0</f>
        <v>0</v>
      </c>
      <c r="AP536" s="55">
        <f>H536*(1-0)</f>
        <v>0</v>
      </c>
      <c r="AQ536" s="58" t="s">
        <v>139</v>
      </c>
      <c r="AV536" s="55">
        <f>AW536+AX536</f>
        <v>0</v>
      </c>
      <c r="AW536" s="55">
        <f>G536*AO536</f>
        <v>0</v>
      </c>
      <c r="AX536" s="55">
        <f>G536*AP536</f>
        <v>0</v>
      </c>
      <c r="AY536" s="58" t="s">
        <v>1067</v>
      </c>
      <c r="AZ536" s="58" t="s">
        <v>1068</v>
      </c>
      <c r="BA536" s="34" t="s">
        <v>128</v>
      </c>
      <c r="BC536" s="55">
        <f>AW536+AX536</f>
        <v>0</v>
      </c>
      <c r="BD536" s="55">
        <f>H536/(100-BE536)*100</f>
        <v>0</v>
      </c>
      <c r="BE536" s="55">
        <v>0</v>
      </c>
      <c r="BF536" s="55">
        <f>K536</f>
        <v>0</v>
      </c>
      <c r="BH536" s="55">
        <f>G536*AO536</f>
        <v>0</v>
      </c>
      <c r="BI536" s="55">
        <f>G536*AP536</f>
        <v>0</v>
      </c>
      <c r="BJ536" s="55">
        <f>G536*H536</f>
        <v>0</v>
      </c>
      <c r="BK536" s="55"/>
      <c r="BL536" s="55">
        <v>711</v>
      </c>
      <c r="BW536" s="55">
        <v>21</v>
      </c>
    </row>
    <row r="537" spans="1:12" ht="14.4">
      <c r="A537" s="59"/>
      <c r="D537" s="60" t="s">
        <v>1090</v>
      </c>
      <c r="E537" s="60" t="s">
        <v>4</v>
      </c>
      <c r="G537" s="68">
        <v>0.04</v>
      </c>
      <c r="L537" s="69"/>
    </row>
    <row r="538" spans="1:47" ht="14.4">
      <c r="A538" s="50" t="s">
        <v>4</v>
      </c>
      <c r="B538" s="51" t="s">
        <v>116</v>
      </c>
      <c r="C538" s="51" t="s">
        <v>1091</v>
      </c>
      <c r="D538" s="222" t="s">
        <v>1092</v>
      </c>
      <c r="E538" s="223"/>
      <c r="F538" s="52" t="s">
        <v>79</v>
      </c>
      <c r="G538" s="52" t="s">
        <v>79</v>
      </c>
      <c r="H538" s="53" t="s">
        <v>79</v>
      </c>
      <c r="I538" s="27">
        <f>SUM(I539:I669)</f>
        <v>0</v>
      </c>
      <c r="J538" s="34" t="s">
        <v>4</v>
      </c>
      <c r="K538" s="27">
        <f>SUM(K539:K669)</f>
        <v>4.640213000000001</v>
      </c>
      <c r="L538" s="54" t="s">
        <v>4</v>
      </c>
      <c r="AI538" s="34" t="s">
        <v>116</v>
      </c>
      <c r="AS538" s="27">
        <f>SUM(AJ539:AJ669)</f>
        <v>0</v>
      </c>
      <c r="AT538" s="27">
        <f>SUM(AK539:AK669)</f>
        <v>0</v>
      </c>
      <c r="AU538" s="27">
        <f>SUM(AL539:AL669)</f>
        <v>0</v>
      </c>
    </row>
    <row r="539" spans="1:75" ht="13.5" customHeight="1">
      <c r="A539" s="1" t="s">
        <v>1093</v>
      </c>
      <c r="B539" s="2" t="s">
        <v>116</v>
      </c>
      <c r="C539" s="2" t="s">
        <v>1094</v>
      </c>
      <c r="D539" s="147" t="s">
        <v>1095</v>
      </c>
      <c r="E539" s="148"/>
      <c r="F539" s="2" t="s">
        <v>729</v>
      </c>
      <c r="G539" s="55">
        <v>367.7</v>
      </c>
      <c r="H539" s="56">
        <v>0</v>
      </c>
      <c r="I539" s="55">
        <f>G539*H539</f>
        <v>0</v>
      </c>
      <c r="J539" s="55">
        <v>0.0022</v>
      </c>
      <c r="K539" s="55">
        <f>G539*J539</f>
        <v>0.80894</v>
      </c>
      <c r="L539" s="57" t="s">
        <v>124</v>
      </c>
      <c r="Z539" s="55">
        <f>IF(AQ539="5",BJ539,0)</f>
        <v>0</v>
      </c>
      <c r="AB539" s="55">
        <f>IF(AQ539="1",BH539,0)</f>
        <v>0</v>
      </c>
      <c r="AC539" s="55">
        <f>IF(AQ539="1",BI539,0)</f>
        <v>0</v>
      </c>
      <c r="AD539" s="55">
        <f>IF(AQ539="7",BH539,0)</f>
        <v>0</v>
      </c>
      <c r="AE539" s="55">
        <f>IF(AQ539="7",BI539,0)</f>
        <v>0</v>
      </c>
      <c r="AF539" s="55">
        <f>IF(AQ539="2",BH539,0)</f>
        <v>0</v>
      </c>
      <c r="AG539" s="55">
        <f>IF(AQ539="2",BI539,0)</f>
        <v>0</v>
      </c>
      <c r="AH539" s="55">
        <f>IF(AQ539="0",BJ539,0)</f>
        <v>0</v>
      </c>
      <c r="AI539" s="34" t="s">
        <v>116</v>
      </c>
      <c r="AJ539" s="55">
        <f>IF(AN539=0,I539,0)</f>
        <v>0</v>
      </c>
      <c r="AK539" s="55">
        <f>IF(AN539=12,I539,0)</f>
        <v>0</v>
      </c>
      <c r="AL539" s="55">
        <f>IF(AN539=21,I539,0)</f>
        <v>0</v>
      </c>
      <c r="AN539" s="55">
        <v>21</v>
      </c>
      <c r="AO539" s="55">
        <f>H539*0</f>
        <v>0</v>
      </c>
      <c r="AP539" s="55">
        <f>H539*(1-0)</f>
        <v>0</v>
      </c>
      <c r="AQ539" s="58" t="s">
        <v>125</v>
      </c>
      <c r="AV539" s="55">
        <f>AW539+AX539</f>
        <v>0</v>
      </c>
      <c r="AW539" s="55">
        <f>G539*AO539</f>
        <v>0</v>
      </c>
      <c r="AX539" s="55">
        <f>G539*AP539</f>
        <v>0</v>
      </c>
      <c r="AY539" s="58" t="s">
        <v>1096</v>
      </c>
      <c r="AZ539" s="58" t="s">
        <v>1068</v>
      </c>
      <c r="BA539" s="34" t="s">
        <v>128</v>
      </c>
      <c r="BB539" s="67">
        <v>100005</v>
      </c>
      <c r="BC539" s="55">
        <f>AW539+AX539</f>
        <v>0</v>
      </c>
      <c r="BD539" s="55">
        <f>H539/(100-BE539)*100</f>
        <v>0</v>
      </c>
      <c r="BE539" s="55">
        <v>0</v>
      </c>
      <c r="BF539" s="55">
        <f>K539</f>
        <v>0.80894</v>
      </c>
      <c r="BH539" s="55">
        <f>G539*AO539</f>
        <v>0</v>
      </c>
      <c r="BI539" s="55">
        <f>G539*AP539</f>
        <v>0</v>
      </c>
      <c r="BJ539" s="55">
        <f>G539*H539</f>
        <v>0</v>
      </c>
      <c r="BK539" s="55"/>
      <c r="BL539" s="55">
        <v>713</v>
      </c>
      <c r="BW539" s="55">
        <v>21</v>
      </c>
    </row>
    <row r="540" spans="1:12" ht="13.5" customHeight="1">
      <c r="A540" s="59"/>
      <c r="D540" s="218" t="s">
        <v>1097</v>
      </c>
      <c r="E540" s="219"/>
      <c r="F540" s="219"/>
      <c r="G540" s="219"/>
      <c r="H540" s="220"/>
      <c r="I540" s="219"/>
      <c r="J540" s="219"/>
      <c r="K540" s="219"/>
      <c r="L540" s="221"/>
    </row>
    <row r="541" spans="1:12" ht="14.4">
      <c r="A541" s="59"/>
      <c r="D541" s="60" t="s">
        <v>1098</v>
      </c>
      <c r="E541" s="60" t="s">
        <v>4</v>
      </c>
      <c r="G541" s="68">
        <v>367.7</v>
      </c>
      <c r="L541" s="69"/>
    </row>
    <row r="542" spans="1:75" ht="13.5" customHeight="1">
      <c r="A542" s="1" t="s">
        <v>1099</v>
      </c>
      <c r="B542" s="2" t="s">
        <v>116</v>
      </c>
      <c r="C542" s="2" t="s">
        <v>1100</v>
      </c>
      <c r="D542" s="147" t="s">
        <v>1101</v>
      </c>
      <c r="E542" s="148"/>
      <c r="F542" s="2" t="s">
        <v>729</v>
      </c>
      <c r="G542" s="55">
        <v>316.12</v>
      </c>
      <c r="H542" s="56">
        <v>0</v>
      </c>
      <c r="I542" s="55">
        <f>G542*H542</f>
        <v>0</v>
      </c>
      <c r="J542" s="55">
        <v>0</v>
      </c>
      <c r="K542" s="55">
        <f>G542*J542</f>
        <v>0</v>
      </c>
      <c r="L542" s="57" t="s">
        <v>785</v>
      </c>
      <c r="Z542" s="55">
        <f>IF(AQ542="5",BJ542,0)</f>
        <v>0</v>
      </c>
      <c r="AB542" s="55">
        <f>IF(AQ542="1",BH542,0)</f>
        <v>0</v>
      </c>
      <c r="AC542" s="55">
        <f>IF(AQ542="1",BI542,0)</f>
        <v>0</v>
      </c>
      <c r="AD542" s="55">
        <f>IF(AQ542="7",BH542,0)</f>
        <v>0</v>
      </c>
      <c r="AE542" s="55">
        <f>IF(AQ542="7",BI542,0)</f>
        <v>0</v>
      </c>
      <c r="AF542" s="55">
        <f>IF(AQ542="2",BH542,0)</f>
        <v>0</v>
      </c>
      <c r="AG542" s="55">
        <f>IF(AQ542="2",BI542,0)</f>
        <v>0</v>
      </c>
      <c r="AH542" s="55">
        <f>IF(AQ542="0",BJ542,0)</f>
        <v>0</v>
      </c>
      <c r="AI542" s="34" t="s">
        <v>116</v>
      </c>
      <c r="AJ542" s="55">
        <f>IF(AN542=0,I542,0)</f>
        <v>0</v>
      </c>
      <c r="AK542" s="55">
        <f>IF(AN542=12,I542,0)</f>
        <v>0</v>
      </c>
      <c r="AL542" s="55">
        <f>IF(AN542=21,I542,0)</f>
        <v>0</v>
      </c>
      <c r="AN542" s="55">
        <v>21</v>
      </c>
      <c r="AO542" s="55">
        <f>H542*0</f>
        <v>0</v>
      </c>
      <c r="AP542" s="55">
        <f>H542*(1-0)</f>
        <v>0</v>
      </c>
      <c r="AQ542" s="58" t="s">
        <v>125</v>
      </c>
      <c r="AV542" s="55">
        <f>AW542+AX542</f>
        <v>0</v>
      </c>
      <c r="AW542" s="55">
        <f>G542*AO542</f>
        <v>0</v>
      </c>
      <c r="AX542" s="55">
        <f>G542*AP542</f>
        <v>0</v>
      </c>
      <c r="AY542" s="58" t="s">
        <v>1096</v>
      </c>
      <c r="AZ542" s="58" t="s">
        <v>1068</v>
      </c>
      <c r="BA542" s="34" t="s">
        <v>128</v>
      </c>
      <c r="BB542" s="67">
        <v>100005</v>
      </c>
      <c r="BC542" s="55">
        <f>AW542+AX542</f>
        <v>0</v>
      </c>
      <c r="BD542" s="55">
        <f>H542/(100-BE542)*100</f>
        <v>0</v>
      </c>
      <c r="BE542" s="55">
        <v>0</v>
      </c>
      <c r="BF542" s="55">
        <f>K542</f>
        <v>0</v>
      </c>
      <c r="BH542" s="55">
        <f>G542*AO542</f>
        <v>0</v>
      </c>
      <c r="BI542" s="55">
        <f>G542*AP542</f>
        <v>0</v>
      </c>
      <c r="BJ542" s="55">
        <f>G542*H542</f>
        <v>0</v>
      </c>
      <c r="BK542" s="55"/>
      <c r="BL542" s="55">
        <v>713</v>
      </c>
      <c r="BW542" s="55">
        <v>21</v>
      </c>
    </row>
    <row r="543" spans="1:12" ht="13.5" customHeight="1">
      <c r="A543" s="59"/>
      <c r="D543" s="218" t="s">
        <v>1102</v>
      </c>
      <c r="E543" s="219"/>
      <c r="F543" s="219"/>
      <c r="G543" s="219"/>
      <c r="H543" s="220"/>
      <c r="I543" s="219"/>
      <c r="J543" s="219"/>
      <c r="K543" s="219"/>
      <c r="L543" s="221"/>
    </row>
    <row r="544" spans="1:12" ht="14.4">
      <c r="A544" s="59"/>
      <c r="D544" s="60" t="s">
        <v>1103</v>
      </c>
      <c r="E544" s="60" t="s">
        <v>1104</v>
      </c>
      <c r="G544" s="68">
        <v>7.42</v>
      </c>
      <c r="L544" s="69"/>
    </row>
    <row r="545" spans="1:12" ht="14.4">
      <c r="A545" s="59"/>
      <c r="D545" s="60" t="s">
        <v>999</v>
      </c>
      <c r="E545" s="60" t="s">
        <v>1105</v>
      </c>
      <c r="G545" s="68">
        <v>52.9</v>
      </c>
      <c r="L545" s="69"/>
    </row>
    <row r="546" spans="1:12" ht="14.4">
      <c r="A546" s="59"/>
      <c r="D546" s="60" t="s">
        <v>1003</v>
      </c>
      <c r="E546" s="60" t="s">
        <v>1106</v>
      </c>
      <c r="G546" s="68">
        <v>255.8</v>
      </c>
      <c r="L546" s="69"/>
    </row>
    <row r="547" spans="1:75" ht="13.5" customHeight="1">
      <c r="A547" s="61" t="s">
        <v>1107</v>
      </c>
      <c r="B547" s="62" t="s">
        <v>116</v>
      </c>
      <c r="C547" s="62" t="s">
        <v>1108</v>
      </c>
      <c r="D547" s="224" t="s">
        <v>1109</v>
      </c>
      <c r="E547" s="225"/>
      <c r="F547" s="62" t="s">
        <v>729</v>
      </c>
      <c r="G547" s="63">
        <v>268.59</v>
      </c>
      <c r="H547" s="64">
        <v>0</v>
      </c>
      <c r="I547" s="63">
        <f>G547*H547</f>
        <v>0</v>
      </c>
      <c r="J547" s="63">
        <v>0.0036</v>
      </c>
      <c r="K547" s="63">
        <f>G547*J547</f>
        <v>0.9669239999999999</v>
      </c>
      <c r="L547" s="65" t="s">
        <v>1110</v>
      </c>
      <c r="Z547" s="55">
        <f>IF(AQ547="5",BJ547,0)</f>
        <v>0</v>
      </c>
      <c r="AB547" s="55">
        <f>IF(AQ547="1",BH547,0)</f>
        <v>0</v>
      </c>
      <c r="AC547" s="55">
        <f>IF(AQ547="1",BI547,0)</f>
        <v>0</v>
      </c>
      <c r="AD547" s="55">
        <f>IF(AQ547="7",BH547,0)</f>
        <v>0</v>
      </c>
      <c r="AE547" s="55">
        <f>IF(AQ547="7",BI547,0)</f>
        <v>0</v>
      </c>
      <c r="AF547" s="55">
        <f>IF(AQ547="2",BH547,0)</f>
        <v>0</v>
      </c>
      <c r="AG547" s="55">
        <f>IF(AQ547="2",BI547,0)</f>
        <v>0</v>
      </c>
      <c r="AH547" s="55">
        <f>IF(AQ547="0",BJ547,0)</f>
        <v>0</v>
      </c>
      <c r="AI547" s="34" t="s">
        <v>116</v>
      </c>
      <c r="AJ547" s="63">
        <f>IF(AN547=0,I547,0)</f>
        <v>0</v>
      </c>
      <c r="AK547" s="63">
        <f>IF(AN547=12,I547,0)</f>
        <v>0</v>
      </c>
      <c r="AL547" s="63">
        <f>IF(AN547=21,I547,0)</f>
        <v>0</v>
      </c>
      <c r="AN547" s="55">
        <v>21</v>
      </c>
      <c r="AO547" s="55">
        <f>H547*1</f>
        <v>0</v>
      </c>
      <c r="AP547" s="55">
        <f>H547*(1-1)</f>
        <v>0</v>
      </c>
      <c r="AQ547" s="66" t="s">
        <v>125</v>
      </c>
      <c r="AV547" s="55">
        <f>AW547+AX547</f>
        <v>0</v>
      </c>
      <c r="AW547" s="55">
        <f>G547*AO547</f>
        <v>0</v>
      </c>
      <c r="AX547" s="55">
        <f>G547*AP547</f>
        <v>0</v>
      </c>
      <c r="AY547" s="58" t="s">
        <v>1096</v>
      </c>
      <c r="AZ547" s="58" t="s">
        <v>1068</v>
      </c>
      <c r="BA547" s="34" t="s">
        <v>128</v>
      </c>
      <c r="BC547" s="55">
        <f>AW547+AX547</f>
        <v>0</v>
      </c>
      <c r="BD547" s="55">
        <f>H547/(100-BE547)*100</f>
        <v>0</v>
      </c>
      <c r="BE547" s="55">
        <v>0</v>
      </c>
      <c r="BF547" s="55">
        <f>K547</f>
        <v>0.9669239999999999</v>
      </c>
      <c r="BH547" s="63">
        <f>G547*AO547</f>
        <v>0</v>
      </c>
      <c r="BI547" s="63">
        <f>G547*AP547</f>
        <v>0</v>
      </c>
      <c r="BJ547" s="63">
        <f>G547*H547</f>
        <v>0</v>
      </c>
      <c r="BK547" s="63"/>
      <c r="BL547" s="55">
        <v>713</v>
      </c>
      <c r="BW547" s="55">
        <v>21</v>
      </c>
    </row>
    <row r="548" spans="1:12" ht="14.4">
      <c r="A548" s="59"/>
      <c r="D548" s="60" t="s">
        <v>1003</v>
      </c>
      <c r="E548" s="60" t="s">
        <v>1106</v>
      </c>
      <c r="G548" s="68">
        <v>255.8</v>
      </c>
      <c r="L548" s="69"/>
    </row>
    <row r="549" spans="1:12" ht="14.4">
      <c r="A549" s="59"/>
      <c r="D549" s="60" t="s">
        <v>1111</v>
      </c>
      <c r="E549" s="60" t="s">
        <v>4</v>
      </c>
      <c r="G549" s="68">
        <v>12.79</v>
      </c>
      <c r="L549" s="69"/>
    </row>
    <row r="550" spans="1:75" ht="13.5" customHeight="1">
      <c r="A550" s="61" t="s">
        <v>1112</v>
      </c>
      <c r="B550" s="62" t="s">
        <v>116</v>
      </c>
      <c r="C550" s="62" t="s">
        <v>1113</v>
      </c>
      <c r="D550" s="224" t="s">
        <v>1114</v>
      </c>
      <c r="E550" s="225"/>
      <c r="F550" s="62" t="s">
        <v>729</v>
      </c>
      <c r="G550" s="63">
        <v>55.55</v>
      </c>
      <c r="H550" s="64">
        <v>0</v>
      </c>
      <c r="I550" s="63">
        <f>G550*H550</f>
        <v>0</v>
      </c>
      <c r="J550" s="63">
        <v>0.00225</v>
      </c>
      <c r="K550" s="63">
        <f>G550*J550</f>
        <v>0.12498749999999999</v>
      </c>
      <c r="L550" s="65" t="s">
        <v>1110</v>
      </c>
      <c r="Z550" s="55">
        <f>IF(AQ550="5",BJ550,0)</f>
        <v>0</v>
      </c>
      <c r="AB550" s="55">
        <f>IF(AQ550="1",BH550,0)</f>
        <v>0</v>
      </c>
      <c r="AC550" s="55">
        <f>IF(AQ550="1",BI550,0)</f>
        <v>0</v>
      </c>
      <c r="AD550" s="55">
        <f>IF(AQ550="7",BH550,0)</f>
        <v>0</v>
      </c>
      <c r="AE550" s="55">
        <f>IF(AQ550="7",BI550,0)</f>
        <v>0</v>
      </c>
      <c r="AF550" s="55">
        <f>IF(AQ550="2",BH550,0)</f>
        <v>0</v>
      </c>
      <c r="AG550" s="55">
        <f>IF(AQ550="2",BI550,0)</f>
        <v>0</v>
      </c>
      <c r="AH550" s="55">
        <f>IF(AQ550="0",BJ550,0)</f>
        <v>0</v>
      </c>
      <c r="AI550" s="34" t="s">
        <v>116</v>
      </c>
      <c r="AJ550" s="63">
        <f>IF(AN550=0,I550,0)</f>
        <v>0</v>
      </c>
      <c r="AK550" s="63">
        <f>IF(AN550=12,I550,0)</f>
        <v>0</v>
      </c>
      <c r="AL550" s="63">
        <f>IF(AN550=21,I550,0)</f>
        <v>0</v>
      </c>
      <c r="AN550" s="55">
        <v>21</v>
      </c>
      <c r="AO550" s="55">
        <f>H550*1</f>
        <v>0</v>
      </c>
      <c r="AP550" s="55">
        <f>H550*(1-1)</f>
        <v>0</v>
      </c>
      <c r="AQ550" s="66" t="s">
        <v>125</v>
      </c>
      <c r="AV550" s="55">
        <f>AW550+AX550</f>
        <v>0</v>
      </c>
      <c r="AW550" s="55">
        <f>G550*AO550</f>
        <v>0</v>
      </c>
      <c r="AX550" s="55">
        <f>G550*AP550</f>
        <v>0</v>
      </c>
      <c r="AY550" s="58" t="s">
        <v>1096</v>
      </c>
      <c r="AZ550" s="58" t="s">
        <v>1068</v>
      </c>
      <c r="BA550" s="34" t="s">
        <v>128</v>
      </c>
      <c r="BC550" s="55">
        <f>AW550+AX550</f>
        <v>0</v>
      </c>
      <c r="BD550" s="55">
        <f>H550/(100-BE550)*100</f>
        <v>0</v>
      </c>
      <c r="BE550" s="55">
        <v>0</v>
      </c>
      <c r="BF550" s="55">
        <f>K550</f>
        <v>0.12498749999999999</v>
      </c>
      <c r="BH550" s="63">
        <f>G550*AO550</f>
        <v>0</v>
      </c>
      <c r="BI550" s="63">
        <f>G550*AP550</f>
        <v>0</v>
      </c>
      <c r="BJ550" s="63">
        <f>G550*H550</f>
        <v>0</v>
      </c>
      <c r="BK550" s="63"/>
      <c r="BL550" s="55">
        <v>713</v>
      </c>
      <c r="BW550" s="55">
        <v>21</v>
      </c>
    </row>
    <row r="551" spans="1:12" ht="14.4">
      <c r="A551" s="59"/>
      <c r="D551" s="60" t="s">
        <v>999</v>
      </c>
      <c r="E551" s="60" t="s">
        <v>1105</v>
      </c>
      <c r="G551" s="68">
        <v>52.9</v>
      </c>
      <c r="L551" s="69"/>
    </row>
    <row r="552" spans="1:12" ht="14.4">
      <c r="A552" s="59"/>
      <c r="D552" s="60" t="s">
        <v>1115</v>
      </c>
      <c r="E552" s="60" t="s">
        <v>4</v>
      </c>
      <c r="G552" s="68">
        <v>2.65</v>
      </c>
      <c r="L552" s="69"/>
    </row>
    <row r="553" spans="1:75" ht="13.5" customHeight="1">
      <c r="A553" s="61" t="s">
        <v>1116</v>
      </c>
      <c r="B553" s="62" t="s">
        <v>116</v>
      </c>
      <c r="C553" s="62" t="s">
        <v>1117</v>
      </c>
      <c r="D553" s="224" t="s">
        <v>1118</v>
      </c>
      <c r="E553" s="225"/>
      <c r="F553" s="62" t="s">
        <v>729</v>
      </c>
      <c r="G553" s="63">
        <v>7.79</v>
      </c>
      <c r="H553" s="64">
        <v>0</v>
      </c>
      <c r="I553" s="63">
        <f>G553*H553</f>
        <v>0</v>
      </c>
      <c r="J553" s="63">
        <v>0.001</v>
      </c>
      <c r="K553" s="63">
        <f>G553*J553</f>
        <v>0.00779</v>
      </c>
      <c r="L553" s="65" t="s">
        <v>785</v>
      </c>
      <c r="Z553" s="55">
        <f>IF(AQ553="5",BJ553,0)</f>
        <v>0</v>
      </c>
      <c r="AB553" s="55">
        <f>IF(AQ553="1",BH553,0)</f>
        <v>0</v>
      </c>
      <c r="AC553" s="55">
        <f>IF(AQ553="1",BI553,0)</f>
        <v>0</v>
      </c>
      <c r="AD553" s="55">
        <f>IF(AQ553="7",BH553,0)</f>
        <v>0</v>
      </c>
      <c r="AE553" s="55">
        <f>IF(AQ553="7",BI553,0)</f>
        <v>0</v>
      </c>
      <c r="AF553" s="55">
        <f>IF(AQ553="2",BH553,0)</f>
        <v>0</v>
      </c>
      <c r="AG553" s="55">
        <f>IF(AQ553="2",BI553,0)</f>
        <v>0</v>
      </c>
      <c r="AH553" s="55">
        <f>IF(AQ553="0",BJ553,0)</f>
        <v>0</v>
      </c>
      <c r="AI553" s="34" t="s">
        <v>116</v>
      </c>
      <c r="AJ553" s="63">
        <f>IF(AN553=0,I553,0)</f>
        <v>0</v>
      </c>
      <c r="AK553" s="63">
        <f>IF(AN553=12,I553,0)</f>
        <v>0</v>
      </c>
      <c r="AL553" s="63">
        <f>IF(AN553=21,I553,0)</f>
        <v>0</v>
      </c>
      <c r="AN553" s="55">
        <v>21</v>
      </c>
      <c r="AO553" s="55">
        <f>H553*1</f>
        <v>0</v>
      </c>
      <c r="AP553" s="55">
        <f>H553*(1-1)</f>
        <v>0</v>
      </c>
      <c r="AQ553" s="66" t="s">
        <v>125</v>
      </c>
      <c r="AV553" s="55">
        <f>AW553+AX553</f>
        <v>0</v>
      </c>
      <c r="AW553" s="55">
        <f>G553*AO553</f>
        <v>0</v>
      </c>
      <c r="AX553" s="55">
        <f>G553*AP553</f>
        <v>0</v>
      </c>
      <c r="AY553" s="58" t="s">
        <v>1096</v>
      </c>
      <c r="AZ553" s="58" t="s">
        <v>1068</v>
      </c>
      <c r="BA553" s="34" t="s">
        <v>128</v>
      </c>
      <c r="BC553" s="55">
        <f>AW553+AX553</f>
        <v>0</v>
      </c>
      <c r="BD553" s="55">
        <f>H553/(100-BE553)*100</f>
        <v>0</v>
      </c>
      <c r="BE553" s="55">
        <v>0</v>
      </c>
      <c r="BF553" s="55">
        <f>K553</f>
        <v>0.00779</v>
      </c>
      <c r="BH553" s="63">
        <f>G553*AO553</f>
        <v>0</v>
      </c>
      <c r="BI553" s="63">
        <f>G553*AP553</f>
        <v>0</v>
      </c>
      <c r="BJ553" s="63">
        <f>G553*H553</f>
        <v>0</v>
      </c>
      <c r="BK553" s="63"/>
      <c r="BL553" s="55">
        <v>713</v>
      </c>
      <c r="BW553" s="55">
        <v>21</v>
      </c>
    </row>
    <row r="554" spans="1:12" ht="14.4">
      <c r="A554" s="59"/>
      <c r="D554" s="60" t="s">
        <v>1103</v>
      </c>
      <c r="E554" s="60" t="s">
        <v>1104</v>
      </c>
      <c r="G554" s="68">
        <v>7.42</v>
      </c>
      <c r="L554" s="69"/>
    </row>
    <row r="555" spans="1:12" ht="14.4">
      <c r="A555" s="59"/>
      <c r="D555" s="60" t="s">
        <v>1119</v>
      </c>
      <c r="E555" s="60" t="s">
        <v>4</v>
      </c>
      <c r="G555" s="68">
        <v>0.37</v>
      </c>
      <c r="L555" s="69"/>
    </row>
    <row r="556" spans="1:75" ht="13.5" customHeight="1">
      <c r="A556" s="1" t="s">
        <v>1120</v>
      </c>
      <c r="B556" s="2" t="s">
        <v>116</v>
      </c>
      <c r="C556" s="2" t="s">
        <v>1121</v>
      </c>
      <c r="D556" s="147" t="s">
        <v>1122</v>
      </c>
      <c r="E556" s="148"/>
      <c r="F556" s="2" t="s">
        <v>729</v>
      </c>
      <c r="G556" s="55">
        <v>367.7</v>
      </c>
      <c r="H556" s="56">
        <v>0</v>
      </c>
      <c r="I556" s="55">
        <f>G556*H556</f>
        <v>0</v>
      </c>
      <c r="J556" s="55">
        <v>0</v>
      </c>
      <c r="K556" s="55">
        <f>G556*J556</f>
        <v>0</v>
      </c>
      <c r="L556" s="57" t="s">
        <v>785</v>
      </c>
      <c r="Z556" s="55">
        <f>IF(AQ556="5",BJ556,0)</f>
        <v>0</v>
      </c>
      <c r="AB556" s="55">
        <f>IF(AQ556="1",BH556,0)</f>
        <v>0</v>
      </c>
      <c r="AC556" s="55">
        <f>IF(AQ556="1",BI556,0)</f>
        <v>0</v>
      </c>
      <c r="AD556" s="55">
        <f>IF(AQ556="7",BH556,0)</f>
        <v>0</v>
      </c>
      <c r="AE556" s="55">
        <f>IF(AQ556="7",BI556,0)</f>
        <v>0</v>
      </c>
      <c r="AF556" s="55">
        <f>IF(AQ556="2",BH556,0)</f>
        <v>0</v>
      </c>
      <c r="AG556" s="55">
        <f>IF(AQ556="2",BI556,0)</f>
        <v>0</v>
      </c>
      <c r="AH556" s="55">
        <f>IF(AQ556="0",BJ556,0)</f>
        <v>0</v>
      </c>
      <c r="AI556" s="34" t="s">
        <v>116</v>
      </c>
      <c r="AJ556" s="55">
        <f>IF(AN556=0,I556,0)</f>
        <v>0</v>
      </c>
      <c r="AK556" s="55">
        <f>IF(AN556=12,I556,0)</f>
        <v>0</v>
      </c>
      <c r="AL556" s="55">
        <f>IF(AN556=21,I556,0)</f>
        <v>0</v>
      </c>
      <c r="AN556" s="55">
        <v>21</v>
      </c>
      <c r="AO556" s="55">
        <f>H556*0</f>
        <v>0</v>
      </c>
      <c r="AP556" s="55">
        <f>H556*(1-0)</f>
        <v>0</v>
      </c>
      <c r="AQ556" s="58" t="s">
        <v>125</v>
      </c>
      <c r="AV556" s="55">
        <f>AW556+AX556</f>
        <v>0</v>
      </c>
      <c r="AW556" s="55">
        <f>G556*AO556</f>
        <v>0</v>
      </c>
      <c r="AX556" s="55">
        <f>G556*AP556</f>
        <v>0</v>
      </c>
      <c r="AY556" s="58" t="s">
        <v>1096</v>
      </c>
      <c r="AZ556" s="58" t="s">
        <v>1068</v>
      </c>
      <c r="BA556" s="34" t="s">
        <v>128</v>
      </c>
      <c r="BB556" s="67">
        <v>100005</v>
      </c>
      <c r="BC556" s="55">
        <f>AW556+AX556</f>
        <v>0</v>
      </c>
      <c r="BD556" s="55">
        <f>H556/(100-BE556)*100</f>
        <v>0</v>
      </c>
      <c r="BE556" s="55">
        <v>0</v>
      </c>
      <c r="BF556" s="55">
        <f>K556</f>
        <v>0</v>
      </c>
      <c r="BH556" s="55">
        <f>G556*AO556</f>
        <v>0</v>
      </c>
      <c r="BI556" s="55">
        <f>G556*AP556</f>
        <v>0</v>
      </c>
      <c r="BJ556" s="55">
        <f>G556*H556</f>
        <v>0</v>
      </c>
      <c r="BK556" s="55"/>
      <c r="BL556" s="55">
        <v>713</v>
      </c>
      <c r="BW556" s="55">
        <v>21</v>
      </c>
    </row>
    <row r="557" spans="1:12" ht="13.5" customHeight="1">
      <c r="A557" s="59"/>
      <c r="D557" s="218" t="s">
        <v>1123</v>
      </c>
      <c r="E557" s="219"/>
      <c r="F557" s="219"/>
      <c r="G557" s="219"/>
      <c r="H557" s="220"/>
      <c r="I557" s="219"/>
      <c r="J557" s="219"/>
      <c r="K557" s="219"/>
      <c r="L557" s="221"/>
    </row>
    <row r="558" spans="1:12" ht="14.4">
      <c r="A558" s="59"/>
      <c r="D558" s="60" t="s">
        <v>1124</v>
      </c>
      <c r="E558" s="60" t="s">
        <v>816</v>
      </c>
      <c r="G558" s="68">
        <v>367.7</v>
      </c>
      <c r="L558" s="69"/>
    </row>
    <row r="559" spans="1:75" ht="13.5" customHeight="1">
      <c r="A559" s="1" t="s">
        <v>1125</v>
      </c>
      <c r="B559" s="2" t="s">
        <v>116</v>
      </c>
      <c r="C559" s="2" t="s">
        <v>1126</v>
      </c>
      <c r="D559" s="147" t="s">
        <v>1127</v>
      </c>
      <c r="E559" s="148"/>
      <c r="F559" s="2" t="s">
        <v>729</v>
      </c>
      <c r="G559" s="55">
        <v>367.7</v>
      </c>
      <c r="H559" s="56">
        <v>0</v>
      </c>
      <c r="I559" s="55">
        <f>G559*H559</f>
        <v>0</v>
      </c>
      <c r="J559" s="55">
        <v>2E-05</v>
      </c>
      <c r="K559" s="55">
        <f>G559*J559</f>
        <v>0.007354</v>
      </c>
      <c r="L559" s="57" t="s">
        <v>785</v>
      </c>
      <c r="Z559" s="55">
        <f>IF(AQ559="5",BJ559,0)</f>
        <v>0</v>
      </c>
      <c r="AB559" s="55">
        <f>IF(AQ559="1",BH559,0)</f>
        <v>0</v>
      </c>
      <c r="AC559" s="55">
        <f>IF(AQ559="1",BI559,0)</f>
        <v>0</v>
      </c>
      <c r="AD559" s="55">
        <f>IF(AQ559="7",BH559,0)</f>
        <v>0</v>
      </c>
      <c r="AE559" s="55">
        <f>IF(AQ559="7",BI559,0)</f>
        <v>0</v>
      </c>
      <c r="AF559" s="55">
        <f>IF(AQ559="2",BH559,0)</f>
        <v>0</v>
      </c>
      <c r="AG559" s="55">
        <f>IF(AQ559="2",BI559,0)</f>
        <v>0</v>
      </c>
      <c r="AH559" s="55">
        <f>IF(AQ559="0",BJ559,0)</f>
        <v>0</v>
      </c>
      <c r="AI559" s="34" t="s">
        <v>116</v>
      </c>
      <c r="AJ559" s="55">
        <f>IF(AN559=0,I559,0)</f>
        <v>0</v>
      </c>
      <c r="AK559" s="55">
        <f>IF(AN559=12,I559,0)</f>
        <v>0</v>
      </c>
      <c r="AL559" s="55">
        <f>IF(AN559=21,I559,0)</f>
        <v>0</v>
      </c>
      <c r="AN559" s="55">
        <v>21</v>
      </c>
      <c r="AO559" s="55">
        <f>H559*0.087514313</f>
        <v>0</v>
      </c>
      <c r="AP559" s="55">
        <f>H559*(1-0.087514313)</f>
        <v>0</v>
      </c>
      <c r="AQ559" s="58" t="s">
        <v>125</v>
      </c>
      <c r="AV559" s="55">
        <f>AW559+AX559</f>
        <v>0</v>
      </c>
      <c r="AW559" s="55">
        <f>G559*AO559</f>
        <v>0</v>
      </c>
      <c r="AX559" s="55">
        <f>G559*AP559</f>
        <v>0</v>
      </c>
      <c r="AY559" s="58" t="s">
        <v>1096</v>
      </c>
      <c r="AZ559" s="58" t="s">
        <v>1068</v>
      </c>
      <c r="BA559" s="34" t="s">
        <v>128</v>
      </c>
      <c r="BB559" s="67">
        <v>100005</v>
      </c>
      <c r="BC559" s="55">
        <f>AW559+AX559</f>
        <v>0</v>
      </c>
      <c r="BD559" s="55">
        <f>H559/(100-BE559)*100</f>
        <v>0</v>
      </c>
      <c r="BE559" s="55">
        <v>0</v>
      </c>
      <c r="BF559" s="55">
        <f>K559</f>
        <v>0.007354</v>
      </c>
      <c r="BH559" s="55">
        <f>G559*AO559</f>
        <v>0</v>
      </c>
      <c r="BI559" s="55">
        <f>G559*AP559</f>
        <v>0</v>
      </c>
      <c r="BJ559" s="55">
        <f>G559*H559</f>
        <v>0</v>
      </c>
      <c r="BK559" s="55"/>
      <c r="BL559" s="55">
        <v>713</v>
      </c>
      <c r="BW559" s="55">
        <v>21</v>
      </c>
    </row>
    <row r="560" spans="1:12" ht="13.5" customHeight="1">
      <c r="A560" s="59"/>
      <c r="D560" s="218" t="s">
        <v>1128</v>
      </c>
      <c r="E560" s="219"/>
      <c r="F560" s="219"/>
      <c r="G560" s="219"/>
      <c r="H560" s="220"/>
      <c r="I560" s="219"/>
      <c r="J560" s="219"/>
      <c r="K560" s="219"/>
      <c r="L560" s="221"/>
    </row>
    <row r="561" spans="1:12" ht="14.4">
      <c r="A561" s="59"/>
      <c r="D561" s="60" t="s">
        <v>1098</v>
      </c>
      <c r="E561" s="60" t="s">
        <v>4</v>
      </c>
      <c r="G561" s="68">
        <v>367.7</v>
      </c>
      <c r="L561" s="69"/>
    </row>
    <row r="562" spans="1:75" ht="13.5" customHeight="1">
      <c r="A562" s="61" t="s">
        <v>1129</v>
      </c>
      <c r="B562" s="62" t="s">
        <v>116</v>
      </c>
      <c r="C562" s="62" t="s">
        <v>1130</v>
      </c>
      <c r="D562" s="224" t="s">
        <v>1131</v>
      </c>
      <c r="E562" s="225"/>
      <c r="F562" s="62" t="s">
        <v>729</v>
      </c>
      <c r="G562" s="63">
        <v>404.47</v>
      </c>
      <c r="H562" s="64">
        <v>0</v>
      </c>
      <c r="I562" s="63">
        <f>G562*H562</f>
        <v>0</v>
      </c>
      <c r="J562" s="63">
        <v>0.00017</v>
      </c>
      <c r="K562" s="63">
        <f>G562*J562</f>
        <v>0.06875990000000001</v>
      </c>
      <c r="L562" s="65" t="s">
        <v>785</v>
      </c>
      <c r="Z562" s="55">
        <f>IF(AQ562="5",BJ562,0)</f>
        <v>0</v>
      </c>
      <c r="AB562" s="55">
        <f>IF(AQ562="1",BH562,0)</f>
        <v>0</v>
      </c>
      <c r="AC562" s="55">
        <f>IF(AQ562="1",BI562,0)</f>
        <v>0</v>
      </c>
      <c r="AD562" s="55">
        <f>IF(AQ562="7",BH562,0)</f>
        <v>0</v>
      </c>
      <c r="AE562" s="55">
        <f>IF(AQ562="7",BI562,0)</f>
        <v>0</v>
      </c>
      <c r="AF562" s="55">
        <f>IF(AQ562="2",BH562,0)</f>
        <v>0</v>
      </c>
      <c r="AG562" s="55">
        <f>IF(AQ562="2",BI562,0)</f>
        <v>0</v>
      </c>
      <c r="AH562" s="55">
        <f>IF(AQ562="0",BJ562,0)</f>
        <v>0</v>
      </c>
      <c r="AI562" s="34" t="s">
        <v>116</v>
      </c>
      <c r="AJ562" s="63">
        <f>IF(AN562=0,I562,0)</f>
        <v>0</v>
      </c>
      <c r="AK562" s="63">
        <f>IF(AN562=12,I562,0)</f>
        <v>0</v>
      </c>
      <c r="AL562" s="63">
        <f>IF(AN562=21,I562,0)</f>
        <v>0</v>
      </c>
      <c r="AN562" s="55">
        <v>21</v>
      </c>
      <c r="AO562" s="55">
        <f>H562*1</f>
        <v>0</v>
      </c>
      <c r="AP562" s="55">
        <f>H562*(1-1)</f>
        <v>0</v>
      </c>
      <c r="AQ562" s="66" t="s">
        <v>125</v>
      </c>
      <c r="AV562" s="55">
        <f>AW562+AX562</f>
        <v>0</v>
      </c>
      <c r="AW562" s="55">
        <f>G562*AO562</f>
        <v>0</v>
      </c>
      <c r="AX562" s="55">
        <f>G562*AP562</f>
        <v>0</v>
      </c>
      <c r="AY562" s="58" t="s">
        <v>1096</v>
      </c>
      <c r="AZ562" s="58" t="s">
        <v>1068</v>
      </c>
      <c r="BA562" s="34" t="s">
        <v>128</v>
      </c>
      <c r="BC562" s="55">
        <f>AW562+AX562</f>
        <v>0</v>
      </c>
      <c r="BD562" s="55">
        <f>H562/(100-BE562)*100</f>
        <v>0</v>
      </c>
      <c r="BE562" s="55">
        <v>0</v>
      </c>
      <c r="BF562" s="55">
        <f>K562</f>
        <v>0.06875990000000001</v>
      </c>
      <c r="BH562" s="63">
        <f>G562*AO562</f>
        <v>0</v>
      </c>
      <c r="BI562" s="63">
        <f>G562*AP562</f>
        <v>0</v>
      </c>
      <c r="BJ562" s="63">
        <f>G562*H562</f>
        <v>0</v>
      </c>
      <c r="BK562" s="63"/>
      <c r="BL562" s="55">
        <v>713</v>
      </c>
      <c r="BW562" s="55">
        <v>21</v>
      </c>
    </row>
    <row r="563" spans="1:12" ht="14.4">
      <c r="A563" s="59"/>
      <c r="D563" s="60" t="s">
        <v>1098</v>
      </c>
      <c r="E563" s="60" t="s">
        <v>4</v>
      </c>
      <c r="G563" s="68">
        <v>367.7</v>
      </c>
      <c r="L563" s="69"/>
    </row>
    <row r="564" spans="1:12" ht="14.4">
      <c r="A564" s="59"/>
      <c r="D564" s="60" t="s">
        <v>1132</v>
      </c>
      <c r="E564" s="60" t="s">
        <v>4</v>
      </c>
      <c r="G564" s="68">
        <v>36.77</v>
      </c>
      <c r="L564" s="69"/>
    </row>
    <row r="565" spans="1:75" ht="13.5" customHeight="1">
      <c r="A565" s="1" t="s">
        <v>1133</v>
      </c>
      <c r="B565" s="2" t="s">
        <v>116</v>
      </c>
      <c r="C565" s="2" t="s">
        <v>1134</v>
      </c>
      <c r="D565" s="147" t="s">
        <v>1135</v>
      </c>
      <c r="E565" s="148"/>
      <c r="F565" s="2" t="s">
        <v>374</v>
      </c>
      <c r="G565" s="55">
        <v>15</v>
      </c>
      <c r="H565" s="56">
        <v>0</v>
      </c>
      <c r="I565" s="55">
        <f>G565*H565</f>
        <v>0</v>
      </c>
      <c r="J565" s="55">
        <v>0</v>
      </c>
      <c r="K565" s="55">
        <f>G565*J565</f>
        <v>0</v>
      </c>
      <c r="L565" s="57" t="s">
        <v>124</v>
      </c>
      <c r="Z565" s="55">
        <f>IF(AQ565="5",BJ565,0)</f>
        <v>0</v>
      </c>
      <c r="AB565" s="55">
        <f>IF(AQ565="1",BH565,0)</f>
        <v>0</v>
      </c>
      <c r="AC565" s="55">
        <f>IF(AQ565="1",BI565,0)</f>
        <v>0</v>
      </c>
      <c r="AD565" s="55">
        <f>IF(AQ565="7",BH565,0)</f>
        <v>0</v>
      </c>
      <c r="AE565" s="55">
        <f>IF(AQ565="7",BI565,0)</f>
        <v>0</v>
      </c>
      <c r="AF565" s="55">
        <f>IF(AQ565="2",BH565,0)</f>
        <v>0</v>
      </c>
      <c r="AG565" s="55">
        <f>IF(AQ565="2",BI565,0)</f>
        <v>0</v>
      </c>
      <c r="AH565" s="55">
        <f>IF(AQ565="0",BJ565,0)</f>
        <v>0</v>
      </c>
      <c r="AI565" s="34" t="s">
        <v>116</v>
      </c>
      <c r="AJ565" s="55">
        <f>IF(AN565=0,I565,0)</f>
        <v>0</v>
      </c>
      <c r="AK565" s="55">
        <f>IF(AN565=12,I565,0)</f>
        <v>0</v>
      </c>
      <c r="AL565" s="55">
        <f>IF(AN565=21,I565,0)</f>
        <v>0</v>
      </c>
      <c r="AN565" s="55">
        <v>21</v>
      </c>
      <c r="AO565" s="55">
        <f>H565*0.566615385</f>
        <v>0</v>
      </c>
      <c r="AP565" s="55">
        <f>H565*(1-0.566615385)</f>
        <v>0</v>
      </c>
      <c r="AQ565" s="58" t="s">
        <v>125</v>
      </c>
      <c r="AV565" s="55">
        <f>AW565+AX565</f>
        <v>0</v>
      </c>
      <c r="AW565" s="55">
        <f>G565*AO565</f>
        <v>0</v>
      </c>
      <c r="AX565" s="55">
        <f>G565*AP565</f>
        <v>0</v>
      </c>
      <c r="AY565" s="58" t="s">
        <v>1096</v>
      </c>
      <c r="AZ565" s="58" t="s">
        <v>1068</v>
      </c>
      <c r="BA565" s="34" t="s">
        <v>128</v>
      </c>
      <c r="BC565" s="55">
        <f>AW565+AX565</f>
        <v>0</v>
      </c>
      <c r="BD565" s="55">
        <f>H565/(100-BE565)*100</f>
        <v>0</v>
      </c>
      <c r="BE565" s="55">
        <v>0</v>
      </c>
      <c r="BF565" s="55">
        <f>K565</f>
        <v>0</v>
      </c>
      <c r="BH565" s="55">
        <f>G565*AO565</f>
        <v>0</v>
      </c>
      <c r="BI565" s="55">
        <f>G565*AP565</f>
        <v>0</v>
      </c>
      <c r="BJ565" s="55">
        <f>G565*H565</f>
        <v>0</v>
      </c>
      <c r="BK565" s="55"/>
      <c r="BL565" s="55">
        <v>713</v>
      </c>
      <c r="BW565" s="55">
        <v>21</v>
      </c>
    </row>
    <row r="566" spans="1:12" ht="13.5" customHeight="1">
      <c r="A566" s="59"/>
      <c r="D566" s="218" t="s">
        <v>1136</v>
      </c>
      <c r="E566" s="219"/>
      <c r="F566" s="219"/>
      <c r="G566" s="219"/>
      <c r="H566" s="220"/>
      <c r="I566" s="219"/>
      <c r="J566" s="219"/>
      <c r="K566" s="219"/>
      <c r="L566" s="221"/>
    </row>
    <row r="567" spans="1:12" ht="14.4">
      <c r="A567" s="59"/>
      <c r="D567" s="60" t="s">
        <v>168</v>
      </c>
      <c r="E567" s="60" t="s">
        <v>4</v>
      </c>
      <c r="G567" s="68">
        <v>15</v>
      </c>
      <c r="L567" s="69"/>
    </row>
    <row r="568" spans="1:75" ht="13.5" customHeight="1">
      <c r="A568" s="1" t="s">
        <v>1137</v>
      </c>
      <c r="B568" s="2" t="s">
        <v>116</v>
      </c>
      <c r="C568" s="2" t="s">
        <v>1138</v>
      </c>
      <c r="D568" s="147" t="s">
        <v>1139</v>
      </c>
      <c r="E568" s="148"/>
      <c r="F568" s="2" t="s">
        <v>374</v>
      </c>
      <c r="G568" s="55">
        <v>18</v>
      </c>
      <c r="H568" s="56">
        <v>0</v>
      </c>
      <c r="I568" s="55">
        <f>G568*H568</f>
        <v>0</v>
      </c>
      <c r="J568" s="55">
        <v>0</v>
      </c>
      <c r="K568" s="55">
        <f>G568*J568</f>
        <v>0</v>
      </c>
      <c r="L568" s="57" t="s">
        <v>124</v>
      </c>
      <c r="Z568" s="55">
        <f>IF(AQ568="5",BJ568,0)</f>
        <v>0</v>
      </c>
      <c r="AB568" s="55">
        <f>IF(AQ568="1",BH568,0)</f>
        <v>0</v>
      </c>
      <c r="AC568" s="55">
        <f>IF(AQ568="1",BI568,0)</f>
        <v>0</v>
      </c>
      <c r="AD568" s="55">
        <f>IF(AQ568="7",BH568,0)</f>
        <v>0</v>
      </c>
      <c r="AE568" s="55">
        <f>IF(AQ568="7",BI568,0)</f>
        <v>0</v>
      </c>
      <c r="AF568" s="55">
        <f>IF(AQ568="2",BH568,0)</f>
        <v>0</v>
      </c>
      <c r="AG568" s="55">
        <f>IF(AQ568="2",BI568,0)</f>
        <v>0</v>
      </c>
      <c r="AH568" s="55">
        <f>IF(AQ568="0",BJ568,0)</f>
        <v>0</v>
      </c>
      <c r="AI568" s="34" t="s">
        <v>116</v>
      </c>
      <c r="AJ568" s="55">
        <f>IF(AN568=0,I568,0)</f>
        <v>0</v>
      </c>
      <c r="AK568" s="55">
        <f>IF(AN568=12,I568,0)</f>
        <v>0</v>
      </c>
      <c r="AL568" s="55">
        <f>IF(AN568=21,I568,0)</f>
        <v>0</v>
      </c>
      <c r="AN568" s="55">
        <v>21</v>
      </c>
      <c r="AO568" s="55">
        <f>H568*0.596627068</f>
        <v>0</v>
      </c>
      <c r="AP568" s="55">
        <f>H568*(1-0.596627068)</f>
        <v>0</v>
      </c>
      <c r="AQ568" s="58" t="s">
        <v>125</v>
      </c>
      <c r="AV568" s="55">
        <f>AW568+AX568</f>
        <v>0</v>
      </c>
      <c r="AW568" s="55">
        <f>G568*AO568</f>
        <v>0</v>
      </c>
      <c r="AX568" s="55">
        <f>G568*AP568</f>
        <v>0</v>
      </c>
      <c r="AY568" s="58" t="s">
        <v>1096</v>
      </c>
      <c r="AZ568" s="58" t="s">
        <v>1068</v>
      </c>
      <c r="BA568" s="34" t="s">
        <v>128</v>
      </c>
      <c r="BC568" s="55">
        <f>AW568+AX568</f>
        <v>0</v>
      </c>
      <c r="BD568" s="55">
        <f>H568/(100-BE568)*100</f>
        <v>0</v>
      </c>
      <c r="BE568" s="55">
        <v>0</v>
      </c>
      <c r="BF568" s="55">
        <f>K568</f>
        <v>0</v>
      </c>
      <c r="BH568" s="55">
        <f>G568*AO568</f>
        <v>0</v>
      </c>
      <c r="BI568" s="55">
        <f>G568*AP568</f>
        <v>0</v>
      </c>
      <c r="BJ568" s="55">
        <f>G568*H568</f>
        <v>0</v>
      </c>
      <c r="BK568" s="55"/>
      <c r="BL568" s="55">
        <v>713</v>
      </c>
      <c r="BW568" s="55">
        <v>21</v>
      </c>
    </row>
    <row r="569" spans="1:12" ht="13.5" customHeight="1">
      <c r="A569" s="59"/>
      <c r="D569" s="218" t="s">
        <v>1140</v>
      </c>
      <c r="E569" s="219"/>
      <c r="F569" s="219"/>
      <c r="G569" s="219"/>
      <c r="H569" s="220"/>
      <c r="I569" s="219"/>
      <c r="J569" s="219"/>
      <c r="K569" s="219"/>
      <c r="L569" s="221"/>
    </row>
    <row r="570" spans="1:12" ht="14.4">
      <c r="A570" s="59"/>
      <c r="D570" s="60" t="s">
        <v>150</v>
      </c>
      <c r="E570" s="60" t="s">
        <v>1141</v>
      </c>
      <c r="G570" s="68">
        <v>9</v>
      </c>
      <c r="L570" s="69"/>
    </row>
    <row r="571" spans="1:12" ht="14.4">
      <c r="A571" s="59"/>
      <c r="D571" s="60" t="s">
        <v>130</v>
      </c>
      <c r="E571" s="60" t="s">
        <v>1142</v>
      </c>
      <c r="G571" s="68">
        <v>2</v>
      </c>
      <c r="L571" s="69"/>
    </row>
    <row r="572" spans="1:12" ht="14.4">
      <c r="A572" s="59"/>
      <c r="D572" s="60" t="s">
        <v>120</v>
      </c>
      <c r="E572" s="60" t="s">
        <v>1143</v>
      </c>
      <c r="G572" s="68">
        <v>1</v>
      </c>
      <c r="L572" s="69"/>
    </row>
    <row r="573" spans="1:12" ht="14.4">
      <c r="A573" s="59"/>
      <c r="D573" s="60" t="s">
        <v>130</v>
      </c>
      <c r="E573" s="60" t="s">
        <v>1144</v>
      </c>
      <c r="G573" s="68">
        <v>2</v>
      </c>
      <c r="L573" s="69"/>
    </row>
    <row r="574" spans="1:12" ht="14.4">
      <c r="A574" s="59"/>
      <c r="D574" s="60" t="s">
        <v>136</v>
      </c>
      <c r="E574" s="60" t="s">
        <v>1145</v>
      </c>
      <c r="G574" s="68">
        <v>4</v>
      </c>
      <c r="L574" s="69"/>
    </row>
    <row r="575" spans="1:75" ht="13.5" customHeight="1">
      <c r="A575" s="1" t="s">
        <v>1146</v>
      </c>
      <c r="B575" s="2" t="s">
        <v>116</v>
      </c>
      <c r="C575" s="2" t="s">
        <v>1147</v>
      </c>
      <c r="D575" s="147" t="s">
        <v>1139</v>
      </c>
      <c r="E575" s="148"/>
      <c r="F575" s="2" t="s">
        <v>374</v>
      </c>
      <c r="G575" s="55">
        <v>5</v>
      </c>
      <c r="H575" s="56">
        <v>0</v>
      </c>
      <c r="I575" s="55">
        <f>G575*H575</f>
        <v>0</v>
      </c>
      <c r="J575" s="55">
        <v>0</v>
      </c>
      <c r="K575" s="55">
        <f>G575*J575</f>
        <v>0</v>
      </c>
      <c r="L575" s="57" t="s">
        <v>124</v>
      </c>
      <c r="Z575" s="55">
        <f>IF(AQ575="5",BJ575,0)</f>
        <v>0</v>
      </c>
      <c r="AB575" s="55">
        <f>IF(AQ575="1",BH575,0)</f>
        <v>0</v>
      </c>
      <c r="AC575" s="55">
        <f>IF(AQ575="1",BI575,0)</f>
        <v>0</v>
      </c>
      <c r="AD575" s="55">
        <f>IF(AQ575="7",BH575,0)</f>
        <v>0</v>
      </c>
      <c r="AE575" s="55">
        <f>IF(AQ575="7",BI575,0)</f>
        <v>0</v>
      </c>
      <c r="AF575" s="55">
        <f>IF(AQ575="2",BH575,0)</f>
        <v>0</v>
      </c>
      <c r="AG575" s="55">
        <f>IF(AQ575="2",BI575,0)</f>
        <v>0</v>
      </c>
      <c r="AH575" s="55">
        <f>IF(AQ575="0",BJ575,0)</f>
        <v>0</v>
      </c>
      <c r="AI575" s="34" t="s">
        <v>116</v>
      </c>
      <c r="AJ575" s="55">
        <f>IF(AN575=0,I575,0)</f>
        <v>0</v>
      </c>
      <c r="AK575" s="55">
        <f>IF(AN575=12,I575,0)</f>
        <v>0</v>
      </c>
      <c r="AL575" s="55">
        <f>IF(AN575=21,I575,0)</f>
        <v>0</v>
      </c>
      <c r="AN575" s="55">
        <v>21</v>
      </c>
      <c r="AO575" s="55">
        <f>H575*0.654343203</f>
        <v>0</v>
      </c>
      <c r="AP575" s="55">
        <f>H575*(1-0.654343203)</f>
        <v>0</v>
      </c>
      <c r="AQ575" s="58" t="s">
        <v>125</v>
      </c>
      <c r="AV575" s="55">
        <f>AW575+AX575</f>
        <v>0</v>
      </c>
      <c r="AW575" s="55">
        <f>G575*AO575</f>
        <v>0</v>
      </c>
      <c r="AX575" s="55">
        <f>G575*AP575</f>
        <v>0</v>
      </c>
      <c r="AY575" s="58" t="s">
        <v>1096</v>
      </c>
      <c r="AZ575" s="58" t="s">
        <v>1068</v>
      </c>
      <c r="BA575" s="34" t="s">
        <v>128</v>
      </c>
      <c r="BC575" s="55">
        <f>AW575+AX575</f>
        <v>0</v>
      </c>
      <c r="BD575" s="55">
        <f>H575/(100-BE575)*100</f>
        <v>0</v>
      </c>
      <c r="BE575" s="55">
        <v>0</v>
      </c>
      <c r="BF575" s="55">
        <f>K575</f>
        <v>0</v>
      </c>
      <c r="BH575" s="55">
        <f>G575*AO575</f>
        <v>0</v>
      </c>
      <c r="BI575" s="55">
        <f>G575*AP575</f>
        <v>0</v>
      </c>
      <c r="BJ575" s="55">
        <f>G575*H575</f>
        <v>0</v>
      </c>
      <c r="BK575" s="55"/>
      <c r="BL575" s="55">
        <v>713</v>
      </c>
      <c r="BW575" s="55">
        <v>21</v>
      </c>
    </row>
    <row r="576" spans="1:12" ht="13.5" customHeight="1">
      <c r="A576" s="59"/>
      <c r="D576" s="218" t="s">
        <v>1148</v>
      </c>
      <c r="E576" s="219"/>
      <c r="F576" s="219"/>
      <c r="G576" s="219"/>
      <c r="H576" s="220"/>
      <c r="I576" s="219"/>
      <c r="J576" s="219"/>
      <c r="K576" s="219"/>
      <c r="L576" s="221"/>
    </row>
    <row r="577" spans="1:12" ht="14.4">
      <c r="A577" s="59"/>
      <c r="D577" s="60" t="s">
        <v>130</v>
      </c>
      <c r="E577" s="60" t="s">
        <v>1149</v>
      </c>
      <c r="G577" s="68">
        <v>2</v>
      </c>
      <c r="L577" s="69"/>
    </row>
    <row r="578" spans="1:12" ht="14.4">
      <c r="A578" s="59"/>
      <c r="D578" s="60" t="s">
        <v>120</v>
      </c>
      <c r="E578" s="60" t="s">
        <v>1150</v>
      </c>
      <c r="G578" s="68">
        <v>1</v>
      </c>
      <c r="L578" s="69"/>
    </row>
    <row r="579" spans="1:12" ht="14.4">
      <c r="A579" s="59"/>
      <c r="D579" s="60" t="s">
        <v>130</v>
      </c>
      <c r="E579" s="60" t="s">
        <v>1151</v>
      </c>
      <c r="G579" s="68">
        <v>2</v>
      </c>
      <c r="L579" s="69"/>
    </row>
    <row r="580" spans="1:75" ht="13.5" customHeight="1">
      <c r="A580" s="1" t="s">
        <v>1152</v>
      </c>
      <c r="B580" s="2" t="s">
        <v>116</v>
      </c>
      <c r="C580" s="2" t="s">
        <v>1153</v>
      </c>
      <c r="D580" s="147" t="s">
        <v>1139</v>
      </c>
      <c r="E580" s="148"/>
      <c r="F580" s="2" t="s">
        <v>374</v>
      </c>
      <c r="G580" s="55">
        <v>2</v>
      </c>
      <c r="H580" s="56">
        <v>0</v>
      </c>
      <c r="I580" s="55">
        <f>G580*H580</f>
        <v>0</v>
      </c>
      <c r="J580" s="55">
        <v>0</v>
      </c>
      <c r="K580" s="55">
        <f>G580*J580</f>
        <v>0</v>
      </c>
      <c r="L580" s="57" t="s">
        <v>124</v>
      </c>
      <c r="Z580" s="55">
        <f>IF(AQ580="5",BJ580,0)</f>
        <v>0</v>
      </c>
      <c r="AB580" s="55">
        <f>IF(AQ580="1",BH580,0)</f>
        <v>0</v>
      </c>
      <c r="AC580" s="55">
        <f>IF(AQ580="1",BI580,0)</f>
        <v>0</v>
      </c>
      <c r="AD580" s="55">
        <f>IF(AQ580="7",BH580,0)</f>
        <v>0</v>
      </c>
      <c r="AE580" s="55">
        <f>IF(AQ580="7",BI580,0)</f>
        <v>0</v>
      </c>
      <c r="AF580" s="55">
        <f>IF(AQ580="2",BH580,0)</f>
        <v>0</v>
      </c>
      <c r="AG580" s="55">
        <f>IF(AQ580="2",BI580,0)</f>
        <v>0</v>
      </c>
      <c r="AH580" s="55">
        <f>IF(AQ580="0",BJ580,0)</f>
        <v>0</v>
      </c>
      <c r="AI580" s="34" t="s">
        <v>116</v>
      </c>
      <c r="AJ580" s="55">
        <f>IF(AN580=0,I580,0)</f>
        <v>0</v>
      </c>
      <c r="AK580" s="55">
        <f>IF(AN580=12,I580,0)</f>
        <v>0</v>
      </c>
      <c r="AL580" s="55">
        <f>IF(AN580=21,I580,0)</f>
        <v>0</v>
      </c>
      <c r="AN580" s="55">
        <v>21</v>
      </c>
      <c r="AO580" s="55">
        <f>H580*0.80552359</f>
        <v>0</v>
      </c>
      <c r="AP580" s="55">
        <f>H580*(1-0.80552359)</f>
        <v>0</v>
      </c>
      <c r="AQ580" s="58" t="s">
        <v>125</v>
      </c>
      <c r="AV580" s="55">
        <f>AW580+AX580</f>
        <v>0</v>
      </c>
      <c r="AW580" s="55">
        <f>G580*AO580</f>
        <v>0</v>
      </c>
      <c r="AX580" s="55">
        <f>G580*AP580</f>
        <v>0</v>
      </c>
      <c r="AY580" s="58" t="s">
        <v>1096</v>
      </c>
      <c r="AZ580" s="58" t="s">
        <v>1068</v>
      </c>
      <c r="BA580" s="34" t="s">
        <v>128</v>
      </c>
      <c r="BC580" s="55">
        <f>AW580+AX580</f>
        <v>0</v>
      </c>
      <c r="BD580" s="55">
        <f>H580/(100-BE580)*100</f>
        <v>0</v>
      </c>
      <c r="BE580" s="55">
        <v>0</v>
      </c>
      <c r="BF580" s="55">
        <f>K580</f>
        <v>0</v>
      </c>
      <c r="BH580" s="55">
        <f>G580*AO580</f>
        <v>0</v>
      </c>
      <c r="BI580" s="55">
        <f>G580*AP580</f>
        <v>0</v>
      </c>
      <c r="BJ580" s="55">
        <f>G580*H580</f>
        <v>0</v>
      </c>
      <c r="BK580" s="55"/>
      <c r="BL580" s="55">
        <v>713</v>
      </c>
      <c r="BW580" s="55">
        <v>21</v>
      </c>
    </row>
    <row r="581" spans="1:12" ht="13.5" customHeight="1">
      <c r="A581" s="59"/>
      <c r="D581" s="218" t="s">
        <v>1154</v>
      </c>
      <c r="E581" s="219"/>
      <c r="F581" s="219"/>
      <c r="G581" s="219"/>
      <c r="H581" s="220"/>
      <c r="I581" s="219"/>
      <c r="J581" s="219"/>
      <c r="K581" s="219"/>
      <c r="L581" s="221"/>
    </row>
    <row r="582" spans="1:12" ht="14.4">
      <c r="A582" s="59"/>
      <c r="D582" s="60" t="s">
        <v>120</v>
      </c>
      <c r="E582" s="60" t="s">
        <v>1155</v>
      </c>
      <c r="G582" s="68">
        <v>1</v>
      </c>
      <c r="L582" s="69"/>
    </row>
    <row r="583" spans="1:12" ht="14.4">
      <c r="A583" s="59"/>
      <c r="D583" s="60" t="s">
        <v>120</v>
      </c>
      <c r="E583" s="60" t="s">
        <v>1156</v>
      </c>
      <c r="G583" s="68">
        <v>1</v>
      </c>
      <c r="L583" s="69"/>
    </row>
    <row r="584" spans="1:75" ht="13.5" customHeight="1">
      <c r="A584" s="1" t="s">
        <v>1157</v>
      </c>
      <c r="B584" s="2" t="s">
        <v>116</v>
      </c>
      <c r="C584" s="2" t="s">
        <v>1158</v>
      </c>
      <c r="D584" s="147" t="s">
        <v>1159</v>
      </c>
      <c r="E584" s="148"/>
      <c r="F584" s="2" t="s">
        <v>729</v>
      </c>
      <c r="G584" s="55">
        <v>247.7</v>
      </c>
      <c r="H584" s="56">
        <v>0</v>
      </c>
      <c r="I584" s="55">
        <f>G584*H584</f>
        <v>0</v>
      </c>
      <c r="J584" s="55">
        <v>0.00112</v>
      </c>
      <c r="K584" s="55">
        <f>G584*J584</f>
        <v>0.27742399999999995</v>
      </c>
      <c r="L584" s="57" t="s">
        <v>124</v>
      </c>
      <c r="Z584" s="55">
        <f>IF(AQ584="5",BJ584,0)</f>
        <v>0</v>
      </c>
      <c r="AB584" s="55">
        <f>IF(AQ584="1",BH584,0)</f>
        <v>0</v>
      </c>
      <c r="AC584" s="55">
        <f>IF(AQ584="1",BI584,0)</f>
        <v>0</v>
      </c>
      <c r="AD584" s="55">
        <f>IF(AQ584="7",BH584,0)</f>
        <v>0</v>
      </c>
      <c r="AE584" s="55">
        <f>IF(AQ584="7",BI584,0)</f>
        <v>0</v>
      </c>
      <c r="AF584" s="55">
        <f>IF(AQ584="2",BH584,0)</f>
        <v>0</v>
      </c>
      <c r="AG584" s="55">
        <f>IF(AQ584="2",BI584,0)</f>
        <v>0</v>
      </c>
      <c r="AH584" s="55">
        <f>IF(AQ584="0",BJ584,0)</f>
        <v>0</v>
      </c>
      <c r="AI584" s="34" t="s">
        <v>116</v>
      </c>
      <c r="AJ584" s="55">
        <f>IF(AN584=0,I584,0)</f>
        <v>0</v>
      </c>
      <c r="AK584" s="55">
        <f>IF(AN584=12,I584,0)</f>
        <v>0</v>
      </c>
      <c r="AL584" s="55">
        <f>IF(AN584=21,I584,0)</f>
        <v>0</v>
      </c>
      <c r="AN584" s="55">
        <v>21</v>
      </c>
      <c r="AO584" s="55">
        <f>H584*0</f>
        <v>0</v>
      </c>
      <c r="AP584" s="55">
        <f>H584*(1-0)</f>
        <v>0</v>
      </c>
      <c r="AQ584" s="58" t="s">
        <v>125</v>
      </c>
      <c r="AV584" s="55">
        <f>AW584+AX584</f>
        <v>0</v>
      </c>
      <c r="AW584" s="55">
        <f>G584*AO584</f>
        <v>0</v>
      </c>
      <c r="AX584" s="55">
        <f>G584*AP584</f>
        <v>0</v>
      </c>
      <c r="AY584" s="58" t="s">
        <v>1096</v>
      </c>
      <c r="AZ584" s="58" t="s">
        <v>1068</v>
      </c>
      <c r="BA584" s="34" t="s">
        <v>128</v>
      </c>
      <c r="BB584" s="67">
        <v>100005</v>
      </c>
      <c r="BC584" s="55">
        <f>AW584+AX584</f>
        <v>0</v>
      </c>
      <c r="BD584" s="55">
        <f>H584/(100-BE584)*100</f>
        <v>0</v>
      </c>
      <c r="BE584" s="55">
        <v>0</v>
      </c>
      <c r="BF584" s="55">
        <f>K584</f>
        <v>0.27742399999999995</v>
      </c>
      <c r="BH584" s="55">
        <f>G584*AO584</f>
        <v>0</v>
      </c>
      <c r="BI584" s="55">
        <f>G584*AP584</f>
        <v>0</v>
      </c>
      <c r="BJ584" s="55">
        <f>G584*H584</f>
        <v>0</v>
      </c>
      <c r="BK584" s="55"/>
      <c r="BL584" s="55">
        <v>713</v>
      </c>
      <c r="BW584" s="55">
        <v>21</v>
      </c>
    </row>
    <row r="585" spans="1:12" ht="14.4">
      <c r="A585" s="59"/>
      <c r="D585" s="60" t="s">
        <v>1160</v>
      </c>
      <c r="E585" s="60" t="s">
        <v>4</v>
      </c>
      <c r="G585" s="68">
        <v>247.7</v>
      </c>
      <c r="L585" s="69"/>
    </row>
    <row r="586" spans="1:75" ht="13.5" customHeight="1">
      <c r="A586" s="61" t="s">
        <v>1161</v>
      </c>
      <c r="B586" s="62" t="s">
        <v>116</v>
      </c>
      <c r="C586" s="62" t="s">
        <v>1162</v>
      </c>
      <c r="D586" s="224" t="s">
        <v>1163</v>
      </c>
      <c r="E586" s="225"/>
      <c r="F586" s="62" t="s">
        <v>729</v>
      </c>
      <c r="G586" s="63">
        <v>272.47</v>
      </c>
      <c r="H586" s="64">
        <v>0</v>
      </c>
      <c r="I586" s="63">
        <f>G586*H586</f>
        <v>0</v>
      </c>
      <c r="J586" s="63">
        <v>0.0003</v>
      </c>
      <c r="K586" s="63">
        <f>G586*J586</f>
        <v>0.081741</v>
      </c>
      <c r="L586" s="65" t="s">
        <v>785</v>
      </c>
      <c r="Z586" s="55">
        <f>IF(AQ586="5",BJ586,0)</f>
        <v>0</v>
      </c>
      <c r="AB586" s="55">
        <f>IF(AQ586="1",BH586,0)</f>
        <v>0</v>
      </c>
      <c r="AC586" s="55">
        <f>IF(AQ586="1",BI586,0)</f>
        <v>0</v>
      </c>
      <c r="AD586" s="55">
        <f>IF(AQ586="7",BH586,0)</f>
        <v>0</v>
      </c>
      <c r="AE586" s="55">
        <f>IF(AQ586="7",BI586,0)</f>
        <v>0</v>
      </c>
      <c r="AF586" s="55">
        <f>IF(AQ586="2",BH586,0)</f>
        <v>0</v>
      </c>
      <c r="AG586" s="55">
        <f>IF(AQ586="2",BI586,0)</f>
        <v>0</v>
      </c>
      <c r="AH586" s="55">
        <f>IF(AQ586="0",BJ586,0)</f>
        <v>0</v>
      </c>
      <c r="AI586" s="34" t="s">
        <v>116</v>
      </c>
      <c r="AJ586" s="63">
        <f>IF(AN586=0,I586,0)</f>
        <v>0</v>
      </c>
      <c r="AK586" s="63">
        <f>IF(AN586=12,I586,0)</f>
        <v>0</v>
      </c>
      <c r="AL586" s="63">
        <f>IF(AN586=21,I586,0)</f>
        <v>0</v>
      </c>
      <c r="AN586" s="55">
        <v>21</v>
      </c>
      <c r="AO586" s="55">
        <f>H586*1</f>
        <v>0</v>
      </c>
      <c r="AP586" s="55">
        <f>H586*(1-1)</f>
        <v>0</v>
      </c>
      <c r="AQ586" s="66" t="s">
        <v>125</v>
      </c>
      <c r="AV586" s="55">
        <f>AW586+AX586</f>
        <v>0</v>
      </c>
      <c r="AW586" s="55">
        <f>G586*AO586</f>
        <v>0</v>
      </c>
      <c r="AX586" s="55">
        <f>G586*AP586</f>
        <v>0</v>
      </c>
      <c r="AY586" s="58" t="s">
        <v>1096</v>
      </c>
      <c r="AZ586" s="58" t="s">
        <v>1068</v>
      </c>
      <c r="BA586" s="34" t="s">
        <v>128</v>
      </c>
      <c r="BC586" s="55">
        <f>AW586+AX586</f>
        <v>0</v>
      </c>
      <c r="BD586" s="55">
        <f>H586/(100-BE586)*100</f>
        <v>0</v>
      </c>
      <c r="BE586" s="55">
        <v>0</v>
      </c>
      <c r="BF586" s="55">
        <f>K586</f>
        <v>0.081741</v>
      </c>
      <c r="BH586" s="63">
        <f>G586*AO586</f>
        <v>0</v>
      </c>
      <c r="BI586" s="63">
        <f>G586*AP586</f>
        <v>0</v>
      </c>
      <c r="BJ586" s="63">
        <f>G586*H586</f>
        <v>0</v>
      </c>
      <c r="BK586" s="63"/>
      <c r="BL586" s="55">
        <v>713</v>
      </c>
      <c r="BW586" s="55">
        <v>21</v>
      </c>
    </row>
    <row r="587" spans="1:12" ht="14.4">
      <c r="A587" s="59"/>
      <c r="D587" s="60" t="s">
        <v>1160</v>
      </c>
      <c r="E587" s="60" t="s">
        <v>4</v>
      </c>
      <c r="G587" s="68">
        <v>247.7</v>
      </c>
      <c r="L587" s="69"/>
    </row>
    <row r="588" spans="1:12" ht="14.4">
      <c r="A588" s="59"/>
      <c r="D588" s="60" t="s">
        <v>1164</v>
      </c>
      <c r="E588" s="60" t="s">
        <v>4</v>
      </c>
      <c r="G588" s="68">
        <v>24.77</v>
      </c>
      <c r="L588" s="69"/>
    </row>
    <row r="589" spans="1:75" ht="13.5" customHeight="1">
      <c r="A589" s="1" t="s">
        <v>1165</v>
      </c>
      <c r="B589" s="2" t="s">
        <v>116</v>
      </c>
      <c r="C589" s="2" t="s">
        <v>1166</v>
      </c>
      <c r="D589" s="147" t="s">
        <v>1167</v>
      </c>
      <c r="E589" s="148"/>
      <c r="F589" s="2" t="s">
        <v>729</v>
      </c>
      <c r="G589" s="55">
        <v>367.7</v>
      </c>
      <c r="H589" s="56">
        <v>0</v>
      </c>
      <c r="I589" s="55">
        <f>G589*H589</f>
        <v>0</v>
      </c>
      <c r="J589" s="55">
        <v>0.00018</v>
      </c>
      <c r="K589" s="55">
        <f>G589*J589</f>
        <v>0.06618600000000001</v>
      </c>
      <c r="L589" s="57" t="s">
        <v>124</v>
      </c>
      <c r="Z589" s="55">
        <f>IF(AQ589="5",BJ589,0)</f>
        <v>0</v>
      </c>
      <c r="AB589" s="55">
        <f>IF(AQ589="1",BH589,0)</f>
        <v>0</v>
      </c>
      <c r="AC589" s="55">
        <f>IF(AQ589="1",BI589,0)</f>
        <v>0</v>
      </c>
      <c r="AD589" s="55">
        <f>IF(AQ589="7",BH589,0)</f>
        <v>0</v>
      </c>
      <c r="AE589" s="55">
        <f>IF(AQ589="7",BI589,0)</f>
        <v>0</v>
      </c>
      <c r="AF589" s="55">
        <f>IF(AQ589="2",BH589,0)</f>
        <v>0</v>
      </c>
      <c r="AG589" s="55">
        <f>IF(AQ589="2",BI589,0)</f>
        <v>0</v>
      </c>
      <c r="AH589" s="55">
        <f>IF(AQ589="0",BJ589,0)</f>
        <v>0</v>
      </c>
      <c r="AI589" s="34" t="s">
        <v>116</v>
      </c>
      <c r="AJ589" s="55">
        <f>IF(AN589=0,I589,0)</f>
        <v>0</v>
      </c>
      <c r="AK589" s="55">
        <f>IF(AN589=12,I589,0)</f>
        <v>0</v>
      </c>
      <c r="AL589" s="55">
        <f>IF(AN589=21,I589,0)</f>
        <v>0</v>
      </c>
      <c r="AN589" s="55">
        <v>21</v>
      </c>
      <c r="AO589" s="55">
        <f>H589*0</f>
        <v>0</v>
      </c>
      <c r="AP589" s="55">
        <f>H589*(1-0)</f>
        <v>0</v>
      </c>
      <c r="AQ589" s="58" t="s">
        <v>125</v>
      </c>
      <c r="AV589" s="55">
        <f>AW589+AX589</f>
        <v>0</v>
      </c>
      <c r="AW589" s="55">
        <f>G589*AO589</f>
        <v>0</v>
      </c>
      <c r="AX589" s="55">
        <f>G589*AP589</f>
        <v>0</v>
      </c>
      <c r="AY589" s="58" t="s">
        <v>1096</v>
      </c>
      <c r="AZ589" s="58" t="s">
        <v>1068</v>
      </c>
      <c r="BA589" s="34" t="s">
        <v>128</v>
      </c>
      <c r="BB589" s="67">
        <v>100005</v>
      </c>
      <c r="BC589" s="55">
        <f>AW589+AX589</f>
        <v>0</v>
      </c>
      <c r="BD589" s="55">
        <f>H589/(100-BE589)*100</f>
        <v>0</v>
      </c>
      <c r="BE589" s="55">
        <v>0</v>
      </c>
      <c r="BF589" s="55">
        <f>K589</f>
        <v>0.06618600000000001</v>
      </c>
      <c r="BH589" s="55">
        <f>G589*AO589</f>
        <v>0</v>
      </c>
      <c r="BI589" s="55">
        <f>G589*AP589</f>
        <v>0</v>
      </c>
      <c r="BJ589" s="55">
        <f>G589*H589</f>
        <v>0</v>
      </c>
      <c r="BK589" s="55"/>
      <c r="BL589" s="55">
        <v>713</v>
      </c>
      <c r="BW589" s="55">
        <v>21</v>
      </c>
    </row>
    <row r="590" spans="1:12" ht="14.4">
      <c r="A590" s="59"/>
      <c r="D590" s="60" t="s">
        <v>1098</v>
      </c>
      <c r="E590" s="60" t="s">
        <v>4</v>
      </c>
      <c r="G590" s="68">
        <v>367.7</v>
      </c>
      <c r="L590" s="69"/>
    </row>
    <row r="591" spans="1:75" ht="13.5" customHeight="1">
      <c r="A591" s="1" t="s">
        <v>1168</v>
      </c>
      <c r="B591" s="2" t="s">
        <v>116</v>
      </c>
      <c r="C591" s="2" t="s">
        <v>1166</v>
      </c>
      <c r="D591" s="147" t="s">
        <v>1169</v>
      </c>
      <c r="E591" s="148"/>
      <c r="F591" s="2" t="s">
        <v>729</v>
      </c>
      <c r="G591" s="55">
        <v>367.7</v>
      </c>
      <c r="H591" s="56">
        <v>0</v>
      </c>
      <c r="I591" s="55">
        <f>G591*H591</f>
        <v>0</v>
      </c>
      <c r="J591" s="55">
        <v>0.00018</v>
      </c>
      <c r="K591" s="55">
        <f>G591*J591</f>
        <v>0.06618600000000001</v>
      </c>
      <c r="L591" s="57" t="s">
        <v>124</v>
      </c>
      <c r="Z591" s="55">
        <f>IF(AQ591="5",BJ591,0)</f>
        <v>0</v>
      </c>
      <c r="AB591" s="55">
        <f>IF(AQ591="1",BH591,0)</f>
        <v>0</v>
      </c>
      <c r="AC591" s="55">
        <f>IF(AQ591="1",BI591,0)</f>
        <v>0</v>
      </c>
      <c r="AD591" s="55">
        <f>IF(AQ591="7",BH591,0)</f>
        <v>0</v>
      </c>
      <c r="AE591" s="55">
        <f>IF(AQ591="7",BI591,0)</f>
        <v>0</v>
      </c>
      <c r="AF591" s="55">
        <f>IF(AQ591="2",BH591,0)</f>
        <v>0</v>
      </c>
      <c r="AG591" s="55">
        <f>IF(AQ591="2",BI591,0)</f>
        <v>0</v>
      </c>
      <c r="AH591" s="55">
        <f>IF(AQ591="0",BJ591,0)</f>
        <v>0</v>
      </c>
      <c r="AI591" s="34" t="s">
        <v>116</v>
      </c>
      <c r="AJ591" s="55">
        <f>IF(AN591=0,I591,0)</f>
        <v>0</v>
      </c>
      <c r="AK591" s="55">
        <f>IF(AN591=12,I591,0)</f>
        <v>0</v>
      </c>
      <c r="AL591" s="55">
        <f>IF(AN591=21,I591,0)</f>
        <v>0</v>
      </c>
      <c r="AN591" s="55">
        <v>21</v>
      </c>
      <c r="AO591" s="55">
        <f>H591*0</f>
        <v>0</v>
      </c>
      <c r="AP591" s="55">
        <f>H591*(1-0)</f>
        <v>0</v>
      </c>
      <c r="AQ591" s="58" t="s">
        <v>125</v>
      </c>
      <c r="AV591" s="55">
        <f>AW591+AX591</f>
        <v>0</v>
      </c>
      <c r="AW591" s="55">
        <f>G591*AO591</f>
        <v>0</v>
      </c>
      <c r="AX591" s="55">
        <f>G591*AP591</f>
        <v>0</v>
      </c>
      <c r="AY591" s="58" t="s">
        <v>1096</v>
      </c>
      <c r="AZ591" s="58" t="s">
        <v>1068</v>
      </c>
      <c r="BA591" s="34" t="s">
        <v>128</v>
      </c>
      <c r="BB591" s="67">
        <v>100005</v>
      </c>
      <c r="BC591" s="55">
        <f>AW591+AX591</f>
        <v>0</v>
      </c>
      <c r="BD591" s="55">
        <f>H591/(100-BE591)*100</f>
        <v>0</v>
      </c>
      <c r="BE591" s="55">
        <v>0</v>
      </c>
      <c r="BF591" s="55">
        <f>K591</f>
        <v>0.06618600000000001</v>
      </c>
      <c r="BH591" s="55">
        <f>G591*AO591</f>
        <v>0</v>
      </c>
      <c r="BI591" s="55">
        <f>G591*AP591</f>
        <v>0</v>
      </c>
      <c r="BJ591" s="55">
        <f>G591*H591</f>
        <v>0</v>
      </c>
      <c r="BK591" s="55"/>
      <c r="BL591" s="55">
        <v>713</v>
      </c>
      <c r="BW591" s="55">
        <v>21</v>
      </c>
    </row>
    <row r="592" spans="1:12" ht="13.5" customHeight="1">
      <c r="A592" s="59"/>
      <c r="D592" s="218" t="s">
        <v>1170</v>
      </c>
      <c r="E592" s="219"/>
      <c r="F592" s="219"/>
      <c r="G592" s="219"/>
      <c r="H592" s="220"/>
      <c r="I592" s="219"/>
      <c r="J592" s="219"/>
      <c r="K592" s="219"/>
      <c r="L592" s="221"/>
    </row>
    <row r="593" spans="1:12" ht="14.4">
      <c r="A593" s="59"/>
      <c r="D593" s="60" t="s">
        <v>1098</v>
      </c>
      <c r="E593" s="60" t="s">
        <v>4</v>
      </c>
      <c r="G593" s="68">
        <v>367.7</v>
      </c>
      <c r="L593" s="69"/>
    </row>
    <row r="594" spans="1:75" ht="13.5" customHeight="1">
      <c r="A594" s="1" t="s">
        <v>1171</v>
      </c>
      <c r="B594" s="2" t="s">
        <v>116</v>
      </c>
      <c r="C594" s="2" t="s">
        <v>1172</v>
      </c>
      <c r="D594" s="147" t="s">
        <v>1173</v>
      </c>
      <c r="E594" s="148"/>
      <c r="F594" s="2" t="s">
        <v>729</v>
      </c>
      <c r="G594" s="55">
        <v>222.8</v>
      </c>
      <c r="H594" s="56">
        <v>0</v>
      </c>
      <c r="I594" s="55">
        <f>G594*H594</f>
        <v>0</v>
      </c>
      <c r="J594" s="55">
        <v>0.00023</v>
      </c>
      <c r="K594" s="55">
        <f>G594*J594</f>
        <v>0.051244000000000005</v>
      </c>
      <c r="L594" s="57" t="s">
        <v>785</v>
      </c>
      <c r="Z594" s="55">
        <f>IF(AQ594="5",BJ594,0)</f>
        <v>0</v>
      </c>
      <c r="AB594" s="55">
        <f>IF(AQ594="1",BH594,0)</f>
        <v>0</v>
      </c>
      <c r="AC594" s="55">
        <f>IF(AQ594="1",BI594,0)</f>
        <v>0</v>
      </c>
      <c r="AD594" s="55">
        <f>IF(AQ594="7",BH594,0)</f>
        <v>0</v>
      </c>
      <c r="AE594" s="55">
        <f>IF(AQ594="7",BI594,0)</f>
        <v>0</v>
      </c>
      <c r="AF594" s="55">
        <f>IF(AQ594="2",BH594,0)</f>
        <v>0</v>
      </c>
      <c r="AG594" s="55">
        <f>IF(AQ594="2",BI594,0)</f>
        <v>0</v>
      </c>
      <c r="AH594" s="55">
        <f>IF(AQ594="0",BJ594,0)</f>
        <v>0</v>
      </c>
      <c r="AI594" s="34" t="s">
        <v>116</v>
      </c>
      <c r="AJ594" s="55">
        <f>IF(AN594=0,I594,0)</f>
        <v>0</v>
      </c>
      <c r="AK594" s="55">
        <f>IF(AN594=12,I594,0)</f>
        <v>0</v>
      </c>
      <c r="AL594" s="55">
        <f>IF(AN594=21,I594,0)</f>
        <v>0</v>
      </c>
      <c r="AN594" s="55">
        <v>21</v>
      </c>
      <c r="AO594" s="55">
        <f>H594*0.069343131</f>
        <v>0</v>
      </c>
      <c r="AP594" s="55">
        <f>H594*(1-0.069343131)</f>
        <v>0</v>
      </c>
      <c r="AQ594" s="58" t="s">
        <v>125</v>
      </c>
      <c r="AV594" s="55">
        <f>AW594+AX594</f>
        <v>0</v>
      </c>
      <c r="AW594" s="55">
        <f>G594*AO594</f>
        <v>0</v>
      </c>
      <c r="AX594" s="55">
        <f>G594*AP594</f>
        <v>0</v>
      </c>
      <c r="AY594" s="58" t="s">
        <v>1096</v>
      </c>
      <c r="AZ594" s="58" t="s">
        <v>1068</v>
      </c>
      <c r="BA594" s="34" t="s">
        <v>128</v>
      </c>
      <c r="BB594" s="67">
        <v>100005</v>
      </c>
      <c r="BC594" s="55">
        <f>AW594+AX594</f>
        <v>0</v>
      </c>
      <c r="BD594" s="55">
        <f>H594/(100-BE594)*100</f>
        <v>0</v>
      </c>
      <c r="BE594" s="55">
        <v>0</v>
      </c>
      <c r="BF594" s="55">
        <f>K594</f>
        <v>0.051244000000000005</v>
      </c>
      <c r="BH594" s="55">
        <f>G594*AO594</f>
        <v>0</v>
      </c>
      <c r="BI594" s="55">
        <f>G594*AP594</f>
        <v>0</v>
      </c>
      <c r="BJ594" s="55">
        <f>G594*H594</f>
        <v>0</v>
      </c>
      <c r="BK594" s="55"/>
      <c r="BL594" s="55">
        <v>713</v>
      </c>
      <c r="BW594" s="55">
        <v>21</v>
      </c>
    </row>
    <row r="595" spans="1:12" ht="14.4">
      <c r="A595" s="59"/>
      <c r="D595" s="60" t="s">
        <v>1174</v>
      </c>
      <c r="E595" s="60" t="s">
        <v>1175</v>
      </c>
      <c r="G595" s="68">
        <v>49.98</v>
      </c>
      <c r="L595" s="69"/>
    </row>
    <row r="596" spans="1:12" ht="14.4">
      <c r="A596" s="59"/>
      <c r="D596" s="60" t="s">
        <v>1176</v>
      </c>
      <c r="E596" s="60" t="s">
        <v>1177</v>
      </c>
      <c r="G596" s="68">
        <v>36.8</v>
      </c>
      <c r="L596" s="69"/>
    </row>
    <row r="597" spans="1:12" ht="14.4">
      <c r="A597" s="59"/>
      <c r="D597" s="60" t="s">
        <v>1178</v>
      </c>
      <c r="E597" s="60" t="s">
        <v>1179</v>
      </c>
      <c r="G597" s="68">
        <v>69.3</v>
      </c>
      <c r="L597" s="69"/>
    </row>
    <row r="598" spans="1:12" ht="14.4">
      <c r="A598" s="59"/>
      <c r="D598" s="60" t="s">
        <v>1180</v>
      </c>
      <c r="E598" s="60" t="s">
        <v>1181</v>
      </c>
      <c r="G598" s="68">
        <v>11.02</v>
      </c>
      <c r="L598" s="69"/>
    </row>
    <row r="599" spans="1:12" ht="14.4">
      <c r="A599" s="59"/>
      <c r="D599" s="60" t="s">
        <v>920</v>
      </c>
      <c r="E599" s="60" t="s">
        <v>1182</v>
      </c>
      <c r="G599" s="68">
        <v>55.7</v>
      </c>
      <c r="L599" s="69"/>
    </row>
    <row r="600" spans="1:75" ht="13.5" customHeight="1">
      <c r="A600" s="61" t="s">
        <v>1183</v>
      </c>
      <c r="B600" s="62" t="s">
        <v>116</v>
      </c>
      <c r="C600" s="62" t="s">
        <v>1184</v>
      </c>
      <c r="D600" s="224" t="s">
        <v>1185</v>
      </c>
      <c r="E600" s="225"/>
      <c r="F600" s="62" t="s">
        <v>729</v>
      </c>
      <c r="G600" s="63">
        <v>37.9</v>
      </c>
      <c r="H600" s="64">
        <v>0</v>
      </c>
      <c r="I600" s="63">
        <f>G600*H600</f>
        <v>0</v>
      </c>
      <c r="J600" s="63">
        <v>0.00272</v>
      </c>
      <c r="K600" s="63">
        <f>G600*J600</f>
        <v>0.103088</v>
      </c>
      <c r="L600" s="65" t="s">
        <v>785</v>
      </c>
      <c r="Z600" s="55">
        <f>IF(AQ600="5",BJ600,0)</f>
        <v>0</v>
      </c>
      <c r="AB600" s="55">
        <f>IF(AQ600="1",BH600,0)</f>
        <v>0</v>
      </c>
      <c r="AC600" s="55">
        <f>IF(AQ600="1",BI600,0)</f>
        <v>0</v>
      </c>
      <c r="AD600" s="55">
        <f>IF(AQ600="7",BH600,0)</f>
        <v>0</v>
      </c>
      <c r="AE600" s="55">
        <f>IF(AQ600="7",BI600,0)</f>
        <v>0</v>
      </c>
      <c r="AF600" s="55">
        <f>IF(AQ600="2",BH600,0)</f>
        <v>0</v>
      </c>
      <c r="AG600" s="55">
        <f>IF(AQ600="2",BI600,0)</f>
        <v>0</v>
      </c>
      <c r="AH600" s="55">
        <f>IF(AQ600="0",BJ600,0)</f>
        <v>0</v>
      </c>
      <c r="AI600" s="34" t="s">
        <v>116</v>
      </c>
      <c r="AJ600" s="63">
        <f>IF(AN600=0,I600,0)</f>
        <v>0</v>
      </c>
      <c r="AK600" s="63">
        <f>IF(AN600=12,I600,0)</f>
        <v>0</v>
      </c>
      <c r="AL600" s="63">
        <f>IF(AN600=21,I600,0)</f>
        <v>0</v>
      </c>
      <c r="AN600" s="55">
        <v>21</v>
      </c>
      <c r="AO600" s="55">
        <f>H600*1</f>
        <v>0</v>
      </c>
      <c r="AP600" s="55">
        <f>H600*(1-1)</f>
        <v>0</v>
      </c>
      <c r="AQ600" s="66" t="s">
        <v>125</v>
      </c>
      <c r="AV600" s="55">
        <f>AW600+AX600</f>
        <v>0</v>
      </c>
      <c r="AW600" s="55">
        <f>G600*AO600</f>
        <v>0</v>
      </c>
      <c r="AX600" s="55">
        <f>G600*AP600</f>
        <v>0</v>
      </c>
      <c r="AY600" s="58" t="s">
        <v>1096</v>
      </c>
      <c r="AZ600" s="58" t="s">
        <v>1068</v>
      </c>
      <c r="BA600" s="34" t="s">
        <v>128</v>
      </c>
      <c r="BC600" s="55">
        <f>AW600+AX600</f>
        <v>0</v>
      </c>
      <c r="BD600" s="55">
        <f>H600/(100-BE600)*100</f>
        <v>0</v>
      </c>
      <c r="BE600" s="55">
        <v>0</v>
      </c>
      <c r="BF600" s="55">
        <f>K600</f>
        <v>0.103088</v>
      </c>
      <c r="BH600" s="63">
        <f>G600*AO600</f>
        <v>0</v>
      </c>
      <c r="BI600" s="63">
        <f>G600*AP600</f>
        <v>0</v>
      </c>
      <c r="BJ600" s="63">
        <f>G600*H600</f>
        <v>0</v>
      </c>
      <c r="BK600" s="63"/>
      <c r="BL600" s="55">
        <v>713</v>
      </c>
      <c r="BW600" s="55">
        <v>21</v>
      </c>
    </row>
    <row r="601" spans="1:12" ht="14.4">
      <c r="A601" s="59"/>
      <c r="D601" s="60" t="s">
        <v>1176</v>
      </c>
      <c r="E601" s="60" t="s">
        <v>4</v>
      </c>
      <c r="G601" s="68">
        <v>36.8</v>
      </c>
      <c r="L601" s="69"/>
    </row>
    <row r="602" spans="1:12" ht="14.4">
      <c r="A602" s="59"/>
      <c r="D602" s="60" t="s">
        <v>1186</v>
      </c>
      <c r="E602" s="60" t="s">
        <v>4</v>
      </c>
      <c r="G602" s="68">
        <v>1.1</v>
      </c>
      <c r="L602" s="69"/>
    </row>
    <row r="603" spans="1:75" ht="13.5" customHeight="1">
      <c r="A603" s="61" t="s">
        <v>1187</v>
      </c>
      <c r="B603" s="62" t="s">
        <v>116</v>
      </c>
      <c r="C603" s="62" t="s">
        <v>1188</v>
      </c>
      <c r="D603" s="224" t="s">
        <v>1189</v>
      </c>
      <c r="E603" s="225"/>
      <c r="F603" s="62" t="s">
        <v>729</v>
      </c>
      <c r="G603" s="63">
        <v>57.37</v>
      </c>
      <c r="H603" s="64">
        <v>0</v>
      </c>
      <c r="I603" s="63">
        <f>G603*H603</f>
        <v>0</v>
      </c>
      <c r="J603" s="63">
        <v>0.0017</v>
      </c>
      <c r="K603" s="63">
        <f>G603*J603</f>
        <v>0.09752899999999999</v>
      </c>
      <c r="L603" s="65" t="s">
        <v>785</v>
      </c>
      <c r="Z603" s="55">
        <f>IF(AQ603="5",BJ603,0)</f>
        <v>0</v>
      </c>
      <c r="AB603" s="55">
        <f>IF(AQ603="1",BH603,0)</f>
        <v>0</v>
      </c>
      <c r="AC603" s="55">
        <f>IF(AQ603="1",BI603,0)</f>
        <v>0</v>
      </c>
      <c r="AD603" s="55">
        <f>IF(AQ603="7",BH603,0)</f>
        <v>0</v>
      </c>
      <c r="AE603" s="55">
        <f>IF(AQ603="7",BI603,0)</f>
        <v>0</v>
      </c>
      <c r="AF603" s="55">
        <f>IF(AQ603="2",BH603,0)</f>
        <v>0</v>
      </c>
      <c r="AG603" s="55">
        <f>IF(AQ603="2",BI603,0)</f>
        <v>0</v>
      </c>
      <c r="AH603" s="55">
        <f>IF(AQ603="0",BJ603,0)</f>
        <v>0</v>
      </c>
      <c r="AI603" s="34" t="s">
        <v>116</v>
      </c>
      <c r="AJ603" s="63">
        <f>IF(AN603=0,I603,0)</f>
        <v>0</v>
      </c>
      <c r="AK603" s="63">
        <f>IF(AN603=12,I603,0)</f>
        <v>0</v>
      </c>
      <c r="AL603" s="63">
        <f>IF(AN603=21,I603,0)</f>
        <v>0</v>
      </c>
      <c r="AN603" s="55">
        <v>21</v>
      </c>
      <c r="AO603" s="55">
        <f>H603*1</f>
        <v>0</v>
      </c>
      <c r="AP603" s="55">
        <f>H603*(1-1)</f>
        <v>0</v>
      </c>
      <c r="AQ603" s="66" t="s">
        <v>125</v>
      </c>
      <c r="AV603" s="55">
        <f>AW603+AX603</f>
        <v>0</v>
      </c>
      <c r="AW603" s="55">
        <f>G603*AO603</f>
        <v>0</v>
      </c>
      <c r="AX603" s="55">
        <f>G603*AP603</f>
        <v>0</v>
      </c>
      <c r="AY603" s="58" t="s">
        <v>1096</v>
      </c>
      <c r="AZ603" s="58" t="s">
        <v>1068</v>
      </c>
      <c r="BA603" s="34" t="s">
        <v>128</v>
      </c>
      <c r="BC603" s="55">
        <f>AW603+AX603</f>
        <v>0</v>
      </c>
      <c r="BD603" s="55">
        <f>H603/(100-BE603)*100</f>
        <v>0</v>
      </c>
      <c r="BE603" s="55">
        <v>0</v>
      </c>
      <c r="BF603" s="55">
        <f>K603</f>
        <v>0.09752899999999999</v>
      </c>
      <c r="BH603" s="63">
        <f>G603*AO603</f>
        <v>0</v>
      </c>
      <c r="BI603" s="63">
        <f>G603*AP603</f>
        <v>0</v>
      </c>
      <c r="BJ603" s="63">
        <f>G603*H603</f>
        <v>0</v>
      </c>
      <c r="BK603" s="63"/>
      <c r="BL603" s="55">
        <v>713</v>
      </c>
      <c r="BW603" s="55">
        <v>21</v>
      </c>
    </row>
    <row r="604" spans="1:12" ht="14.4">
      <c r="A604" s="59"/>
      <c r="D604" s="60" t="s">
        <v>920</v>
      </c>
      <c r="E604" s="60" t="s">
        <v>4</v>
      </c>
      <c r="G604" s="68">
        <v>55.7</v>
      </c>
      <c r="L604" s="69"/>
    </row>
    <row r="605" spans="1:12" ht="14.4">
      <c r="A605" s="59"/>
      <c r="D605" s="60" t="s">
        <v>1190</v>
      </c>
      <c r="E605" s="60" t="s">
        <v>4</v>
      </c>
      <c r="G605" s="68">
        <v>1.67</v>
      </c>
      <c r="L605" s="69"/>
    </row>
    <row r="606" spans="1:75" ht="13.5" customHeight="1">
      <c r="A606" s="61" t="s">
        <v>1191</v>
      </c>
      <c r="B606" s="62" t="s">
        <v>116</v>
      </c>
      <c r="C606" s="62" t="s">
        <v>1192</v>
      </c>
      <c r="D606" s="224" t="s">
        <v>1193</v>
      </c>
      <c r="E606" s="225"/>
      <c r="F606" s="62" t="s">
        <v>729</v>
      </c>
      <c r="G606" s="63">
        <v>82.73</v>
      </c>
      <c r="H606" s="64">
        <v>0</v>
      </c>
      <c r="I606" s="63">
        <f>G606*H606</f>
        <v>0</v>
      </c>
      <c r="J606" s="63">
        <v>0.00204</v>
      </c>
      <c r="K606" s="63">
        <f>G606*J606</f>
        <v>0.1687692</v>
      </c>
      <c r="L606" s="65" t="s">
        <v>785</v>
      </c>
      <c r="Z606" s="55">
        <f>IF(AQ606="5",BJ606,0)</f>
        <v>0</v>
      </c>
      <c r="AB606" s="55">
        <f>IF(AQ606="1",BH606,0)</f>
        <v>0</v>
      </c>
      <c r="AC606" s="55">
        <f>IF(AQ606="1",BI606,0)</f>
        <v>0</v>
      </c>
      <c r="AD606" s="55">
        <f>IF(AQ606="7",BH606,0)</f>
        <v>0</v>
      </c>
      <c r="AE606" s="55">
        <f>IF(AQ606="7",BI606,0)</f>
        <v>0</v>
      </c>
      <c r="AF606" s="55">
        <f>IF(AQ606="2",BH606,0)</f>
        <v>0</v>
      </c>
      <c r="AG606" s="55">
        <f>IF(AQ606="2",BI606,0)</f>
        <v>0</v>
      </c>
      <c r="AH606" s="55">
        <f>IF(AQ606="0",BJ606,0)</f>
        <v>0</v>
      </c>
      <c r="AI606" s="34" t="s">
        <v>116</v>
      </c>
      <c r="AJ606" s="63">
        <f>IF(AN606=0,I606,0)</f>
        <v>0</v>
      </c>
      <c r="AK606" s="63">
        <f>IF(AN606=12,I606,0)</f>
        <v>0</v>
      </c>
      <c r="AL606" s="63">
        <f>IF(AN606=21,I606,0)</f>
        <v>0</v>
      </c>
      <c r="AN606" s="55">
        <v>21</v>
      </c>
      <c r="AO606" s="55">
        <f>H606*1</f>
        <v>0</v>
      </c>
      <c r="AP606" s="55">
        <f>H606*(1-1)</f>
        <v>0</v>
      </c>
      <c r="AQ606" s="66" t="s">
        <v>125</v>
      </c>
      <c r="AV606" s="55">
        <f>AW606+AX606</f>
        <v>0</v>
      </c>
      <c r="AW606" s="55">
        <f>G606*AO606</f>
        <v>0</v>
      </c>
      <c r="AX606" s="55">
        <f>G606*AP606</f>
        <v>0</v>
      </c>
      <c r="AY606" s="58" t="s">
        <v>1096</v>
      </c>
      <c r="AZ606" s="58" t="s">
        <v>1068</v>
      </c>
      <c r="BA606" s="34" t="s">
        <v>128</v>
      </c>
      <c r="BC606" s="55">
        <f>AW606+AX606</f>
        <v>0</v>
      </c>
      <c r="BD606" s="55">
        <f>H606/(100-BE606)*100</f>
        <v>0</v>
      </c>
      <c r="BE606" s="55">
        <v>0</v>
      </c>
      <c r="BF606" s="55">
        <f>K606</f>
        <v>0.1687692</v>
      </c>
      <c r="BH606" s="63">
        <f>G606*AO606</f>
        <v>0</v>
      </c>
      <c r="BI606" s="63">
        <f>G606*AP606</f>
        <v>0</v>
      </c>
      <c r="BJ606" s="63">
        <f>G606*H606</f>
        <v>0</v>
      </c>
      <c r="BK606" s="63"/>
      <c r="BL606" s="55">
        <v>713</v>
      </c>
      <c r="BW606" s="55">
        <v>21</v>
      </c>
    </row>
    <row r="607" spans="1:12" ht="14.4">
      <c r="A607" s="59"/>
      <c r="D607" s="60" t="s">
        <v>1194</v>
      </c>
      <c r="E607" s="60" t="s">
        <v>4</v>
      </c>
      <c r="G607" s="68">
        <v>80.32</v>
      </c>
      <c r="L607" s="69"/>
    </row>
    <row r="608" spans="1:12" ht="14.4">
      <c r="A608" s="59"/>
      <c r="D608" s="60" t="s">
        <v>1195</v>
      </c>
      <c r="E608" s="60" t="s">
        <v>4</v>
      </c>
      <c r="G608" s="68">
        <v>2.41</v>
      </c>
      <c r="L608" s="69"/>
    </row>
    <row r="609" spans="1:75" ht="13.5" customHeight="1">
      <c r="A609" s="61" t="s">
        <v>1196</v>
      </c>
      <c r="B609" s="62" t="s">
        <v>116</v>
      </c>
      <c r="C609" s="62" t="s">
        <v>1197</v>
      </c>
      <c r="D609" s="224" t="s">
        <v>1198</v>
      </c>
      <c r="E609" s="225"/>
      <c r="F609" s="62" t="s">
        <v>729</v>
      </c>
      <c r="G609" s="63">
        <v>51.5</v>
      </c>
      <c r="H609" s="64">
        <v>0</v>
      </c>
      <c r="I609" s="63">
        <f>G609*H609</f>
        <v>0</v>
      </c>
      <c r="J609" s="63">
        <v>0.00136</v>
      </c>
      <c r="K609" s="63">
        <f>G609*J609</f>
        <v>0.07004</v>
      </c>
      <c r="L609" s="65" t="s">
        <v>785</v>
      </c>
      <c r="Z609" s="55">
        <f>IF(AQ609="5",BJ609,0)</f>
        <v>0</v>
      </c>
      <c r="AB609" s="55">
        <f>IF(AQ609="1",BH609,0)</f>
        <v>0</v>
      </c>
      <c r="AC609" s="55">
        <f>IF(AQ609="1",BI609,0)</f>
        <v>0</v>
      </c>
      <c r="AD609" s="55">
        <f>IF(AQ609="7",BH609,0)</f>
        <v>0</v>
      </c>
      <c r="AE609" s="55">
        <f>IF(AQ609="7",BI609,0)</f>
        <v>0</v>
      </c>
      <c r="AF609" s="55">
        <f>IF(AQ609="2",BH609,0)</f>
        <v>0</v>
      </c>
      <c r="AG609" s="55">
        <f>IF(AQ609="2",BI609,0)</f>
        <v>0</v>
      </c>
      <c r="AH609" s="55">
        <f>IF(AQ609="0",BJ609,0)</f>
        <v>0</v>
      </c>
      <c r="AI609" s="34" t="s">
        <v>116</v>
      </c>
      <c r="AJ609" s="63">
        <f>IF(AN609=0,I609,0)</f>
        <v>0</v>
      </c>
      <c r="AK609" s="63">
        <f>IF(AN609=12,I609,0)</f>
        <v>0</v>
      </c>
      <c r="AL609" s="63">
        <f>IF(AN609=21,I609,0)</f>
        <v>0</v>
      </c>
      <c r="AN609" s="55">
        <v>21</v>
      </c>
      <c r="AO609" s="55">
        <f>H609*1</f>
        <v>0</v>
      </c>
      <c r="AP609" s="55">
        <f>H609*(1-1)</f>
        <v>0</v>
      </c>
      <c r="AQ609" s="66" t="s">
        <v>125</v>
      </c>
      <c r="AV609" s="55">
        <f>AW609+AX609</f>
        <v>0</v>
      </c>
      <c r="AW609" s="55">
        <f>G609*AO609</f>
        <v>0</v>
      </c>
      <c r="AX609" s="55">
        <f>G609*AP609</f>
        <v>0</v>
      </c>
      <c r="AY609" s="58" t="s">
        <v>1096</v>
      </c>
      <c r="AZ609" s="58" t="s">
        <v>1068</v>
      </c>
      <c r="BA609" s="34" t="s">
        <v>128</v>
      </c>
      <c r="BC609" s="55">
        <f>AW609+AX609</f>
        <v>0</v>
      </c>
      <c r="BD609" s="55">
        <f>H609/(100-BE609)*100</f>
        <v>0</v>
      </c>
      <c r="BE609" s="55">
        <v>0</v>
      </c>
      <c r="BF609" s="55">
        <f>K609</f>
        <v>0.07004</v>
      </c>
      <c r="BH609" s="63">
        <f>G609*AO609</f>
        <v>0</v>
      </c>
      <c r="BI609" s="63">
        <f>G609*AP609</f>
        <v>0</v>
      </c>
      <c r="BJ609" s="63">
        <f>G609*H609</f>
        <v>0</v>
      </c>
      <c r="BK609" s="63"/>
      <c r="BL609" s="55">
        <v>713</v>
      </c>
      <c r="BW609" s="55">
        <v>21</v>
      </c>
    </row>
    <row r="610" spans="1:12" ht="14.4">
      <c r="A610" s="59"/>
      <c r="D610" s="60" t="s">
        <v>280</v>
      </c>
      <c r="E610" s="60" t="s">
        <v>4</v>
      </c>
      <c r="G610" s="68">
        <v>50</v>
      </c>
      <c r="L610" s="69"/>
    </row>
    <row r="611" spans="1:12" ht="14.4">
      <c r="A611" s="59"/>
      <c r="D611" s="60" t="s">
        <v>1199</v>
      </c>
      <c r="E611" s="60" t="s">
        <v>4</v>
      </c>
      <c r="G611" s="68">
        <v>1.5</v>
      </c>
      <c r="L611" s="69"/>
    </row>
    <row r="612" spans="1:75" ht="13.5" customHeight="1">
      <c r="A612" s="1" t="s">
        <v>1200</v>
      </c>
      <c r="B612" s="2" t="s">
        <v>116</v>
      </c>
      <c r="C612" s="2" t="s">
        <v>1201</v>
      </c>
      <c r="D612" s="147" t="s">
        <v>1202</v>
      </c>
      <c r="E612" s="148"/>
      <c r="F612" s="2" t="s">
        <v>729</v>
      </c>
      <c r="G612" s="55">
        <v>158.2</v>
      </c>
      <c r="H612" s="56">
        <v>0</v>
      </c>
      <c r="I612" s="55">
        <f>G612*H612</f>
        <v>0</v>
      </c>
      <c r="J612" s="55">
        <v>0.00022</v>
      </c>
      <c r="K612" s="55">
        <f>G612*J612</f>
        <v>0.034804</v>
      </c>
      <c r="L612" s="57" t="s">
        <v>785</v>
      </c>
      <c r="Z612" s="55">
        <f>IF(AQ612="5",BJ612,0)</f>
        <v>0</v>
      </c>
      <c r="AB612" s="55">
        <f>IF(AQ612="1",BH612,0)</f>
        <v>0</v>
      </c>
      <c r="AC612" s="55">
        <f>IF(AQ612="1",BI612,0)</f>
        <v>0</v>
      </c>
      <c r="AD612" s="55">
        <f>IF(AQ612="7",BH612,0)</f>
        <v>0</v>
      </c>
      <c r="AE612" s="55">
        <f>IF(AQ612="7",BI612,0)</f>
        <v>0</v>
      </c>
      <c r="AF612" s="55">
        <f>IF(AQ612="2",BH612,0)</f>
        <v>0</v>
      </c>
      <c r="AG612" s="55">
        <f>IF(AQ612="2",BI612,0)</f>
        <v>0</v>
      </c>
      <c r="AH612" s="55">
        <f>IF(AQ612="0",BJ612,0)</f>
        <v>0</v>
      </c>
      <c r="AI612" s="34" t="s">
        <v>116</v>
      </c>
      <c r="AJ612" s="55">
        <f>IF(AN612=0,I612,0)</f>
        <v>0</v>
      </c>
      <c r="AK612" s="55">
        <f>IF(AN612=12,I612,0)</f>
        <v>0</v>
      </c>
      <c r="AL612" s="55">
        <f>IF(AN612=21,I612,0)</f>
        <v>0</v>
      </c>
      <c r="AN612" s="55">
        <v>21</v>
      </c>
      <c r="AO612" s="55">
        <f>H612*0.584842105</f>
        <v>0</v>
      </c>
      <c r="AP612" s="55">
        <f>H612*(1-0.584842105)</f>
        <v>0</v>
      </c>
      <c r="AQ612" s="58" t="s">
        <v>125</v>
      </c>
      <c r="AV612" s="55">
        <f>AW612+AX612</f>
        <v>0</v>
      </c>
      <c r="AW612" s="55">
        <f>G612*AO612</f>
        <v>0</v>
      </c>
      <c r="AX612" s="55">
        <f>G612*AP612</f>
        <v>0</v>
      </c>
      <c r="AY612" s="58" t="s">
        <v>1096</v>
      </c>
      <c r="AZ612" s="58" t="s">
        <v>1068</v>
      </c>
      <c r="BA612" s="34" t="s">
        <v>128</v>
      </c>
      <c r="BB612" s="67">
        <v>100005</v>
      </c>
      <c r="BC612" s="55">
        <f>AW612+AX612</f>
        <v>0</v>
      </c>
      <c r="BD612" s="55">
        <f>H612/(100-BE612)*100</f>
        <v>0</v>
      </c>
      <c r="BE612" s="55">
        <v>0</v>
      </c>
      <c r="BF612" s="55">
        <f>K612</f>
        <v>0.034804</v>
      </c>
      <c r="BH612" s="55">
        <f>G612*AO612</f>
        <v>0</v>
      </c>
      <c r="BI612" s="55">
        <f>G612*AP612</f>
        <v>0</v>
      </c>
      <c r="BJ612" s="55">
        <f>G612*H612</f>
        <v>0</v>
      </c>
      <c r="BK612" s="55"/>
      <c r="BL612" s="55">
        <v>713</v>
      </c>
      <c r="BW612" s="55">
        <v>21</v>
      </c>
    </row>
    <row r="613" spans="1:12" ht="13.5" customHeight="1">
      <c r="A613" s="59"/>
      <c r="D613" s="218" t="s">
        <v>1203</v>
      </c>
      <c r="E613" s="219"/>
      <c r="F613" s="219"/>
      <c r="G613" s="219"/>
      <c r="H613" s="220"/>
      <c r="I613" s="219"/>
      <c r="J613" s="219"/>
      <c r="K613" s="219"/>
      <c r="L613" s="221"/>
    </row>
    <row r="614" spans="1:12" ht="14.4">
      <c r="A614" s="59"/>
      <c r="D614" s="60" t="s">
        <v>1204</v>
      </c>
      <c r="E614" s="60" t="s">
        <v>1205</v>
      </c>
      <c r="G614" s="68">
        <v>55.7</v>
      </c>
      <c r="L614" s="69"/>
    </row>
    <row r="615" spans="1:12" ht="14.4">
      <c r="A615" s="59"/>
      <c r="D615" s="60" t="s">
        <v>289</v>
      </c>
      <c r="E615" s="60" t="s">
        <v>1206</v>
      </c>
      <c r="G615" s="68">
        <v>53</v>
      </c>
      <c r="L615" s="69"/>
    </row>
    <row r="616" spans="1:12" ht="14.4">
      <c r="A616" s="59"/>
      <c r="D616" s="60" t="s">
        <v>1207</v>
      </c>
      <c r="E616" s="60" t="s">
        <v>1208</v>
      </c>
      <c r="G616" s="68">
        <v>49.5</v>
      </c>
      <c r="L616" s="69"/>
    </row>
    <row r="617" spans="1:75" ht="13.5" customHeight="1">
      <c r="A617" s="1" t="s">
        <v>1209</v>
      </c>
      <c r="B617" s="2" t="s">
        <v>116</v>
      </c>
      <c r="C617" s="2" t="s">
        <v>1210</v>
      </c>
      <c r="D617" s="147" t="s">
        <v>1211</v>
      </c>
      <c r="E617" s="148"/>
      <c r="F617" s="2" t="s">
        <v>729</v>
      </c>
      <c r="G617" s="55">
        <v>247.7</v>
      </c>
      <c r="H617" s="56">
        <v>0</v>
      </c>
      <c r="I617" s="55">
        <f>G617*H617</f>
        <v>0</v>
      </c>
      <c r="J617" s="55">
        <v>0</v>
      </c>
      <c r="K617" s="55">
        <f>G617*J617</f>
        <v>0</v>
      </c>
      <c r="L617" s="57" t="s">
        <v>785</v>
      </c>
      <c r="Z617" s="55">
        <f>IF(AQ617="5",BJ617,0)</f>
        <v>0</v>
      </c>
      <c r="AB617" s="55">
        <f>IF(AQ617="1",BH617,0)</f>
        <v>0</v>
      </c>
      <c r="AC617" s="55">
        <f>IF(AQ617="1",BI617,0)</f>
        <v>0</v>
      </c>
      <c r="AD617" s="55">
        <f>IF(AQ617="7",BH617,0)</f>
        <v>0</v>
      </c>
      <c r="AE617" s="55">
        <f>IF(AQ617="7",BI617,0)</f>
        <v>0</v>
      </c>
      <c r="AF617" s="55">
        <f>IF(AQ617="2",BH617,0)</f>
        <v>0</v>
      </c>
      <c r="AG617" s="55">
        <f>IF(AQ617="2",BI617,0)</f>
        <v>0</v>
      </c>
      <c r="AH617" s="55">
        <f>IF(AQ617="0",BJ617,0)</f>
        <v>0</v>
      </c>
      <c r="AI617" s="34" t="s">
        <v>116</v>
      </c>
      <c r="AJ617" s="55">
        <f>IF(AN617=0,I617,0)</f>
        <v>0</v>
      </c>
      <c r="AK617" s="55">
        <f>IF(AN617=12,I617,0)</f>
        <v>0</v>
      </c>
      <c r="AL617" s="55">
        <f>IF(AN617=21,I617,0)</f>
        <v>0</v>
      </c>
      <c r="AN617" s="55">
        <v>21</v>
      </c>
      <c r="AO617" s="55">
        <f>H617*0</f>
        <v>0</v>
      </c>
      <c r="AP617" s="55">
        <f>H617*(1-0)</f>
        <v>0</v>
      </c>
      <c r="AQ617" s="58" t="s">
        <v>125</v>
      </c>
      <c r="AV617" s="55">
        <f>AW617+AX617</f>
        <v>0</v>
      </c>
      <c r="AW617" s="55">
        <f>G617*AO617</f>
        <v>0</v>
      </c>
      <c r="AX617" s="55">
        <f>G617*AP617</f>
        <v>0</v>
      </c>
      <c r="AY617" s="58" t="s">
        <v>1096</v>
      </c>
      <c r="AZ617" s="58" t="s">
        <v>1068</v>
      </c>
      <c r="BA617" s="34" t="s">
        <v>128</v>
      </c>
      <c r="BB617" s="67">
        <v>100005</v>
      </c>
      <c r="BC617" s="55">
        <f>AW617+AX617</f>
        <v>0</v>
      </c>
      <c r="BD617" s="55">
        <f>H617/(100-BE617)*100</f>
        <v>0</v>
      </c>
      <c r="BE617" s="55">
        <v>0</v>
      </c>
      <c r="BF617" s="55">
        <f>K617</f>
        <v>0</v>
      </c>
      <c r="BH617" s="55">
        <f>G617*AO617</f>
        <v>0</v>
      </c>
      <c r="BI617" s="55">
        <f>G617*AP617</f>
        <v>0</v>
      </c>
      <c r="BJ617" s="55">
        <f>G617*H617</f>
        <v>0</v>
      </c>
      <c r="BK617" s="55"/>
      <c r="BL617" s="55">
        <v>713</v>
      </c>
      <c r="BW617" s="55">
        <v>21</v>
      </c>
    </row>
    <row r="618" spans="1:12" ht="13.5" customHeight="1">
      <c r="A618" s="59"/>
      <c r="D618" s="218" t="s">
        <v>1212</v>
      </c>
      <c r="E618" s="219"/>
      <c r="F618" s="219"/>
      <c r="G618" s="219"/>
      <c r="H618" s="220"/>
      <c r="I618" s="219"/>
      <c r="J618" s="219"/>
      <c r="K618" s="219"/>
      <c r="L618" s="221"/>
    </row>
    <row r="619" spans="1:12" ht="14.4">
      <c r="A619" s="59"/>
      <c r="D619" s="60" t="s">
        <v>1160</v>
      </c>
      <c r="E619" s="60" t="s">
        <v>4</v>
      </c>
      <c r="G619" s="68">
        <v>247.7</v>
      </c>
      <c r="L619" s="69"/>
    </row>
    <row r="620" spans="1:75" ht="13.5" customHeight="1">
      <c r="A620" s="61" t="s">
        <v>1213</v>
      </c>
      <c r="B620" s="62" t="s">
        <v>116</v>
      </c>
      <c r="C620" s="62" t="s">
        <v>1214</v>
      </c>
      <c r="D620" s="224" t="s">
        <v>1215</v>
      </c>
      <c r="E620" s="225"/>
      <c r="F620" s="62" t="s">
        <v>729</v>
      </c>
      <c r="G620" s="63">
        <v>255.13</v>
      </c>
      <c r="H620" s="64">
        <v>0</v>
      </c>
      <c r="I620" s="63">
        <f>G620*H620</f>
        <v>0</v>
      </c>
      <c r="J620" s="63">
        <v>0.00144</v>
      </c>
      <c r="K620" s="63">
        <f>G620*J620</f>
        <v>0.3673872</v>
      </c>
      <c r="L620" s="65" t="s">
        <v>785</v>
      </c>
      <c r="Z620" s="55">
        <f>IF(AQ620="5",BJ620,0)</f>
        <v>0</v>
      </c>
      <c r="AB620" s="55">
        <f>IF(AQ620="1",BH620,0)</f>
        <v>0</v>
      </c>
      <c r="AC620" s="55">
        <f>IF(AQ620="1",BI620,0)</f>
        <v>0</v>
      </c>
      <c r="AD620" s="55">
        <f>IF(AQ620="7",BH620,0)</f>
        <v>0</v>
      </c>
      <c r="AE620" s="55">
        <f>IF(AQ620="7",BI620,0)</f>
        <v>0</v>
      </c>
      <c r="AF620" s="55">
        <f>IF(AQ620="2",BH620,0)</f>
        <v>0</v>
      </c>
      <c r="AG620" s="55">
        <f>IF(AQ620="2",BI620,0)</f>
        <v>0</v>
      </c>
      <c r="AH620" s="55">
        <f>IF(AQ620="0",BJ620,0)</f>
        <v>0</v>
      </c>
      <c r="AI620" s="34" t="s">
        <v>116</v>
      </c>
      <c r="AJ620" s="63">
        <f>IF(AN620=0,I620,0)</f>
        <v>0</v>
      </c>
      <c r="AK620" s="63">
        <f>IF(AN620=12,I620,0)</f>
        <v>0</v>
      </c>
      <c r="AL620" s="63">
        <f>IF(AN620=21,I620,0)</f>
        <v>0</v>
      </c>
      <c r="AN620" s="55">
        <v>21</v>
      </c>
      <c r="AO620" s="55">
        <f>H620*1</f>
        <v>0</v>
      </c>
      <c r="AP620" s="55">
        <f>H620*(1-1)</f>
        <v>0</v>
      </c>
      <c r="AQ620" s="66" t="s">
        <v>125</v>
      </c>
      <c r="AV620" s="55">
        <f>AW620+AX620</f>
        <v>0</v>
      </c>
      <c r="AW620" s="55">
        <f>G620*AO620</f>
        <v>0</v>
      </c>
      <c r="AX620" s="55">
        <f>G620*AP620</f>
        <v>0</v>
      </c>
      <c r="AY620" s="58" t="s">
        <v>1096</v>
      </c>
      <c r="AZ620" s="58" t="s">
        <v>1068</v>
      </c>
      <c r="BA620" s="34" t="s">
        <v>128</v>
      </c>
      <c r="BC620" s="55">
        <f>AW620+AX620</f>
        <v>0</v>
      </c>
      <c r="BD620" s="55">
        <f>H620/(100-BE620)*100</f>
        <v>0</v>
      </c>
      <c r="BE620" s="55">
        <v>0</v>
      </c>
      <c r="BF620" s="55">
        <f>K620</f>
        <v>0.3673872</v>
      </c>
      <c r="BH620" s="63">
        <f>G620*AO620</f>
        <v>0</v>
      </c>
      <c r="BI620" s="63">
        <f>G620*AP620</f>
        <v>0</v>
      </c>
      <c r="BJ620" s="63">
        <f>G620*H620</f>
        <v>0</v>
      </c>
      <c r="BK620" s="63"/>
      <c r="BL620" s="55">
        <v>713</v>
      </c>
      <c r="BW620" s="55">
        <v>21</v>
      </c>
    </row>
    <row r="621" spans="1:12" ht="14.4">
      <c r="A621" s="59"/>
      <c r="D621" s="60" t="s">
        <v>1160</v>
      </c>
      <c r="E621" s="60" t="s">
        <v>4</v>
      </c>
      <c r="G621" s="68">
        <v>247.7</v>
      </c>
      <c r="L621" s="69"/>
    </row>
    <row r="622" spans="1:12" ht="14.4">
      <c r="A622" s="59"/>
      <c r="D622" s="60" t="s">
        <v>1216</v>
      </c>
      <c r="E622" s="60" t="s">
        <v>4</v>
      </c>
      <c r="G622" s="68">
        <v>7.43</v>
      </c>
      <c r="L622" s="69"/>
    </row>
    <row r="623" spans="1:75" ht="13.5" customHeight="1">
      <c r="A623" s="61" t="s">
        <v>1217</v>
      </c>
      <c r="B623" s="62" t="s">
        <v>116</v>
      </c>
      <c r="C623" s="62" t="s">
        <v>1218</v>
      </c>
      <c r="D623" s="224" t="s">
        <v>1219</v>
      </c>
      <c r="E623" s="225"/>
      <c r="F623" s="62" t="s">
        <v>729</v>
      </c>
      <c r="G623" s="63">
        <v>255.13</v>
      </c>
      <c r="H623" s="64">
        <v>0</v>
      </c>
      <c r="I623" s="63">
        <f>G623*H623</f>
        <v>0</v>
      </c>
      <c r="J623" s="63">
        <v>0.00216</v>
      </c>
      <c r="K623" s="63">
        <f>G623*J623</f>
        <v>0.5510808</v>
      </c>
      <c r="L623" s="65" t="s">
        <v>785</v>
      </c>
      <c r="Z623" s="55">
        <f>IF(AQ623="5",BJ623,0)</f>
        <v>0</v>
      </c>
      <c r="AB623" s="55">
        <f>IF(AQ623="1",BH623,0)</f>
        <v>0</v>
      </c>
      <c r="AC623" s="55">
        <f>IF(AQ623="1",BI623,0)</f>
        <v>0</v>
      </c>
      <c r="AD623" s="55">
        <f>IF(AQ623="7",BH623,0)</f>
        <v>0</v>
      </c>
      <c r="AE623" s="55">
        <f>IF(AQ623="7",BI623,0)</f>
        <v>0</v>
      </c>
      <c r="AF623" s="55">
        <f>IF(AQ623="2",BH623,0)</f>
        <v>0</v>
      </c>
      <c r="AG623" s="55">
        <f>IF(AQ623="2",BI623,0)</f>
        <v>0</v>
      </c>
      <c r="AH623" s="55">
        <f>IF(AQ623="0",BJ623,0)</f>
        <v>0</v>
      </c>
      <c r="AI623" s="34" t="s">
        <v>116</v>
      </c>
      <c r="AJ623" s="63">
        <f>IF(AN623=0,I623,0)</f>
        <v>0</v>
      </c>
      <c r="AK623" s="63">
        <f>IF(AN623=12,I623,0)</f>
        <v>0</v>
      </c>
      <c r="AL623" s="63">
        <f>IF(AN623=21,I623,0)</f>
        <v>0</v>
      </c>
      <c r="AN623" s="55">
        <v>21</v>
      </c>
      <c r="AO623" s="55">
        <f>H623*1</f>
        <v>0</v>
      </c>
      <c r="AP623" s="55">
        <f>H623*(1-1)</f>
        <v>0</v>
      </c>
      <c r="AQ623" s="66" t="s">
        <v>125</v>
      </c>
      <c r="AV623" s="55">
        <f>AW623+AX623</f>
        <v>0</v>
      </c>
      <c r="AW623" s="55">
        <f>G623*AO623</f>
        <v>0</v>
      </c>
      <c r="AX623" s="55">
        <f>G623*AP623</f>
        <v>0</v>
      </c>
      <c r="AY623" s="58" t="s">
        <v>1096</v>
      </c>
      <c r="AZ623" s="58" t="s">
        <v>1068</v>
      </c>
      <c r="BA623" s="34" t="s">
        <v>128</v>
      </c>
      <c r="BC623" s="55">
        <f>AW623+AX623</f>
        <v>0</v>
      </c>
      <c r="BD623" s="55">
        <f>H623/(100-BE623)*100</f>
        <v>0</v>
      </c>
      <c r="BE623" s="55">
        <v>0</v>
      </c>
      <c r="BF623" s="55">
        <f>K623</f>
        <v>0.5510808</v>
      </c>
      <c r="BH623" s="63">
        <f>G623*AO623</f>
        <v>0</v>
      </c>
      <c r="BI623" s="63">
        <f>G623*AP623</f>
        <v>0</v>
      </c>
      <c r="BJ623" s="63">
        <f>G623*H623</f>
        <v>0</v>
      </c>
      <c r="BK623" s="63"/>
      <c r="BL623" s="55">
        <v>713</v>
      </c>
      <c r="BW623" s="55">
        <v>21</v>
      </c>
    </row>
    <row r="624" spans="1:12" ht="14.4">
      <c r="A624" s="59"/>
      <c r="D624" s="60" t="s">
        <v>1160</v>
      </c>
      <c r="E624" s="60" t="s">
        <v>4</v>
      </c>
      <c r="G624" s="68">
        <v>247.7</v>
      </c>
      <c r="L624" s="69"/>
    </row>
    <row r="625" spans="1:12" ht="14.4">
      <c r="A625" s="59"/>
      <c r="D625" s="60" t="s">
        <v>1216</v>
      </c>
      <c r="E625" s="60" t="s">
        <v>4</v>
      </c>
      <c r="G625" s="68">
        <v>7.43</v>
      </c>
      <c r="L625" s="69"/>
    </row>
    <row r="626" spans="1:75" ht="13.5" customHeight="1">
      <c r="A626" s="1" t="s">
        <v>1220</v>
      </c>
      <c r="B626" s="2" t="s">
        <v>116</v>
      </c>
      <c r="C626" s="2" t="s">
        <v>1221</v>
      </c>
      <c r="D626" s="147" t="s">
        <v>1222</v>
      </c>
      <c r="E626" s="148"/>
      <c r="F626" s="2" t="s">
        <v>729</v>
      </c>
      <c r="G626" s="55">
        <v>163.3</v>
      </c>
      <c r="H626" s="56">
        <v>0</v>
      </c>
      <c r="I626" s="55">
        <f>G626*H626</f>
        <v>0</v>
      </c>
      <c r="J626" s="55">
        <v>0.00023</v>
      </c>
      <c r="K626" s="55">
        <f>G626*J626</f>
        <v>0.037559</v>
      </c>
      <c r="L626" s="57" t="s">
        <v>785</v>
      </c>
      <c r="Z626" s="55">
        <f>IF(AQ626="5",BJ626,0)</f>
        <v>0</v>
      </c>
      <c r="AB626" s="55">
        <f>IF(AQ626="1",BH626,0)</f>
        <v>0</v>
      </c>
      <c r="AC626" s="55">
        <f>IF(AQ626="1",BI626,0)</f>
        <v>0</v>
      </c>
      <c r="AD626" s="55">
        <f>IF(AQ626="7",BH626,0)</f>
        <v>0</v>
      </c>
      <c r="AE626" s="55">
        <f>IF(AQ626="7",BI626,0)</f>
        <v>0</v>
      </c>
      <c r="AF626" s="55">
        <f>IF(AQ626="2",BH626,0)</f>
        <v>0</v>
      </c>
      <c r="AG626" s="55">
        <f>IF(AQ626="2",BI626,0)</f>
        <v>0</v>
      </c>
      <c r="AH626" s="55">
        <f>IF(AQ626="0",BJ626,0)</f>
        <v>0</v>
      </c>
      <c r="AI626" s="34" t="s">
        <v>116</v>
      </c>
      <c r="AJ626" s="55">
        <f>IF(AN626=0,I626,0)</f>
        <v>0</v>
      </c>
      <c r="AK626" s="55">
        <f>IF(AN626=12,I626,0)</f>
        <v>0</v>
      </c>
      <c r="AL626" s="55">
        <f>IF(AN626=21,I626,0)</f>
        <v>0</v>
      </c>
      <c r="AN626" s="55">
        <v>21</v>
      </c>
      <c r="AO626" s="55">
        <f>H626*0.031971154</f>
        <v>0</v>
      </c>
      <c r="AP626" s="55">
        <f>H626*(1-0.031971154)</f>
        <v>0</v>
      </c>
      <c r="AQ626" s="58" t="s">
        <v>125</v>
      </c>
      <c r="AV626" s="55">
        <f>AW626+AX626</f>
        <v>0</v>
      </c>
      <c r="AW626" s="55">
        <f>G626*AO626</f>
        <v>0</v>
      </c>
      <c r="AX626" s="55">
        <f>G626*AP626</f>
        <v>0</v>
      </c>
      <c r="AY626" s="58" t="s">
        <v>1096</v>
      </c>
      <c r="AZ626" s="58" t="s">
        <v>1068</v>
      </c>
      <c r="BA626" s="34" t="s">
        <v>128</v>
      </c>
      <c r="BB626" s="67">
        <v>100005</v>
      </c>
      <c r="BC626" s="55">
        <f>AW626+AX626</f>
        <v>0</v>
      </c>
      <c r="BD626" s="55">
        <f>H626/(100-BE626)*100</f>
        <v>0</v>
      </c>
      <c r="BE626" s="55">
        <v>0</v>
      </c>
      <c r="BF626" s="55">
        <f>K626</f>
        <v>0.037559</v>
      </c>
      <c r="BH626" s="55">
        <f>G626*AO626</f>
        <v>0</v>
      </c>
      <c r="BI626" s="55">
        <f>G626*AP626</f>
        <v>0</v>
      </c>
      <c r="BJ626" s="55">
        <f>G626*H626</f>
        <v>0</v>
      </c>
      <c r="BK626" s="55"/>
      <c r="BL626" s="55">
        <v>713</v>
      </c>
      <c r="BW626" s="55">
        <v>21</v>
      </c>
    </row>
    <row r="627" spans="1:12" ht="13.5" customHeight="1">
      <c r="A627" s="59"/>
      <c r="D627" s="218" t="s">
        <v>1212</v>
      </c>
      <c r="E627" s="219"/>
      <c r="F627" s="219"/>
      <c r="G627" s="219"/>
      <c r="H627" s="220"/>
      <c r="I627" s="219"/>
      <c r="J627" s="219"/>
      <c r="K627" s="219"/>
      <c r="L627" s="221"/>
    </row>
    <row r="628" spans="1:12" ht="14.4">
      <c r="A628" s="59"/>
      <c r="D628" s="60" t="s">
        <v>1223</v>
      </c>
      <c r="E628" s="60" t="s">
        <v>4</v>
      </c>
      <c r="G628" s="68">
        <v>163.3</v>
      </c>
      <c r="L628" s="69"/>
    </row>
    <row r="629" spans="1:75" ht="13.5" customHeight="1">
      <c r="A629" s="61" t="s">
        <v>1224</v>
      </c>
      <c r="B629" s="62" t="s">
        <v>116</v>
      </c>
      <c r="C629" s="62" t="s">
        <v>1214</v>
      </c>
      <c r="D629" s="224" t="s">
        <v>1215</v>
      </c>
      <c r="E629" s="225"/>
      <c r="F629" s="62" t="s">
        <v>729</v>
      </c>
      <c r="G629" s="63">
        <v>339.49</v>
      </c>
      <c r="H629" s="64">
        <v>0</v>
      </c>
      <c r="I629" s="63">
        <f>G629*H629</f>
        <v>0</v>
      </c>
      <c r="J629" s="63">
        <v>0.00144</v>
      </c>
      <c r="K629" s="63">
        <f>G629*J629</f>
        <v>0.48886560000000007</v>
      </c>
      <c r="L629" s="65" t="s">
        <v>785</v>
      </c>
      <c r="Z629" s="55">
        <f>IF(AQ629="5",BJ629,0)</f>
        <v>0</v>
      </c>
      <c r="AB629" s="55">
        <f>IF(AQ629="1",BH629,0)</f>
        <v>0</v>
      </c>
      <c r="AC629" s="55">
        <f>IF(AQ629="1",BI629,0)</f>
        <v>0</v>
      </c>
      <c r="AD629" s="55">
        <f>IF(AQ629="7",BH629,0)</f>
        <v>0</v>
      </c>
      <c r="AE629" s="55">
        <f>IF(AQ629="7",BI629,0)</f>
        <v>0</v>
      </c>
      <c r="AF629" s="55">
        <f>IF(AQ629="2",BH629,0)</f>
        <v>0</v>
      </c>
      <c r="AG629" s="55">
        <f>IF(AQ629="2",BI629,0)</f>
        <v>0</v>
      </c>
      <c r="AH629" s="55">
        <f>IF(AQ629="0",BJ629,0)</f>
        <v>0</v>
      </c>
      <c r="AI629" s="34" t="s">
        <v>116</v>
      </c>
      <c r="AJ629" s="63">
        <f>IF(AN629=0,I629,0)</f>
        <v>0</v>
      </c>
      <c r="AK629" s="63">
        <f>IF(AN629=12,I629,0)</f>
        <v>0</v>
      </c>
      <c r="AL629" s="63">
        <f>IF(AN629=21,I629,0)</f>
        <v>0</v>
      </c>
      <c r="AN629" s="55">
        <v>21</v>
      </c>
      <c r="AO629" s="55">
        <f>H629*1</f>
        <v>0</v>
      </c>
      <c r="AP629" s="55">
        <f>H629*(1-1)</f>
        <v>0</v>
      </c>
      <c r="AQ629" s="66" t="s">
        <v>125</v>
      </c>
      <c r="AV629" s="55">
        <f>AW629+AX629</f>
        <v>0</v>
      </c>
      <c r="AW629" s="55">
        <f>G629*AO629</f>
        <v>0</v>
      </c>
      <c r="AX629" s="55">
        <f>G629*AP629</f>
        <v>0</v>
      </c>
      <c r="AY629" s="58" t="s">
        <v>1096</v>
      </c>
      <c r="AZ629" s="58" t="s">
        <v>1068</v>
      </c>
      <c r="BA629" s="34" t="s">
        <v>128</v>
      </c>
      <c r="BC629" s="55">
        <f>AW629+AX629</f>
        <v>0</v>
      </c>
      <c r="BD629" s="55">
        <f>H629/(100-BE629)*100</f>
        <v>0</v>
      </c>
      <c r="BE629" s="55">
        <v>0</v>
      </c>
      <c r="BF629" s="55">
        <f>K629</f>
        <v>0.48886560000000007</v>
      </c>
      <c r="BH629" s="63">
        <f>G629*AO629</f>
        <v>0</v>
      </c>
      <c r="BI629" s="63">
        <f>G629*AP629</f>
        <v>0</v>
      </c>
      <c r="BJ629" s="63">
        <f>G629*H629</f>
        <v>0</v>
      </c>
      <c r="BK629" s="63"/>
      <c r="BL629" s="55">
        <v>713</v>
      </c>
      <c r="BW629" s="55">
        <v>21</v>
      </c>
    </row>
    <row r="630" spans="1:12" ht="14.4">
      <c r="A630" s="59"/>
      <c r="D630" s="60" t="s">
        <v>1225</v>
      </c>
      <c r="E630" s="60" t="s">
        <v>4</v>
      </c>
      <c r="G630" s="68">
        <v>329.6</v>
      </c>
      <c r="L630" s="69"/>
    </row>
    <row r="631" spans="1:12" ht="14.4">
      <c r="A631" s="59"/>
      <c r="D631" s="60" t="s">
        <v>1226</v>
      </c>
      <c r="E631" s="60" t="s">
        <v>4</v>
      </c>
      <c r="G631" s="68">
        <v>9.89</v>
      </c>
      <c r="L631" s="69"/>
    </row>
    <row r="632" spans="1:75" ht="13.5" customHeight="1">
      <c r="A632" s="1" t="s">
        <v>1227</v>
      </c>
      <c r="B632" s="2" t="s">
        <v>116</v>
      </c>
      <c r="C632" s="2" t="s">
        <v>1228</v>
      </c>
      <c r="D632" s="147" t="s">
        <v>1229</v>
      </c>
      <c r="E632" s="148"/>
      <c r="F632" s="2" t="s">
        <v>729</v>
      </c>
      <c r="G632" s="55">
        <v>413.4</v>
      </c>
      <c r="H632" s="56">
        <v>0</v>
      </c>
      <c r="I632" s="55">
        <f>G632*H632</f>
        <v>0</v>
      </c>
      <c r="J632" s="55">
        <v>0.00022</v>
      </c>
      <c r="K632" s="55">
        <f>G632*J632</f>
        <v>0.090948</v>
      </c>
      <c r="L632" s="57" t="s">
        <v>785</v>
      </c>
      <c r="Z632" s="55">
        <f>IF(AQ632="5",BJ632,0)</f>
        <v>0</v>
      </c>
      <c r="AB632" s="55">
        <f>IF(AQ632="1",BH632,0)</f>
        <v>0</v>
      </c>
      <c r="AC632" s="55">
        <f>IF(AQ632="1",BI632,0)</f>
        <v>0</v>
      </c>
      <c r="AD632" s="55">
        <f>IF(AQ632="7",BH632,0)</f>
        <v>0</v>
      </c>
      <c r="AE632" s="55">
        <f>IF(AQ632="7",BI632,0)</f>
        <v>0</v>
      </c>
      <c r="AF632" s="55">
        <f>IF(AQ632="2",BH632,0)</f>
        <v>0</v>
      </c>
      <c r="AG632" s="55">
        <f>IF(AQ632="2",BI632,0)</f>
        <v>0</v>
      </c>
      <c r="AH632" s="55">
        <f>IF(AQ632="0",BJ632,0)</f>
        <v>0</v>
      </c>
      <c r="AI632" s="34" t="s">
        <v>116</v>
      </c>
      <c r="AJ632" s="55">
        <f>IF(AN632=0,I632,0)</f>
        <v>0</v>
      </c>
      <c r="AK632" s="55">
        <f>IF(AN632=12,I632,0)</f>
        <v>0</v>
      </c>
      <c r="AL632" s="55">
        <f>IF(AN632=21,I632,0)</f>
        <v>0</v>
      </c>
      <c r="AN632" s="55">
        <v>21</v>
      </c>
      <c r="AO632" s="55">
        <f>H632*0.522776471</f>
        <v>0</v>
      </c>
      <c r="AP632" s="55">
        <f>H632*(1-0.522776471)</f>
        <v>0</v>
      </c>
      <c r="AQ632" s="58" t="s">
        <v>125</v>
      </c>
      <c r="AV632" s="55">
        <f>AW632+AX632</f>
        <v>0</v>
      </c>
      <c r="AW632" s="55">
        <f>G632*AO632</f>
        <v>0</v>
      </c>
      <c r="AX632" s="55">
        <f>G632*AP632</f>
        <v>0</v>
      </c>
      <c r="AY632" s="58" t="s">
        <v>1096</v>
      </c>
      <c r="AZ632" s="58" t="s">
        <v>1068</v>
      </c>
      <c r="BA632" s="34" t="s">
        <v>128</v>
      </c>
      <c r="BB632" s="67">
        <v>100005</v>
      </c>
      <c r="BC632" s="55">
        <f>AW632+AX632</f>
        <v>0</v>
      </c>
      <c r="BD632" s="55">
        <f>H632/(100-BE632)*100</f>
        <v>0</v>
      </c>
      <c r="BE632" s="55">
        <v>0</v>
      </c>
      <c r="BF632" s="55">
        <f>K632</f>
        <v>0.090948</v>
      </c>
      <c r="BH632" s="55">
        <f>G632*AO632</f>
        <v>0</v>
      </c>
      <c r="BI632" s="55">
        <f>G632*AP632</f>
        <v>0</v>
      </c>
      <c r="BJ632" s="55">
        <f>G632*H632</f>
        <v>0</v>
      </c>
      <c r="BK632" s="55"/>
      <c r="BL632" s="55">
        <v>713</v>
      </c>
      <c r="BW632" s="55">
        <v>21</v>
      </c>
    </row>
    <row r="633" spans="1:12" ht="13.5" customHeight="1">
      <c r="A633" s="59"/>
      <c r="D633" s="218" t="s">
        <v>1203</v>
      </c>
      <c r="E633" s="219"/>
      <c r="F633" s="219"/>
      <c r="G633" s="219"/>
      <c r="H633" s="220"/>
      <c r="I633" s="219"/>
      <c r="J633" s="219"/>
      <c r="K633" s="219"/>
      <c r="L633" s="221"/>
    </row>
    <row r="634" spans="1:12" ht="14.4">
      <c r="A634" s="59"/>
      <c r="D634" s="60" t="s">
        <v>1230</v>
      </c>
      <c r="E634" s="60" t="s">
        <v>1231</v>
      </c>
      <c r="G634" s="68">
        <v>413.4</v>
      </c>
      <c r="L634" s="69"/>
    </row>
    <row r="635" spans="1:75" ht="13.5" customHeight="1">
      <c r="A635" s="1" t="s">
        <v>1232</v>
      </c>
      <c r="B635" s="2" t="s">
        <v>116</v>
      </c>
      <c r="C635" s="2" t="s">
        <v>1233</v>
      </c>
      <c r="D635" s="147" t="s">
        <v>1234</v>
      </c>
      <c r="E635" s="148"/>
      <c r="F635" s="2" t="s">
        <v>729</v>
      </c>
      <c r="G635" s="55">
        <v>118.83</v>
      </c>
      <c r="H635" s="56">
        <v>0</v>
      </c>
      <c r="I635" s="55">
        <f>G635*H635</f>
        <v>0</v>
      </c>
      <c r="J635" s="55">
        <v>0.00076</v>
      </c>
      <c r="K635" s="55">
        <f>G635*J635</f>
        <v>0.09031080000000001</v>
      </c>
      <c r="L635" s="57" t="s">
        <v>785</v>
      </c>
      <c r="Z635" s="55">
        <f>IF(AQ635="5",BJ635,0)</f>
        <v>0</v>
      </c>
      <c r="AB635" s="55">
        <f>IF(AQ635="1",BH635,0)</f>
        <v>0</v>
      </c>
      <c r="AC635" s="55">
        <f>IF(AQ635="1",BI635,0)</f>
        <v>0</v>
      </c>
      <c r="AD635" s="55">
        <f>IF(AQ635="7",BH635,0)</f>
        <v>0</v>
      </c>
      <c r="AE635" s="55">
        <f>IF(AQ635="7",BI635,0)</f>
        <v>0</v>
      </c>
      <c r="AF635" s="55">
        <f>IF(AQ635="2",BH635,0)</f>
        <v>0</v>
      </c>
      <c r="AG635" s="55">
        <f>IF(AQ635="2",BI635,0)</f>
        <v>0</v>
      </c>
      <c r="AH635" s="55">
        <f>IF(AQ635="0",BJ635,0)</f>
        <v>0</v>
      </c>
      <c r="AI635" s="34" t="s">
        <v>116</v>
      </c>
      <c r="AJ635" s="55">
        <f>IF(AN635=0,I635,0)</f>
        <v>0</v>
      </c>
      <c r="AK635" s="55">
        <f>IF(AN635=12,I635,0)</f>
        <v>0</v>
      </c>
      <c r="AL635" s="55">
        <f>IF(AN635=21,I635,0)</f>
        <v>0</v>
      </c>
      <c r="AN635" s="55">
        <v>21</v>
      </c>
      <c r="AO635" s="55">
        <f>H635*0.358927206</f>
        <v>0</v>
      </c>
      <c r="AP635" s="55">
        <f>H635*(1-0.358927206)</f>
        <v>0</v>
      </c>
      <c r="AQ635" s="58" t="s">
        <v>125</v>
      </c>
      <c r="AV635" s="55">
        <f>AW635+AX635</f>
        <v>0</v>
      </c>
      <c r="AW635" s="55">
        <f>G635*AO635</f>
        <v>0</v>
      </c>
      <c r="AX635" s="55">
        <f>G635*AP635</f>
        <v>0</v>
      </c>
      <c r="AY635" s="58" t="s">
        <v>1096</v>
      </c>
      <c r="AZ635" s="58" t="s">
        <v>1068</v>
      </c>
      <c r="BA635" s="34" t="s">
        <v>128</v>
      </c>
      <c r="BB635" s="67">
        <v>100005</v>
      </c>
      <c r="BC635" s="55">
        <f>AW635+AX635</f>
        <v>0</v>
      </c>
      <c r="BD635" s="55">
        <f>H635/(100-BE635)*100</f>
        <v>0</v>
      </c>
      <c r="BE635" s="55">
        <v>0</v>
      </c>
      <c r="BF635" s="55">
        <f>K635</f>
        <v>0.09031080000000001</v>
      </c>
      <c r="BH635" s="55">
        <f>G635*AO635</f>
        <v>0</v>
      </c>
      <c r="BI635" s="55">
        <f>G635*AP635</f>
        <v>0</v>
      </c>
      <c r="BJ635" s="55">
        <f>G635*H635</f>
        <v>0</v>
      </c>
      <c r="BK635" s="55"/>
      <c r="BL635" s="55">
        <v>713</v>
      </c>
      <c r="BW635" s="55">
        <v>21</v>
      </c>
    </row>
    <row r="636" spans="1:12" ht="13.5" customHeight="1">
      <c r="A636" s="59"/>
      <c r="D636" s="218" t="s">
        <v>1235</v>
      </c>
      <c r="E636" s="219"/>
      <c r="F636" s="219"/>
      <c r="G636" s="219"/>
      <c r="H636" s="220"/>
      <c r="I636" s="219"/>
      <c r="J636" s="219"/>
      <c r="K636" s="219"/>
      <c r="L636" s="221"/>
    </row>
    <row r="637" spans="1:12" ht="14.4">
      <c r="A637" s="59"/>
      <c r="D637" s="60" t="s">
        <v>1236</v>
      </c>
      <c r="E637" s="60" t="s">
        <v>1237</v>
      </c>
      <c r="G637" s="68">
        <v>45.25</v>
      </c>
      <c r="L637" s="69"/>
    </row>
    <row r="638" spans="1:12" ht="14.4">
      <c r="A638" s="59"/>
      <c r="D638" s="60" t="s">
        <v>1238</v>
      </c>
      <c r="E638" s="60" t="s">
        <v>1239</v>
      </c>
      <c r="G638" s="68">
        <v>29.69</v>
      </c>
      <c r="L638" s="69"/>
    </row>
    <row r="639" spans="1:12" ht="14.4">
      <c r="A639" s="59"/>
      <c r="D639" s="60" t="s">
        <v>1240</v>
      </c>
      <c r="E639" s="60" t="s">
        <v>1241</v>
      </c>
      <c r="G639" s="68">
        <v>18.72</v>
      </c>
      <c r="L639" s="69"/>
    </row>
    <row r="640" spans="1:12" ht="14.4">
      <c r="A640" s="59"/>
      <c r="D640" s="60" t="s">
        <v>1242</v>
      </c>
      <c r="E640" s="60" t="s">
        <v>1243</v>
      </c>
      <c r="G640" s="68">
        <v>25.17</v>
      </c>
      <c r="L640" s="69"/>
    </row>
    <row r="641" spans="1:75" ht="13.5" customHeight="1">
      <c r="A641" s="1" t="s">
        <v>1244</v>
      </c>
      <c r="B641" s="2" t="s">
        <v>116</v>
      </c>
      <c r="C641" s="2" t="s">
        <v>1245</v>
      </c>
      <c r="D641" s="147" t="s">
        <v>1246</v>
      </c>
      <c r="E641" s="148"/>
      <c r="F641" s="2" t="s">
        <v>174</v>
      </c>
      <c r="G641" s="55">
        <v>305.6</v>
      </c>
      <c r="H641" s="56">
        <v>0</v>
      </c>
      <c r="I641" s="55">
        <f>G641*H641</f>
        <v>0</v>
      </c>
      <c r="J641" s="55">
        <v>0</v>
      </c>
      <c r="K641" s="55">
        <f>G641*J641</f>
        <v>0</v>
      </c>
      <c r="L641" s="57" t="s">
        <v>785</v>
      </c>
      <c r="Z641" s="55">
        <f>IF(AQ641="5",BJ641,0)</f>
        <v>0</v>
      </c>
      <c r="AB641" s="55">
        <f>IF(AQ641="1",BH641,0)</f>
        <v>0</v>
      </c>
      <c r="AC641" s="55">
        <f>IF(AQ641="1",BI641,0)</f>
        <v>0</v>
      </c>
      <c r="AD641" s="55">
        <f>IF(AQ641="7",BH641,0)</f>
        <v>0</v>
      </c>
      <c r="AE641" s="55">
        <f>IF(AQ641="7",BI641,0)</f>
        <v>0</v>
      </c>
      <c r="AF641" s="55">
        <f>IF(AQ641="2",BH641,0)</f>
        <v>0</v>
      </c>
      <c r="AG641" s="55">
        <f>IF(AQ641="2",BI641,0)</f>
        <v>0</v>
      </c>
      <c r="AH641" s="55">
        <f>IF(AQ641="0",BJ641,0)</f>
        <v>0</v>
      </c>
      <c r="AI641" s="34" t="s">
        <v>116</v>
      </c>
      <c r="AJ641" s="55">
        <f>IF(AN641=0,I641,0)</f>
        <v>0</v>
      </c>
      <c r="AK641" s="55">
        <f>IF(AN641=12,I641,0)</f>
        <v>0</v>
      </c>
      <c r="AL641" s="55">
        <f>IF(AN641=21,I641,0)</f>
        <v>0</v>
      </c>
      <c r="AN641" s="55">
        <v>21</v>
      </c>
      <c r="AO641" s="55">
        <f>H641*0</f>
        <v>0</v>
      </c>
      <c r="AP641" s="55">
        <f>H641*(1-0)</f>
        <v>0</v>
      </c>
      <c r="AQ641" s="58" t="s">
        <v>125</v>
      </c>
      <c r="AV641" s="55">
        <f>AW641+AX641</f>
        <v>0</v>
      </c>
      <c r="AW641" s="55">
        <f>G641*AO641</f>
        <v>0</v>
      </c>
      <c r="AX641" s="55">
        <f>G641*AP641</f>
        <v>0</v>
      </c>
      <c r="AY641" s="58" t="s">
        <v>1096</v>
      </c>
      <c r="AZ641" s="58" t="s">
        <v>1068</v>
      </c>
      <c r="BA641" s="34" t="s">
        <v>128</v>
      </c>
      <c r="BB641" s="67">
        <v>100005</v>
      </c>
      <c r="BC641" s="55">
        <f>AW641+AX641</f>
        <v>0</v>
      </c>
      <c r="BD641" s="55">
        <f>H641/(100-BE641)*100</f>
        <v>0</v>
      </c>
      <c r="BE641" s="55">
        <v>0</v>
      </c>
      <c r="BF641" s="55">
        <f>K641</f>
        <v>0</v>
      </c>
      <c r="BH641" s="55">
        <f>G641*AO641</f>
        <v>0</v>
      </c>
      <c r="BI641" s="55">
        <f>G641*AP641</f>
        <v>0</v>
      </c>
      <c r="BJ641" s="55">
        <f>G641*H641</f>
        <v>0</v>
      </c>
      <c r="BK641" s="55"/>
      <c r="BL641" s="55">
        <v>713</v>
      </c>
      <c r="BW641" s="55">
        <v>21</v>
      </c>
    </row>
    <row r="642" spans="1:12" ht="13.5" customHeight="1">
      <c r="A642" s="59"/>
      <c r="D642" s="218" t="s">
        <v>1102</v>
      </c>
      <c r="E642" s="219"/>
      <c r="F642" s="219"/>
      <c r="G642" s="219"/>
      <c r="H642" s="220"/>
      <c r="I642" s="219"/>
      <c r="J642" s="219"/>
      <c r="K642" s="219"/>
      <c r="L642" s="221"/>
    </row>
    <row r="643" spans="1:12" ht="14.4">
      <c r="A643" s="59"/>
      <c r="D643" s="60" t="s">
        <v>1247</v>
      </c>
      <c r="E643" s="60" t="s">
        <v>4</v>
      </c>
      <c r="G643" s="68">
        <v>305.6</v>
      </c>
      <c r="L643" s="69"/>
    </row>
    <row r="644" spans="1:75" ht="13.5" customHeight="1">
      <c r="A644" s="61" t="s">
        <v>1248</v>
      </c>
      <c r="B644" s="62" t="s">
        <v>116</v>
      </c>
      <c r="C644" s="62" t="s">
        <v>1249</v>
      </c>
      <c r="D644" s="224" t="s">
        <v>1250</v>
      </c>
      <c r="E644" s="225"/>
      <c r="F644" s="62" t="s">
        <v>174</v>
      </c>
      <c r="G644" s="63">
        <v>314.77</v>
      </c>
      <c r="H644" s="64">
        <v>0</v>
      </c>
      <c r="I644" s="63">
        <f>G644*H644</f>
        <v>0</v>
      </c>
      <c r="J644" s="63">
        <v>0</v>
      </c>
      <c r="K644" s="63">
        <f>G644*J644</f>
        <v>0</v>
      </c>
      <c r="L644" s="65" t="s">
        <v>124</v>
      </c>
      <c r="Z644" s="55">
        <f>IF(AQ644="5",BJ644,0)</f>
        <v>0</v>
      </c>
      <c r="AB644" s="55">
        <f>IF(AQ644="1",BH644,0)</f>
        <v>0</v>
      </c>
      <c r="AC644" s="55">
        <f>IF(AQ644="1",BI644,0)</f>
        <v>0</v>
      </c>
      <c r="AD644" s="55">
        <f>IF(AQ644="7",BH644,0)</f>
        <v>0</v>
      </c>
      <c r="AE644" s="55">
        <f>IF(AQ644="7",BI644,0)</f>
        <v>0</v>
      </c>
      <c r="AF644" s="55">
        <f>IF(AQ644="2",BH644,0)</f>
        <v>0</v>
      </c>
      <c r="AG644" s="55">
        <f>IF(AQ644="2",BI644,0)</f>
        <v>0</v>
      </c>
      <c r="AH644" s="55">
        <f>IF(AQ644="0",BJ644,0)</f>
        <v>0</v>
      </c>
      <c r="AI644" s="34" t="s">
        <v>116</v>
      </c>
      <c r="AJ644" s="63">
        <f>IF(AN644=0,I644,0)</f>
        <v>0</v>
      </c>
      <c r="AK644" s="63">
        <f>IF(AN644=12,I644,0)</f>
        <v>0</v>
      </c>
      <c r="AL644" s="63">
        <f>IF(AN644=21,I644,0)</f>
        <v>0</v>
      </c>
      <c r="AN644" s="55">
        <v>21</v>
      </c>
      <c r="AO644" s="55">
        <f>H644*1</f>
        <v>0</v>
      </c>
      <c r="AP644" s="55">
        <f>H644*(1-1)</f>
        <v>0</v>
      </c>
      <c r="AQ644" s="66" t="s">
        <v>125</v>
      </c>
      <c r="AV644" s="55">
        <f>AW644+AX644</f>
        <v>0</v>
      </c>
      <c r="AW644" s="55">
        <f>G644*AO644</f>
        <v>0</v>
      </c>
      <c r="AX644" s="55">
        <f>G644*AP644</f>
        <v>0</v>
      </c>
      <c r="AY644" s="58" t="s">
        <v>1096</v>
      </c>
      <c r="AZ644" s="58" t="s">
        <v>1068</v>
      </c>
      <c r="BA644" s="34" t="s">
        <v>128</v>
      </c>
      <c r="BC644" s="55">
        <f>AW644+AX644</f>
        <v>0</v>
      </c>
      <c r="BD644" s="55">
        <f>H644/(100-BE644)*100</f>
        <v>0</v>
      </c>
      <c r="BE644" s="55">
        <v>0</v>
      </c>
      <c r="BF644" s="55">
        <f>K644</f>
        <v>0</v>
      </c>
      <c r="BH644" s="63">
        <f>G644*AO644</f>
        <v>0</v>
      </c>
      <c r="BI644" s="63">
        <f>G644*AP644</f>
        <v>0</v>
      </c>
      <c r="BJ644" s="63">
        <f>G644*H644</f>
        <v>0</v>
      </c>
      <c r="BK644" s="63"/>
      <c r="BL644" s="55">
        <v>713</v>
      </c>
      <c r="BW644" s="55">
        <v>21</v>
      </c>
    </row>
    <row r="645" spans="1:12" ht="14.4">
      <c r="A645" s="59"/>
      <c r="D645" s="60" t="s">
        <v>1251</v>
      </c>
      <c r="E645" s="60" t="s">
        <v>4</v>
      </c>
      <c r="G645" s="68">
        <v>305.6</v>
      </c>
      <c r="L645" s="69"/>
    </row>
    <row r="646" spans="1:12" ht="14.4">
      <c r="A646" s="59"/>
      <c r="D646" s="60" t="s">
        <v>1252</v>
      </c>
      <c r="E646" s="60" t="s">
        <v>4</v>
      </c>
      <c r="G646" s="68">
        <v>9.17</v>
      </c>
      <c r="L646" s="69"/>
    </row>
    <row r="647" spans="1:75" ht="13.5" customHeight="1">
      <c r="A647" s="1" t="s">
        <v>1253</v>
      </c>
      <c r="B647" s="2" t="s">
        <v>116</v>
      </c>
      <c r="C647" s="2" t="s">
        <v>1254</v>
      </c>
      <c r="D647" s="147" t="s">
        <v>1255</v>
      </c>
      <c r="E647" s="148"/>
      <c r="F647" s="2" t="s">
        <v>729</v>
      </c>
      <c r="G647" s="55">
        <v>7.5</v>
      </c>
      <c r="H647" s="56">
        <v>0</v>
      </c>
      <c r="I647" s="55">
        <f>G647*H647</f>
        <v>0</v>
      </c>
      <c r="J647" s="55">
        <v>1E-05</v>
      </c>
      <c r="K647" s="55">
        <f>G647*J647</f>
        <v>7.500000000000001E-05</v>
      </c>
      <c r="L647" s="57" t="s">
        <v>785</v>
      </c>
      <c r="Z647" s="55">
        <f>IF(AQ647="5",BJ647,0)</f>
        <v>0</v>
      </c>
      <c r="AB647" s="55">
        <f>IF(AQ647="1",BH647,0)</f>
        <v>0</v>
      </c>
      <c r="AC647" s="55">
        <f>IF(AQ647="1",BI647,0)</f>
        <v>0</v>
      </c>
      <c r="AD647" s="55">
        <f>IF(AQ647="7",BH647,0)</f>
        <v>0</v>
      </c>
      <c r="AE647" s="55">
        <f>IF(AQ647="7",BI647,0)</f>
        <v>0</v>
      </c>
      <c r="AF647" s="55">
        <f>IF(AQ647="2",BH647,0)</f>
        <v>0</v>
      </c>
      <c r="AG647" s="55">
        <f>IF(AQ647="2",BI647,0)</f>
        <v>0</v>
      </c>
      <c r="AH647" s="55">
        <f>IF(AQ647="0",BJ647,0)</f>
        <v>0</v>
      </c>
      <c r="AI647" s="34" t="s">
        <v>116</v>
      </c>
      <c r="AJ647" s="55">
        <f>IF(AN647=0,I647,0)</f>
        <v>0</v>
      </c>
      <c r="AK647" s="55">
        <f>IF(AN647=12,I647,0)</f>
        <v>0</v>
      </c>
      <c r="AL647" s="55">
        <f>IF(AN647=21,I647,0)</f>
        <v>0</v>
      </c>
      <c r="AN647" s="55">
        <v>21</v>
      </c>
      <c r="AO647" s="55">
        <f>H647*0.211548696</f>
        <v>0</v>
      </c>
      <c r="AP647" s="55">
        <f>H647*(1-0.211548696)</f>
        <v>0</v>
      </c>
      <c r="AQ647" s="58" t="s">
        <v>125</v>
      </c>
      <c r="AV647" s="55">
        <f>AW647+AX647</f>
        <v>0</v>
      </c>
      <c r="AW647" s="55">
        <f>G647*AO647</f>
        <v>0</v>
      </c>
      <c r="AX647" s="55">
        <f>G647*AP647</f>
        <v>0</v>
      </c>
      <c r="AY647" s="58" t="s">
        <v>1096</v>
      </c>
      <c r="AZ647" s="58" t="s">
        <v>1068</v>
      </c>
      <c r="BA647" s="34" t="s">
        <v>128</v>
      </c>
      <c r="BB647" s="67">
        <v>100005</v>
      </c>
      <c r="BC647" s="55">
        <f>AW647+AX647</f>
        <v>0</v>
      </c>
      <c r="BD647" s="55">
        <f>H647/(100-BE647)*100</f>
        <v>0</v>
      </c>
      <c r="BE647" s="55">
        <v>0</v>
      </c>
      <c r="BF647" s="55">
        <f>K647</f>
        <v>7.500000000000001E-05</v>
      </c>
      <c r="BH647" s="55">
        <f>G647*AO647</f>
        <v>0</v>
      </c>
      <c r="BI647" s="55">
        <f>G647*AP647</f>
        <v>0</v>
      </c>
      <c r="BJ647" s="55">
        <f>G647*H647</f>
        <v>0</v>
      </c>
      <c r="BK647" s="55"/>
      <c r="BL647" s="55">
        <v>713</v>
      </c>
      <c r="BW647" s="55">
        <v>21</v>
      </c>
    </row>
    <row r="648" spans="1:12" ht="13.5" customHeight="1">
      <c r="A648" s="59"/>
      <c r="D648" s="218" t="s">
        <v>1256</v>
      </c>
      <c r="E648" s="219"/>
      <c r="F648" s="219"/>
      <c r="G648" s="219"/>
      <c r="H648" s="220"/>
      <c r="I648" s="219"/>
      <c r="J648" s="219"/>
      <c r="K648" s="219"/>
      <c r="L648" s="221"/>
    </row>
    <row r="649" spans="1:12" ht="14.4">
      <c r="A649" s="59"/>
      <c r="D649" s="60" t="s">
        <v>1257</v>
      </c>
      <c r="E649" s="60" t="s">
        <v>4</v>
      </c>
      <c r="G649" s="68">
        <v>7.5</v>
      </c>
      <c r="L649" s="69"/>
    </row>
    <row r="650" spans="1:75" ht="13.5" customHeight="1">
      <c r="A650" s="1" t="s">
        <v>1258</v>
      </c>
      <c r="B650" s="2" t="s">
        <v>116</v>
      </c>
      <c r="C650" s="2" t="s">
        <v>1259</v>
      </c>
      <c r="D650" s="147" t="s">
        <v>1260</v>
      </c>
      <c r="E650" s="148"/>
      <c r="F650" s="2" t="s">
        <v>729</v>
      </c>
      <c r="G650" s="55">
        <v>61.1</v>
      </c>
      <c r="H650" s="56">
        <v>0</v>
      </c>
      <c r="I650" s="55">
        <f>G650*H650</f>
        <v>0</v>
      </c>
      <c r="J650" s="55">
        <v>0.0002</v>
      </c>
      <c r="K650" s="55">
        <f>G650*J650</f>
        <v>0.012220000000000002</v>
      </c>
      <c r="L650" s="57" t="s">
        <v>785</v>
      </c>
      <c r="Z650" s="55">
        <f>IF(AQ650="5",BJ650,0)</f>
        <v>0</v>
      </c>
      <c r="AB650" s="55">
        <f>IF(AQ650="1",BH650,0)</f>
        <v>0</v>
      </c>
      <c r="AC650" s="55">
        <f>IF(AQ650="1",BI650,0)</f>
        <v>0</v>
      </c>
      <c r="AD650" s="55">
        <f>IF(AQ650="7",BH650,0)</f>
        <v>0</v>
      </c>
      <c r="AE650" s="55">
        <f>IF(AQ650="7",BI650,0)</f>
        <v>0</v>
      </c>
      <c r="AF650" s="55">
        <f>IF(AQ650="2",BH650,0)</f>
        <v>0</v>
      </c>
      <c r="AG650" s="55">
        <f>IF(AQ650="2",BI650,0)</f>
        <v>0</v>
      </c>
      <c r="AH650" s="55">
        <f>IF(AQ650="0",BJ650,0)</f>
        <v>0</v>
      </c>
      <c r="AI650" s="34" t="s">
        <v>116</v>
      </c>
      <c r="AJ650" s="55">
        <f>IF(AN650=0,I650,0)</f>
        <v>0</v>
      </c>
      <c r="AK650" s="55">
        <f>IF(AN650=12,I650,0)</f>
        <v>0</v>
      </c>
      <c r="AL650" s="55">
        <f>IF(AN650=21,I650,0)</f>
        <v>0</v>
      </c>
      <c r="AN650" s="55">
        <v>21</v>
      </c>
      <c r="AO650" s="55">
        <f>H650*0.650296569</f>
        <v>0</v>
      </c>
      <c r="AP650" s="55">
        <f>H650*(1-0.650296569)</f>
        <v>0</v>
      </c>
      <c r="AQ650" s="58" t="s">
        <v>125</v>
      </c>
      <c r="AV650" s="55">
        <f>AW650+AX650</f>
        <v>0</v>
      </c>
      <c r="AW650" s="55">
        <f>G650*AO650</f>
        <v>0</v>
      </c>
      <c r="AX650" s="55">
        <f>G650*AP650</f>
        <v>0</v>
      </c>
      <c r="AY650" s="58" t="s">
        <v>1096</v>
      </c>
      <c r="AZ650" s="58" t="s">
        <v>1068</v>
      </c>
      <c r="BA650" s="34" t="s">
        <v>128</v>
      </c>
      <c r="BB650" s="67">
        <v>100005</v>
      </c>
      <c r="BC650" s="55">
        <f>AW650+AX650</f>
        <v>0</v>
      </c>
      <c r="BD650" s="55">
        <f>H650/(100-BE650)*100</f>
        <v>0</v>
      </c>
      <c r="BE650" s="55">
        <v>0</v>
      </c>
      <c r="BF650" s="55">
        <f>K650</f>
        <v>0.012220000000000002</v>
      </c>
      <c r="BH650" s="55">
        <f>G650*AO650</f>
        <v>0</v>
      </c>
      <c r="BI650" s="55">
        <f>G650*AP650</f>
        <v>0</v>
      </c>
      <c r="BJ650" s="55">
        <f>G650*H650</f>
        <v>0</v>
      </c>
      <c r="BK650" s="55"/>
      <c r="BL650" s="55">
        <v>713</v>
      </c>
      <c r="BW650" s="55">
        <v>21</v>
      </c>
    </row>
    <row r="651" spans="1:12" ht="13.5" customHeight="1">
      <c r="A651" s="59"/>
      <c r="D651" s="218" t="s">
        <v>1261</v>
      </c>
      <c r="E651" s="219"/>
      <c r="F651" s="219"/>
      <c r="G651" s="219"/>
      <c r="H651" s="220"/>
      <c r="I651" s="219"/>
      <c r="J651" s="219"/>
      <c r="K651" s="219"/>
      <c r="L651" s="221"/>
    </row>
    <row r="652" spans="1:12" ht="14.4">
      <c r="A652" s="59"/>
      <c r="D652" s="60" t="s">
        <v>1262</v>
      </c>
      <c r="E652" s="60" t="s">
        <v>1208</v>
      </c>
      <c r="G652" s="68">
        <v>61.1</v>
      </c>
      <c r="L652" s="69"/>
    </row>
    <row r="653" spans="1:75" ht="27" customHeight="1">
      <c r="A653" s="1" t="s">
        <v>1263</v>
      </c>
      <c r="B653" s="2" t="s">
        <v>116</v>
      </c>
      <c r="C653" s="2" t="s">
        <v>1264</v>
      </c>
      <c r="D653" s="147" t="s">
        <v>1265</v>
      </c>
      <c r="E653" s="148"/>
      <c r="F653" s="2" t="s">
        <v>174</v>
      </c>
      <c r="G653" s="55">
        <v>90</v>
      </c>
      <c r="H653" s="56">
        <v>0</v>
      </c>
      <c r="I653" s="55">
        <f>G653*H653</f>
        <v>0</v>
      </c>
      <c r="J653" s="55">
        <v>0</v>
      </c>
      <c r="K653" s="55">
        <f>G653*J653</f>
        <v>0</v>
      </c>
      <c r="L653" s="57" t="s">
        <v>124</v>
      </c>
      <c r="Z653" s="55">
        <f>IF(AQ653="5",BJ653,0)</f>
        <v>0</v>
      </c>
      <c r="AB653" s="55">
        <f>IF(AQ653="1",BH653,0)</f>
        <v>0</v>
      </c>
      <c r="AC653" s="55">
        <f>IF(AQ653="1",BI653,0)</f>
        <v>0</v>
      </c>
      <c r="AD653" s="55">
        <f>IF(AQ653="7",BH653,0)</f>
        <v>0</v>
      </c>
      <c r="AE653" s="55">
        <f>IF(AQ653="7",BI653,0)</f>
        <v>0</v>
      </c>
      <c r="AF653" s="55">
        <f>IF(AQ653="2",BH653,0)</f>
        <v>0</v>
      </c>
      <c r="AG653" s="55">
        <f>IF(AQ653="2",BI653,0)</f>
        <v>0</v>
      </c>
      <c r="AH653" s="55">
        <f>IF(AQ653="0",BJ653,0)</f>
        <v>0</v>
      </c>
      <c r="AI653" s="34" t="s">
        <v>116</v>
      </c>
      <c r="AJ653" s="55">
        <f>IF(AN653=0,I653,0)</f>
        <v>0</v>
      </c>
      <c r="AK653" s="55">
        <f>IF(AN653=12,I653,0)</f>
        <v>0</v>
      </c>
      <c r="AL653" s="55">
        <f>IF(AN653=21,I653,0)</f>
        <v>0</v>
      </c>
      <c r="AN653" s="55">
        <v>21</v>
      </c>
      <c r="AO653" s="55">
        <f>H653*0</f>
        <v>0</v>
      </c>
      <c r="AP653" s="55">
        <f>H653*(1-0)</f>
        <v>0</v>
      </c>
      <c r="AQ653" s="58" t="s">
        <v>125</v>
      </c>
      <c r="AV653" s="55">
        <f>AW653+AX653</f>
        <v>0</v>
      </c>
      <c r="AW653" s="55">
        <f>G653*AO653</f>
        <v>0</v>
      </c>
      <c r="AX653" s="55">
        <f>G653*AP653</f>
        <v>0</v>
      </c>
      <c r="AY653" s="58" t="s">
        <v>1096</v>
      </c>
      <c r="AZ653" s="58" t="s">
        <v>1068</v>
      </c>
      <c r="BA653" s="34" t="s">
        <v>128</v>
      </c>
      <c r="BC653" s="55">
        <f>AW653+AX653</f>
        <v>0</v>
      </c>
      <c r="BD653" s="55">
        <f>H653/(100-BE653)*100</f>
        <v>0</v>
      </c>
      <c r="BE653" s="55">
        <v>0</v>
      </c>
      <c r="BF653" s="55">
        <f>K653</f>
        <v>0</v>
      </c>
      <c r="BH653" s="55">
        <f>G653*AO653</f>
        <v>0</v>
      </c>
      <c r="BI653" s="55">
        <f>G653*AP653</f>
        <v>0</v>
      </c>
      <c r="BJ653" s="55">
        <f>G653*H653</f>
        <v>0</v>
      </c>
      <c r="BK653" s="55"/>
      <c r="BL653" s="55">
        <v>713</v>
      </c>
      <c r="BW653" s="55">
        <v>21</v>
      </c>
    </row>
    <row r="654" spans="1:12" ht="13.5" customHeight="1">
      <c r="A654" s="59"/>
      <c r="D654" s="218" t="s">
        <v>1266</v>
      </c>
      <c r="E654" s="219"/>
      <c r="F654" s="219"/>
      <c r="G654" s="219"/>
      <c r="H654" s="220"/>
      <c r="I654" s="219"/>
      <c r="J654" s="219"/>
      <c r="K654" s="219"/>
      <c r="L654" s="221"/>
    </row>
    <row r="655" spans="1:75" ht="13.5" customHeight="1">
      <c r="A655" s="61" t="s">
        <v>1267</v>
      </c>
      <c r="B655" s="62" t="s">
        <v>116</v>
      </c>
      <c r="C655" s="62" t="s">
        <v>1268</v>
      </c>
      <c r="D655" s="224" t="s">
        <v>1269</v>
      </c>
      <c r="E655" s="225"/>
      <c r="F655" s="62" t="s">
        <v>174</v>
      </c>
      <c r="G655" s="63">
        <v>35</v>
      </c>
      <c r="H655" s="64">
        <v>0</v>
      </c>
      <c r="I655" s="63">
        <f>G655*H655</f>
        <v>0</v>
      </c>
      <c r="J655" s="63">
        <v>0</v>
      </c>
      <c r="K655" s="63">
        <f>G655*J655</f>
        <v>0</v>
      </c>
      <c r="L655" s="65" t="s">
        <v>124</v>
      </c>
      <c r="Z655" s="55">
        <f>IF(AQ655="5",BJ655,0)</f>
        <v>0</v>
      </c>
      <c r="AB655" s="55">
        <f>IF(AQ655="1",BH655,0)</f>
        <v>0</v>
      </c>
      <c r="AC655" s="55">
        <f>IF(AQ655="1",BI655,0)</f>
        <v>0</v>
      </c>
      <c r="AD655" s="55">
        <f>IF(AQ655="7",BH655,0)</f>
        <v>0</v>
      </c>
      <c r="AE655" s="55">
        <f>IF(AQ655="7",BI655,0)</f>
        <v>0</v>
      </c>
      <c r="AF655" s="55">
        <f>IF(AQ655="2",BH655,0)</f>
        <v>0</v>
      </c>
      <c r="AG655" s="55">
        <f>IF(AQ655="2",BI655,0)</f>
        <v>0</v>
      </c>
      <c r="AH655" s="55">
        <f>IF(AQ655="0",BJ655,0)</f>
        <v>0</v>
      </c>
      <c r="AI655" s="34" t="s">
        <v>116</v>
      </c>
      <c r="AJ655" s="63">
        <f>IF(AN655=0,I655,0)</f>
        <v>0</v>
      </c>
      <c r="AK655" s="63">
        <f>IF(AN655=12,I655,0)</f>
        <v>0</v>
      </c>
      <c r="AL655" s="63">
        <f>IF(AN655=21,I655,0)</f>
        <v>0</v>
      </c>
      <c r="AN655" s="55">
        <v>21</v>
      </c>
      <c r="AO655" s="55">
        <f>H655*1</f>
        <v>0</v>
      </c>
      <c r="AP655" s="55">
        <f>H655*(1-1)</f>
        <v>0</v>
      </c>
      <c r="AQ655" s="66" t="s">
        <v>125</v>
      </c>
      <c r="AV655" s="55">
        <f>AW655+AX655</f>
        <v>0</v>
      </c>
      <c r="AW655" s="55">
        <f>G655*AO655</f>
        <v>0</v>
      </c>
      <c r="AX655" s="55">
        <f>G655*AP655</f>
        <v>0</v>
      </c>
      <c r="AY655" s="58" t="s">
        <v>1096</v>
      </c>
      <c r="AZ655" s="58" t="s">
        <v>1068</v>
      </c>
      <c r="BA655" s="34" t="s">
        <v>128</v>
      </c>
      <c r="BC655" s="55">
        <f>AW655+AX655</f>
        <v>0</v>
      </c>
      <c r="BD655" s="55">
        <f>H655/(100-BE655)*100</f>
        <v>0</v>
      </c>
      <c r="BE655" s="55">
        <v>0</v>
      </c>
      <c r="BF655" s="55">
        <f>K655</f>
        <v>0</v>
      </c>
      <c r="BH655" s="63">
        <f>G655*AO655</f>
        <v>0</v>
      </c>
      <c r="BI655" s="63">
        <f>G655*AP655</f>
        <v>0</v>
      </c>
      <c r="BJ655" s="63">
        <f>G655*H655</f>
        <v>0</v>
      </c>
      <c r="BK655" s="63"/>
      <c r="BL655" s="55">
        <v>713</v>
      </c>
      <c r="BW655" s="55">
        <v>21</v>
      </c>
    </row>
    <row r="656" spans="1:75" ht="13.5" customHeight="1">
      <c r="A656" s="61" t="s">
        <v>1270</v>
      </c>
      <c r="B656" s="62" t="s">
        <v>116</v>
      </c>
      <c r="C656" s="62" t="s">
        <v>1271</v>
      </c>
      <c r="D656" s="224" t="s">
        <v>1272</v>
      </c>
      <c r="E656" s="225"/>
      <c r="F656" s="62" t="s">
        <v>174</v>
      </c>
      <c r="G656" s="63">
        <v>25</v>
      </c>
      <c r="H656" s="64">
        <v>0</v>
      </c>
      <c r="I656" s="63">
        <f>G656*H656</f>
        <v>0</v>
      </c>
      <c r="J656" s="63">
        <v>0</v>
      </c>
      <c r="K656" s="63">
        <f>G656*J656</f>
        <v>0</v>
      </c>
      <c r="L656" s="65" t="s">
        <v>124</v>
      </c>
      <c r="Z656" s="55">
        <f>IF(AQ656="5",BJ656,0)</f>
        <v>0</v>
      </c>
      <c r="AB656" s="55">
        <f>IF(AQ656="1",BH656,0)</f>
        <v>0</v>
      </c>
      <c r="AC656" s="55">
        <f>IF(AQ656="1",BI656,0)</f>
        <v>0</v>
      </c>
      <c r="AD656" s="55">
        <f>IF(AQ656="7",BH656,0)</f>
        <v>0</v>
      </c>
      <c r="AE656" s="55">
        <f>IF(AQ656="7",BI656,0)</f>
        <v>0</v>
      </c>
      <c r="AF656" s="55">
        <f>IF(AQ656="2",BH656,0)</f>
        <v>0</v>
      </c>
      <c r="AG656" s="55">
        <f>IF(AQ656="2",BI656,0)</f>
        <v>0</v>
      </c>
      <c r="AH656" s="55">
        <f>IF(AQ656="0",BJ656,0)</f>
        <v>0</v>
      </c>
      <c r="AI656" s="34" t="s">
        <v>116</v>
      </c>
      <c r="AJ656" s="63">
        <f>IF(AN656=0,I656,0)</f>
        <v>0</v>
      </c>
      <c r="AK656" s="63">
        <f>IF(AN656=12,I656,0)</f>
        <v>0</v>
      </c>
      <c r="AL656" s="63">
        <f>IF(AN656=21,I656,0)</f>
        <v>0</v>
      </c>
      <c r="AN656" s="55">
        <v>21</v>
      </c>
      <c r="AO656" s="55">
        <f>H656*1</f>
        <v>0</v>
      </c>
      <c r="AP656" s="55">
        <f>H656*(1-1)</f>
        <v>0</v>
      </c>
      <c r="AQ656" s="66" t="s">
        <v>125</v>
      </c>
      <c r="AV656" s="55">
        <f>AW656+AX656</f>
        <v>0</v>
      </c>
      <c r="AW656" s="55">
        <f>G656*AO656</f>
        <v>0</v>
      </c>
      <c r="AX656" s="55">
        <f>G656*AP656</f>
        <v>0</v>
      </c>
      <c r="AY656" s="58" t="s">
        <v>1096</v>
      </c>
      <c r="AZ656" s="58" t="s">
        <v>1068</v>
      </c>
      <c r="BA656" s="34" t="s">
        <v>128</v>
      </c>
      <c r="BC656" s="55">
        <f>AW656+AX656</f>
        <v>0</v>
      </c>
      <c r="BD656" s="55">
        <f>H656/(100-BE656)*100</f>
        <v>0</v>
      </c>
      <c r="BE656" s="55">
        <v>0</v>
      </c>
      <c r="BF656" s="55">
        <f>K656</f>
        <v>0</v>
      </c>
      <c r="BH656" s="63">
        <f>G656*AO656</f>
        <v>0</v>
      </c>
      <c r="BI656" s="63">
        <f>G656*AP656</f>
        <v>0</v>
      </c>
      <c r="BJ656" s="63">
        <f>G656*H656</f>
        <v>0</v>
      </c>
      <c r="BK656" s="63"/>
      <c r="BL656" s="55">
        <v>713</v>
      </c>
      <c r="BW656" s="55">
        <v>21</v>
      </c>
    </row>
    <row r="657" spans="1:75" ht="13.5" customHeight="1">
      <c r="A657" s="61" t="s">
        <v>1273</v>
      </c>
      <c r="B657" s="62" t="s">
        <v>116</v>
      </c>
      <c r="C657" s="62" t="s">
        <v>1274</v>
      </c>
      <c r="D657" s="224" t="s">
        <v>1275</v>
      </c>
      <c r="E657" s="225"/>
      <c r="F657" s="62" t="s">
        <v>174</v>
      </c>
      <c r="G657" s="63">
        <v>30</v>
      </c>
      <c r="H657" s="64">
        <v>0</v>
      </c>
      <c r="I657" s="63">
        <f>G657*H657</f>
        <v>0</v>
      </c>
      <c r="J657" s="63">
        <v>0</v>
      </c>
      <c r="K657" s="63">
        <f>G657*J657</f>
        <v>0</v>
      </c>
      <c r="L657" s="65" t="s">
        <v>124</v>
      </c>
      <c r="Z657" s="55">
        <f>IF(AQ657="5",BJ657,0)</f>
        <v>0</v>
      </c>
      <c r="AB657" s="55">
        <f>IF(AQ657="1",BH657,0)</f>
        <v>0</v>
      </c>
      <c r="AC657" s="55">
        <f>IF(AQ657="1",BI657,0)</f>
        <v>0</v>
      </c>
      <c r="AD657" s="55">
        <f>IF(AQ657="7",BH657,0)</f>
        <v>0</v>
      </c>
      <c r="AE657" s="55">
        <f>IF(AQ657="7",BI657,0)</f>
        <v>0</v>
      </c>
      <c r="AF657" s="55">
        <f>IF(AQ657="2",BH657,0)</f>
        <v>0</v>
      </c>
      <c r="AG657" s="55">
        <f>IF(AQ657="2",BI657,0)</f>
        <v>0</v>
      </c>
      <c r="AH657" s="55">
        <f>IF(AQ657="0",BJ657,0)</f>
        <v>0</v>
      </c>
      <c r="AI657" s="34" t="s">
        <v>116</v>
      </c>
      <c r="AJ657" s="63">
        <f>IF(AN657=0,I657,0)</f>
        <v>0</v>
      </c>
      <c r="AK657" s="63">
        <f>IF(AN657=12,I657,0)</f>
        <v>0</v>
      </c>
      <c r="AL657" s="63">
        <f>IF(AN657=21,I657,0)</f>
        <v>0</v>
      </c>
      <c r="AN657" s="55">
        <v>21</v>
      </c>
      <c r="AO657" s="55">
        <f>H657*1</f>
        <v>0</v>
      </c>
      <c r="AP657" s="55">
        <f>H657*(1-1)</f>
        <v>0</v>
      </c>
      <c r="AQ657" s="66" t="s">
        <v>125</v>
      </c>
      <c r="AV657" s="55">
        <f>AW657+AX657</f>
        <v>0</v>
      </c>
      <c r="AW657" s="55">
        <f>G657*AO657</f>
        <v>0</v>
      </c>
      <c r="AX657" s="55">
        <f>G657*AP657</f>
        <v>0</v>
      </c>
      <c r="AY657" s="58" t="s">
        <v>1096</v>
      </c>
      <c r="AZ657" s="58" t="s">
        <v>1068</v>
      </c>
      <c r="BA657" s="34" t="s">
        <v>128</v>
      </c>
      <c r="BC657" s="55">
        <f>AW657+AX657</f>
        <v>0</v>
      </c>
      <c r="BD657" s="55">
        <f>H657/(100-BE657)*100</f>
        <v>0</v>
      </c>
      <c r="BE657" s="55">
        <v>0</v>
      </c>
      <c r="BF657" s="55">
        <f>K657</f>
        <v>0</v>
      </c>
      <c r="BH657" s="63">
        <f>G657*AO657</f>
        <v>0</v>
      </c>
      <c r="BI657" s="63">
        <f>G657*AP657</f>
        <v>0</v>
      </c>
      <c r="BJ657" s="63">
        <f>G657*H657</f>
        <v>0</v>
      </c>
      <c r="BK657" s="63"/>
      <c r="BL657" s="55">
        <v>713</v>
      </c>
      <c r="BW657" s="55">
        <v>21</v>
      </c>
    </row>
    <row r="658" spans="1:75" ht="27" customHeight="1">
      <c r="A658" s="1" t="s">
        <v>1276</v>
      </c>
      <c r="B658" s="2" t="s">
        <v>116</v>
      </c>
      <c r="C658" s="2" t="s">
        <v>1277</v>
      </c>
      <c r="D658" s="147" t="s">
        <v>1278</v>
      </c>
      <c r="E658" s="148"/>
      <c r="F658" s="2" t="s">
        <v>174</v>
      </c>
      <c r="G658" s="55">
        <v>70</v>
      </c>
      <c r="H658" s="56">
        <v>0</v>
      </c>
      <c r="I658" s="55">
        <f>G658*H658</f>
        <v>0</v>
      </c>
      <c r="J658" s="55">
        <v>0</v>
      </c>
      <c r="K658" s="55">
        <f>G658*J658</f>
        <v>0</v>
      </c>
      <c r="L658" s="57" t="s">
        <v>124</v>
      </c>
      <c r="Z658" s="55">
        <f>IF(AQ658="5",BJ658,0)</f>
        <v>0</v>
      </c>
      <c r="AB658" s="55">
        <f>IF(AQ658="1",BH658,0)</f>
        <v>0</v>
      </c>
      <c r="AC658" s="55">
        <f>IF(AQ658="1",BI658,0)</f>
        <v>0</v>
      </c>
      <c r="AD658" s="55">
        <f>IF(AQ658="7",BH658,0)</f>
        <v>0</v>
      </c>
      <c r="AE658" s="55">
        <f>IF(AQ658="7",BI658,0)</f>
        <v>0</v>
      </c>
      <c r="AF658" s="55">
        <f>IF(AQ658="2",BH658,0)</f>
        <v>0</v>
      </c>
      <c r="AG658" s="55">
        <f>IF(AQ658="2",BI658,0)</f>
        <v>0</v>
      </c>
      <c r="AH658" s="55">
        <f>IF(AQ658="0",BJ658,0)</f>
        <v>0</v>
      </c>
      <c r="AI658" s="34" t="s">
        <v>116</v>
      </c>
      <c r="AJ658" s="55">
        <f>IF(AN658=0,I658,0)</f>
        <v>0</v>
      </c>
      <c r="AK658" s="55">
        <f>IF(AN658=12,I658,0)</f>
        <v>0</v>
      </c>
      <c r="AL658" s="55">
        <f>IF(AN658=21,I658,0)</f>
        <v>0</v>
      </c>
      <c r="AN658" s="55">
        <v>21</v>
      </c>
      <c r="AO658" s="55">
        <f>H658*0</f>
        <v>0</v>
      </c>
      <c r="AP658" s="55">
        <f>H658*(1-0)</f>
        <v>0</v>
      </c>
      <c r="AQ658" s="58" t="s">
        <v>125</v>
      </c>
      <c r="AV658" s="55">
        <f>AW658+AX658</f>
        <v>0</v>
      </c>
      <c r="AW658" s="55">
        <f>G658*AO658</f>
        <v>0</v>
      </c>
      <c r="AX658" s="55">
        <f>G658*AP658</f>
        <v>0</v>
      </c>
      <c r="AY658" s="58" t="s">
        <v>1096</v>
      </c>
      <c r="AZ658" s="58" t="s">
        <v>1068</v>
      </c>
      <c r="BA658" s="34" t="s">
        <v>128</v>
      </c>
      <c r="BC658" s="55">
        <f>AW658+AX658</f>
        <v>0</v>
      </c>
      <c r="BD658" s="55">
        <f>H658/(100-BE658)*100</f>
        <v>0</v>
      </c>
      <c r="BE658" s="55">
        <v>0</v>
      </c>
      <c r="BF658" s="55">
        <f>K658</f>
        <v>0</v>
      </c>
      <c r="BH658" s="55">
        <f>G658*AO658</f>
        <v>0</v>
      </c>
      <c r="BI658" s="55">
        <f>G658*AP658</f>
        <v>0</v>
      </c>
      <c r="BJ658" s="55">
        <f>G658*H658</f>
        <v>0</v>
      </c>
      <c r="BK658" s="55"/>
      <c r="BL658" s="55">
        <v>713</v>
      </c>
      <c r="BW658" s="55">
        <v>21</v>
      </c>
    </row>
    <row r="659" spans="1:12" ht="13.5" customHeight="1">
      <c r="A659" s="59"/>
      <c r="D659" s="218" t="s">
        <v>1266</v>
      </c>
      <c r="E659" s="219"/>
      <c r="F659" s="219"/>
      <c r="G659" s="219"/>
      <c r="H659" s="220"/>
      <c r="I659" s="219"/>
      <c r="J659" s="219"/>
      <c r="K659" s="219"/>
      <c r="L659" s="221"/>
    </row>
    <row r="660" spans="1:75" ht="13.5" customHeight="1">
      <c r="A660" s="61" t="s">
        <v>1279</v>
      </c>
      <c r="B660" s="62" t="s">
        <v>116</v>
      </c>
      <c r="C660" s="62" t="s">
        <v>1280</v>
      </c>
      <c r="D660" s="224" t="s">
        <v>1281</v>
      </c>
      <c r="E660" s="225"/>
      <c r="F660" s="62" t="s">
        <v>174</v>
      </c>
      <c r="G660" s="63">
        <v>70</v>
      </c>
      <c r="H660" s="64">
        <v>0</v>
      </c>
      <c r="I660" s="63">
        <f>G660*H660</f>
        <v>0</v>
      </c>
      <c r="J660" s="63">
        <v>0</v>
      </c>
      <c r="K660" s="63">
        <f>G660*J660</f>
        <v>0</v>
      </c>
      <c r="L660" s="65" t="s">
        <v>124</v>
      </c>
      <c r="Z660" s="55">
        <f>IF(AQ660="5",BJ660,0)</f>
        <v>0</v>
      </c>
      <c r="AB660" s="55">
        <f>IF(AQ660="1",BH660,0)</f>
        <v>0</v>
      </c>
      <c r="AC660" s="55">
        <f>IF(AQ660="1",BI660,0)</f>
        <v>0</v>
      </c>
      <c r="AD660" s="55">
        <f>IF(AQ660="7",BH660,0)</f>
        <v>0</v>
      </c>
      <c r="AE660" s="55">
        <f>IF(AQ660="7",BI660,0)</f>
        <v>0</v>
      </c>
      <c r="AF660" s="55">
        <f>IF(AQ660="2",BH660,0)</f>
        <v>0</v>
      </c>
      <c r="AG660" s="55">
        <f>IF(AQ660="2",BI660,0)</f>
        <v>0</v>
      </c>
      <c r="AH660" s="55">
        <f>IF(AQ660="0",BJ660,0)</f>
        <v>0</v>
      </c>
      <c r="AI660" s="34" t="s">
        <v>116</v>
      </c>
      <c r="AJ660" s="63">
        <f>IF(AN660=0,I660,0)</f>
        <v>0</v>
      </c>
      <c r="AK660" s="63">
        <f>IF(AN660=12,I660,0)</f>
        <v>0</v>
      </c>
      <c r="AL660" s="63">
        <f>IF(AN660=21,I660,0)</f>
        <v>0</v>
      </c>
      <c r="AN660" s="55">
        <v>21</v>
      </c>
      <c r="AO660" s="55">
        <f>H660*1</f>
        <v>0</v>
      </c>
      <c r="AP660" s="55">
        <f>H660*(1-1)</f>
        <v>0</v>
      </c>
      <c r="AQ660" s="66" t="s">
        <v>125</v>
      </c>
      <c r="AV660" s="55">
        <f>AW660+AX660</f>
        <v>0</v>
      </c>
      <c r="AW660" s="55">
        <f>G660*AO660</f>
        <v>0</v>
      </c>
      <c r="AX660" s="55">
        <f>G660*AP660</f>
        <v>0</v>
      </c>
      <c r="AY660" s="58" t="s">
        <v>1096</v>
      </c>
      <c r="AZ660" s="58" t="s">
        <v>1068</v>
      </c>
      <c r="BA660" s="34" t="s">
        <v>128</v>
      </c>
      <c r="BC660" s="55">
        <f>AW660+AX660</f>
        <v>0</v>
      </c>
      <c r="BD660" s="55">
        <f>H660/(100-BE660)*100</f>
        <v>0</v>
      </c>
      <c r="BE660" s="55">
        <v>0</v>
      </c>
      <c r="BF660" s="55">
        <f>K660</f>
        <v>0</v>
      </c>
      <c r="BH660" s="63">
        <f>G660*AO660</f>
        <v>0</v>
      </c>
      <c r="BI660" s="63">
        <f>G660*AP660</f>
        <v>0</v>
      </c>
      <c r="BJ660" s="63">
        <f>G660*H660</f>
        <v>0</v>
      </c>
      <c r="BK660" s="63"/>
      <c r="BL660" s="55">
        <v>713</v>
      </c>
      <c r="BW660" s="55">
        <v>21</v>
      </c>
    </row>
    <row r="661" spans="1:75" ht="27" customHeight="1">
      <c r="A661" s="1" t="s">
        <v>1282</v>
      </c>
      <c r="B661" s="2" t="s">
        <v>116</v>
      </c>
      <c r="C661" s="2" t="s">
        <v>1264</v>
      </c>
      <c r="D661" s="147" t="s">
        <v>1265</v>
      </c>
      <c r="E661" s="148"/>
      <c r="F661" s="2" t="s">
        <v>174</v>
      </c>
      <c r="G661" s="55">
        <v>290</v>
      </c>
      <c r="H661" s="56">
        <v>0</v>
      </c>
      <c r="I661" s="55">
        <f>G661*H661</f>
        <v>0</v>
      </c>
      <c r="J661" s="55">
        <v>0</v>
      </c>
      <c r="K661" s="55">
        <f>G661*J661</f>
        <v>0</v>
      </c>
      <c r="L661" s="57" t="s">
        <v>124</v>
      </c>
      <c r="Z661" s="55">
        <f>IF(AQ661="5",BJ661,0)</f>
        <v>0</v>
      </c>
      <c r="AB661" s="55">
        <f>IF(AQ661="1",BH661,0)</f>
        <v>0</v>
      </c>
      <c r="AC661" s="55">
        <f>IF(AQ661="1",BI661,0)</f>
        <v>0</v>
      </c>
      <c r="AD661" s="55">
        <f>IF(AQ661="7",BH661,0)</f>
        <v>0</v>
      </c>
      <c r="AE661" s="55">
        <f>IF(AQ661="7",BI661,0)</f>
        <v>0</v>
      </c>
      <c r="AF661" s="55">
        <f>IF(AQ661="2",BH661,0)</f>
        <v>0</v>
      </c>
      <c r="AG661" s="55">
        <f>IF(AQ661="2",BI661,0)</f>
        <v>0</v>
      </c>
      <c r="AH661" s="55">
        <f>IF(AQ661="0",BJ661,0)</f>
        <v>0</v>
      </c>
      <c r="AI661" s="34" t="s">
        <v>116</v>
      </c>
      <c r="AJ661" s="55">
        <f>IF(AN661=0,I661,0)</f>
        <v>0</v>
      </c>
      <c r="AK661" s="55">
        <f>IF(AN661=12,I661,0)</f>
        <v>0</v>
      </c>
      <c r="AL661" s="55">
        <f>IF(AN661=21,I661,0)</f>
        <v>0</v>
      </c>
      <c r="AN661" s="55">
        <v>21</v>
      </c>
      <c r="AO661" s="55">
        <f>H661*0</f>
        <v>0</v>
      </c>
      <c r="AP661" s="55">
        <f>H661*(1-0)</f>
        <v>0</v>
      </c>
      <c r="AQ661" s="58" t="s">
        <v>125</v>
      </c>
      <c r="AV661" s="55">
        <f>AW661+AX661</f>
        <v>0</v>
      </c>
      <c r="AW661" s="55">
        <f>G661*AO661</f>
        <v>0</v>
      </c>
      <c r="AX661" s="55">
        <f>G661*AP661</f>
        <v>0</v>
      </c>
      <c r="AY661" s="58" t="s">
        <v>1096</v>
      </c>
      <c r="AZ661" s="58" t="s">
        <v>1068</v>
      </c>
      <c r="BA661" s="34" t="s">
        <v>128</v>
      </c>
      <c r="BC661" s="55">
        <f>AW661+AX661</f>
        <v>0</v>
      </c>
      <c r="BD661" s="55">
        <f>H661/(100-BE661)*100</f>
        <v>0</v>
      </c>
      <c r="BE661" s="55">
        <v>0</v>
      </c>
      <c r="BF661" s="55">
        <f>K661</f>
        <v>0</v>
      </c>
      <c r="BH661" s="55">
        <f>G661*AO661</f>
        <v>0</v>
      </c>
      <c r="BI661" s="55">
        <f>G661*AP661</f>
        <v>0</v>
      </c>
      <c r="BJ661" s="55">
        <f>G661*H661</f>
        <v>0</v>
      </c>
      <c r="BK661" s="55"/>
      <c r="BL661" s="55">
        <v>713</v>
      </c>
      <c r="BW661" s="55">
        <v>21</v>
      </c>
    </row>
    <row r="662" spans="1:12" ht="13.5" customHeight="1">
      <c r="A662" s="59"/>
      <c r="D662" s="218" t="s">
        <v>1283</v>
      </c>
      <c r="E662" s="219"/>
      <c r="F662" s="219"/>
      <c r="G662" s="219"/>
      <c r="H662" s="220"/>
      <c r="I662" s="219"/>
      <c r="J662" s="219"/>
      <c r="K662" s="219"/>
      <c r="L662" s="221"/>
    </row>
    <row r="663" spans="1:75" ht="13.5" customHeight="1">
      <c r="A663" s="61" t="s">
        <v>1284</v>
      </c>
      <c r="B663" s="62" t="s">
        <v>116</v>
      </c>
      <c r="C663" s="62" t="s">
        <v>1285</v>
      </c>
      <c r="D663" s="224" t="s">
        <v>1286</v>
      </c>
      <c r="E663" s="225"/>
      <c r="F663" s="62" t="s">
        <v>174</v>
      </c>
      <c r="G663" s="63">
        <v>100</v>
      </c>
      <c r="H663" s="64">
        <v>0</v>
      </c>
      <c r="I663" s="63">
        <f aca="true" t="shared" si="66" ref="I663:I669">G663*H663</f>
        <v>0</v>
      </c>
      <c r="J663" s="63">
        <v>0</v>
      </c>
      <c r="K663" s="63">
        <f aca="true" t="shared" si="67" ref="K663:K669">G663*J663</f>
        <v>0</v>
      </c>
      <c r="L663" s="65" t="s">
        <v>124</v>
      </c>
      <c r="Z663" s="55">
        <f aca="true" t="shared" si="68" ref="Z663:Z669">IF(AQ663="5",BJ663,0)</f>
        <v>0</v>
      </c>
      <c r="AB663" s="55">
        <f aca="true" t="shared" si="69" ref="AB663:AB669">IF(AQ663="1",BH663,0)</f>
        <v>0</v>
      </c>
      <c r="AC663" s="55">
        <f aca="true" t="shared" si="70" ref="AC663:AC669">IF(AQ663="1",BI663,0)</f>
        <v>0</v>
      </c>
      <c r="AD663" s="55">
        <f aca="true" t="shared" si="71" ref="AD663:AD669">IF(AQ663="7",BH663,0)</f>
        <v>0</v>
      </c>
      <c r="AE663" s="55">
        <f aca="true" t="shared" si="72" ref="AE663:AE669">IF(AQ663="7",BI663,0)</f>
        <v>0</v>
      </c>
      <c r="AF663" s="55">
        <f aca="true" t="shared" si="73" ref="AF663:AF669">IF(AQ663="2",BH663,0)</f>
        <v>0</v>
      </c>
      <c r="AG663" s="55">
        <f aca="true" t="shared" si="74" ref="AG663:AG669">IF(AQ663="2",BI663,0)</f>
        <v>0</v>
      </c>
      <c r="AH663" s="55">
        <f aca="true" t="shared" si="75" ref="AH663:AH669">IF(AQ663="0",BJ663,0)</f>
        <v>0</v>
      </c>
      <c r="AI663" s="34" t="s">
        <v>116</v>
      </c>
      <c r="AJ663" s="63">
        <f aca="true" t="shared" si="76" ref="AJ663:AJ669">IF(AN663=0,I663,0)</f>
        <v>0</v>
      </c>
      <c r="AK663" s="63">
        <f aca="true" t="shared" si="77" ref="AK663:AK669">IF(AN663=12,I663,0)</f>
        <v>0</v>
      </c>
      <c r="AL663" s="63">
        <f aca="true" t="shared" si="78" ref="AL663:AL669">IF(AN663=21,I663,0)</f>
        <v>0</v>
      </c>
      <c r="AN663" s="55">
        <v>21</v>
      </c>
      <c r="AO663" s="55">
        <f aca="true" t="shared" si="79" ref="AO663:AO668">H663*1</f>
        <v>0</v>
      </c>
      <c r="AP663" s="55">
        <f aca="true" t="shared" si="80" ref="AP663:AP668">H663*(1-1)</f>
        <v>0</v>
      </c>
      <c r="AQ663" s="66" t="s">
        <v>125</v>
      </c>
      <c r="AV663" s="55">
        <f aca="true" t="shared" si="81" ref="AV663:AV669">AW663+AX663</f>
        <v>0</v>
      </c>
      <c r="AW663" s="55">
        <f aca="true" t="shared" si="82" ref="AW663:AW669">G663*AO663</f>
        <v>0</v>
      </c>
      <c r="AX663" s="55">
        <f aca="true" t="shared" si="83" ref="AX663:AX669">G663*AP663</f>
        <v>0</v>
      </c>
      <c r="AY663" s="58" t="s">
        <v>1096</v>
      </c>
      <c r="AZ663" s="58" t="s">
        <v>1068</v>
      </c>
      <c r="BA663" s="34" t="s">
        <v>128</v>
      </c>
      <c r="BC663" s="55">
        <f aca="true" t="shared" si="84" ref="BC663:BC669">AW663+AX663</f>
        <v>0</v>
      </c>
      <c r="BD663" s="55">
        <f aca="true" t="shared" si="85" ref="BD663:BD669">H663/(100-BE663)*100</f>
        <v>0</v>
      </c>
      <c r="BE663" s="55">
        <v>0</v>
      </c>
      <c r="BF663" s="55">
        <f aca="true" t="shared" si="86" ref="BF663:BF669">K663</f>
        <v>0</v>
      </c>
      <c r="BH663" s="63">
        <f aca="true" t="shared" si="87" ref="BH663:BH669">G663*AO663</f>
        <v>0</v>
      </c>
      <c r="BI663" s="63">
        <f aca="true" t="shared" si="88" ref="BI663:BI669">G663*AP663</f>
        <v>0</v>
      </c>
      <c r="BJ663" s="63">
        <f aca="true" t="shared" si="89" ref="BJ663:BJ669">G663*H663</f>
        <v>0</v>
      </c>
      <c r="BK663" s="63"/>
      <c r="BL663" s="55">
        <v>713</v>
      </c>
      <c r="BW663" s="55">
        <v>21</v>
      </c>
    </row>
    <row r="664" spans="1:75" ht="13.5" customHeight="1">
      <c r="A664" s="61" t="s">
        <v>1287</v>
      </c>
      <c r="B664" s="62" t="s">
        <v>116</v>
      </c>
      <c r="C664" s="62" t="s">
        <v>1288</v>
      </c>
      <c r="D664" s="224" t="s">
        <v>1289</v>
      </c>
      <c r="E664" s="225"/>
      <c r="F664" s="62" t="s">
        <v>174</v>
      </c>
      <c r="G664" s="63">
        <v>40</v>
      </c>
      <c r="H664" s="64">
        <v>0</v>
      </c>
      <c r="I664" s="63">
        <f t="shared" si="66"/>
        <v>0</v>
      </c>
      <c r="J664" s="63">
        <v>0</v>
      </c>
      <c r="K664" s="63">
        <f t="shared" si="67"/>
        <v>0</v>
      </c>
      <c r="L664" s="65" t="s">
        <v>124</v>
      </c>
      <c r="Z664" s="55">
        <f t="shared" si="68"/>
        <v>0</v>
      </c>
      <c r="AB664" s="55">
        <f t="shared" si="69"/>
        <v>0</v>
      </c>
      <c r="AC664" s="55">
        <f t="shared" si="70"/>
        <v>0</v>
      </c>
      <c r="AD664" s="55">
        <f t="shared" si="71"/>
        <v>0</v>
      </c>
      <c r="AE664" s="55">
        <f t="shared" si="72"/>
        <v>0</v>
      </c>
      <c r="AF664" s="55">
        <f t="shared" si="73"/>
        <v>0</v>
      </c>
      <c r="AG664" s="55">
        <f t="shared" si="74"/>
        <v>0</v>
      </c>
      <c r="AH664" s="55">
        <f t="shared" si="75"/>
        <v>0</v>
      </c>
      <c r="AI664" s="34" t="s">
        <v>116</v>
      </c>
      <c r="AJ664" s="63">
        <f t="shared" si="76"/>
        <v>0</v>
      </c>
      <c r="AK664" s="63">
        <f t="shared" si="77"/>
        <v>0</v>
      </c>
      <c r="AL664" s="63">
        <f t="shared" si="78"/>
        <v>0</v>
      </c>
      <c r="AN664" s="55">
        <v>21</v>
      </c>
      <c r="AO664" s="55">
        <f t="shared" si="79"/>
        <v>0</v>
      </c>
      <c r="AP664" s="55">
        <f t="shared" si="80"/>
        <v>0</v>
      </c>
      <c r="AQ664" s="66" t="s">
        <v>125</v>
      </c>
      <c r="AV664" s="55">
        <f t="shared" si="81"/>
        <v>0</v>
      </c>
      <c r="AW664" s="55">
        <f t="shared" si="82"/>
        <v>0</v>
      </c>
      <c r="AX664" s="55">
        <f t="shared" si="83"/>
        <v>0</v>
      </c>
      <c r="AY664" s="58" t="s">
        <v>1096</v>
      </c>
      <c r="AZ664" s="58" t="s">
        <v>1068</v>
      </c>
      <c r="BA664" s="34" t="s">
        <v>128</v>
      </c>
      <c r="BC664" s="55">
        <f t="shared" si="84"/>
        <v>0</v>
      </c>
      <c r="BD664" s="55">
        <f t="shared" si="85"/>
        <v>0</v>
      </c>
      <c r="BE664" s="55">
        <v>0</v>
      </c>
      <c r="BF664" s="55">
        <f t="shared" si="86"/>
        <v>0</v>
      </c>
      <c r="BH664" s="63">
        <f t="shared" si="87"/>
        <v>0</v>
      </c>
      <c r="BI664" s="63">
        <f t="shared" si="88"/>
        <v>0</v>
      </c>
      <c r="BJ664" s="63">
        <f t="shared" si="89"/>
        <v>0</v>
      </c>
      <c r="BK664" s="63"/>
      <c r="BL664" s="55">
        <v>713</v>
      </c>
      <c r="BW664" s="55">
        <v>21</v>
      </c>
    </row>
    <row r="665" spans="1:75" ht="13.5" customHeight="1">
      <c r="A665" s="61" t="s">
        <v>1290</v>
      </c>
      <c r="B665" s="62" t="s">
        <v>116</v>
      </c>
      <c r="C665" s="62" t="s">
        <v>1291</v>
      </c>
      <c r="D665" s="224" t="s">
        <v>1292</v>
      </c>
      <c r="E665" s="225"/>
      <c r="F665" s="62" t="s">
        <v>174</v>
      </c>
      <c r="G665" s="63">
        <v>60</v>
      </c>
      <c r="H665" s="64">
        <v>0</v>
      </c>
      <c r="I665" s="63">
        <f t="shared" si="66"/>
        <v>0</v>
      </c>
      <c r="J665" s="63">
        <v>0</v>
      </c>
      <c r="K665" s="63">
        <f t="shared" si="67"/>
        <v>0</v>
      </c>
      <c r="L665" s="65" t="s">
        <v>124</v>
      </c>
      <c r="Z665" s="55">
        <f t="shared" si="68"/>
        <v>0</v>
      </c>
      <c r="AB665" s="55">
        <f t="shared" si="69"/>
        <v>0</v>
      </c>
      <c r="AC665" s="55">
        <f t="shared" si="70"/>
        <v>0</v>
      </c>
      <c r="AD665" s="55">
        <f t="shared" si="71"/>
        <v>0</v>
      </c>
      <c r="AE665" s="55">
        <f t="shared" si="72"/>
        <v>0</v>
      </c>
      <c r="AF665" s="55">
        <f t="shared" si="73"/>
        <v>0</v>
      </c>
      <c r="AG665" s="55">
        <f t="shared" si="74"/>
        <v>0</v>
      </c>
      <c r="AH665" s="55">
        <f t="shared" si="75"/>
        <v>0</v>
      </c>
      <c r="AI665" s="34" t="s">
        <v>116</v>
      </c>
      <c r="AJ665" s="63">
        <f t="shared" si="76"/>
        <v>0</v>
      </c>
      <c r="AK665" s="63">
        <f t="shared" si="77"/>
        <v>0</v>
      </c>
      <c r="AL665" s="63">
        <f t="shared" si="78"/>
        <v>0</v>
      </c>
      <c r="AN665" s="55">
        <v>21</v>
      </c>
      <c r="AO665" s="55">
        <f t="shared" si="79"/>
        <v>0</v>
      </c>
      <c r="AP665" s="55">
        <f t="shared" si="80"/>
        <v>0</v>
      </c>
      <c r="AQ665" s="66" t="s">
        <v>125</v>
      </c>
      <c r="AV665" s="55">
        <f t="shared" si="81"/>
        <v>0</v>
      </c>
      <c r="AW665" s="55">
        <f t="shared" si="82"/>
        <v>0</v>
      </c>
      <c r="AX665" s="55">
        <f t="shared" si="83"/>
        <v>0</v>
      </c>
      <c r="AY665" s="58" t="s">
        <v>1096</v>
      </c>
      <c r="AZ665" s="58" t="s">
        <v>1068</v>
      </c>
      <c r="BA665" s="34" t="s">
        <v>128</v>
      </c>
      <c r="BC665" s="55">
        <f t="shared" si="84"/>
        <v>0</v>
      </c>
      <c r="BD665" s="55">
        <f t="shared" si="85"/>
        <v>0</v>
      </c>
      <c r="BE665" s="55">
        <v>0</v>
      </c>
      <c r="BF665" s="55">
        <f t="shared" si="86"/>
        <v>0</v>
      </c>
      <c r="BH665" s="63">
        <f t="shared" si="87"/>
        <v>0</v>
      </c>
      <c r="BI665" s="63">
        <f t="shared" si="88"/>
        <v>0</v>
      </c>
      <c r="BJ665" s="63">
        <f t="shared" si="89"/>
        <v>0</v>
      </c>
      <c r="BK665" s="63"/>
      <c r="BL665" s="55">
        <v>713</v>
      </c>
      <c r="BW665" s="55">
        <v>21</v>
      </c>
    </row>
    <row r="666" spans="1:75" ht="13.5" customHeight="1">
      <c r="A666" s="61" t="s">
        <v>1293</v>
      </c>
      <c r="B666" s="62" t="s">
        <v>116</v>
      </c>
      <c r="C666" s="62" t="s">
        <v>1294</v>
      </c>
      <c r="D666" s="224" t="s">
        <v>1295</v>
      </c>
      <c r="E666" s="225"/>
      <c r="F666" s="62" t="s">
        <v>174</v>
      </c>
      <c r="G666" s="63">
        <v>40</v>
      </c>
      <c r="H666" s="64">
        <v>0</v>
      </c>
      <c r="I666" s="63">
        <f t="shared" si="66"/>
        <v>0</v>
      </c>
      <c r="J666" s="63">
        <v>0</v>
      </c>
      <c r="K666" s="63">
        <f t="shared" si="67"/>
        <v>0</v>
      </c>
      <c r="L666" s="65" t="s">
        <v>124</v>
      </c>
      <c r="Z666" s="55">
        <f t="shared" si="68"/>
        <v>0</v>
      </c>
      <c r="AB666" s="55">
        <f t="shared" si="69"/>
        <v>0</v>
      </c>
      <c r="AC666" s="55">
        <f t="shared" si="70"/>
        <v>0</v>
      </c>
      <c r="AD666" s="55">
        <f t="shared" si="71"/>
        <v>0</v>
      </c>
      <c r="AE666" s="55">
        <f t="shared" si="72"/>
        <v>0</v>
      </c>
      <c r="AF666" s="55">
        <f t="shared" si="73"/>
        <v>0</v>
      </c>
      <c r="AG666" s="55">
        <f t="shared" si="74"/>
        <v>0</v>
      </c>
      <c r="AH666" s="55">
        <f t="shared" si="75"/>
        <v>0</v>
      </c>
      <c r="AI666" s="34" t="s">
        <v>116</v>
      </c>
      <c r="AJ666" s="63">
        <f t="shared" si="76"/>
        <v>0</v>
      </c>
      <c r="AK666" s="63">
        <f t="shared" si="77"/>
        <v>0</v>
      </c>
      <c r="AL666" s="63">
        <f t="shared" si="78"/>
        <v>0</v>
      </c>
      <c r="AN666" s="55">
        <v>21</v>
      </c>
      <c r="AO666" s="55">
        <f t="shared" si="79"/>
        <v>0</v>
      </c>
      <c r="AP666" s="55">
        <f t="shared" si="80"/>
        <v>0</v>
      </c>
      <c r="AQ666" s="66" t="s">
        <v>125</v>
      </c>
      <c r="AV666" s="55">
        <f t="shared" si="81"/>
        <v>0</v>
      </c>
      <c r="AW666" s="55">
        <f t="shared" si="82"/>
        <v>0</v>
      </c>
      <c r="AX666" s="55">
        <f t="shared" si="83"/>
        <v>0</v>
      </c>
      <c r="AY666" s="58" t="s">
        <v>1096</v>
      </c>
      <c r="AZ666" s="58" t="s">
        <v>1068</v>
      </c>
      <c r="BA666" s="34" t="s">
        <v>128</v>
      </c>
      <c r="BC666" s="55">
        <f t="shared" si="84"/>
        <v>0</v>
      </c>
      <c r="BD666" s="55">
        <f t="shared" si="85"/>
        <v>0</v>
      </c>
      <c r="BE666" s="55">
        <v>0</v>
      </c>
      <c r="BF666" s="55">
        <f t="shared" si="86"/>
        <v>0</v>
      </c>
      <c r="BH666" s="63">
        <f t="shared" si="87"/>
        <v>0</v>
      </c>
      <c r="BI666" s="63">
        <f t="shared" si="88"/>
        <v>0</v>
      </c>
      <c r="BJ666" s="63">
        <f t="shared" si="89"/>
        <v>0</v>
      </c>
      <c r="BK666" s="63"/>
      <c r="BL666" s="55">
        <v>713</v>
      </c>
      <c r="BW666" s="55">
        <v>21</v>
      </c>
    </row>
    <row r="667" spans="1:75" ht="13.5" customHeight="1">
      <c r="A667" s="61" t="s">
        <v>1296</v>
      </c>
      <c r="B667" s="62" t="s">
        <v>116</v>
      </c>
      <c r="C667" s="62" t="s">
        <v>1297</v>
      </c>
      <c r="D667" s="224" t="s">
        <v>1298</v>
      </c>
      <c r="E667" s="225"/>
      <c r="F667" s="62" t="s">
        <v>174</v>
      </c>
      <c r="G667" s="63">
        <v>50</v>
      </c>
      <c r="H667" s="64">
        <v>0</v>
      </c>
      <c r="I667" s="63">
        <f t="shared" si="66"/>
        <v>0</v>
      </c>
      <c r="J667" s="63">
        <v>0</v>
      </c>
      <c r="K667" s="63">
        <f t="shared" si="67"/>
        <v>0</v>
      </c>
      <c r="L667" s="65" t="s">
        <v>124</v>
      </c>
      <c r="Z667" s="55">
        <f t="shared" si="68"/>
        <v>0</v>
      </c>
      <c r="AB667" s="55">
        <f t="shared" si="69"/>
        <v>0</v>
      </c>
      <c r="AC667" s="55">
        <f t="shared" si="70"/>
        <v>0</v>
      </c>
      <c r="AD667" s="55">
        <f t="shared" si="71"/>
        <v>0</v>
      </c>
      <c r="AE667" s="55">
        <f t="shared" si="72"/>
        <v>0</v>
      </c>
      <c r="AF667" s="55">
        <f t="shared" si="73"/>
        <v>0</v>
      </c>
      <c r="AG667" s="55">
        <f t="shared" si="74"/>
        <v>0</v>
      </c>
      <c r="AH667" s="55">
        <f t="shared" si="75"/>
        <v>0</v>
      </c>
      <c r="AI667" s="34" t="s">
        <v>116</v>
      </c>
      <c r="AJ667" s="63">
        <f t="shared" si="76"/>
        <v>0</v>
      </c>
      <c r="AK667" s="63">
        <f t="shared" si="77"/>
        <v>0</v>
      </c>
      <c r="AL667" s="63">
        <f t="shared" si="78"/>
        <v>0</v>
      </c>
      <c r="AN667" s="55">
        <v>21</v>
      </c>
      <c r="AO667" s="55">
        <f t="shared" si="79"/>
        <v>0</v>
      </c>
      <c r="AP667" s="55">
        <f t="shared" si="80"/>
        <v>0</v>
      </c>
      <c r="AQ667" s="66" t="s">
        <v>125</v>
      </c>
      <c r="AV667" s="55">
        <f t="shared" si="81"/>
        <v>0</v>
      </c>
      <c r="AW667" s="55">
        <f t="shared" si="82"/>
        <v>0</v>
      </c>
      <c r="AX667" s="55">
        <f t="shared" si="83"/>
        <v>0</v>
      </c>
      <c r="AY667" s="58" t="s">
        <v>1096</v>
      </c>
      <c r="AZ667" s="58" t="s">
        <v>1068</v>
      </c>
      <c r="BA667" s="34" t="s">
        <v>128</v>
      </c>
      <c r="BC667" s="55">
        <f t="shared" si="84"/>
        <v>0</v>
      </c>
      <c r="BD667" s="55">
        <f t="shared" si="85"/>
        <v>0</v>
      </c>
      <c r="BE667" s="55">
        <v>0</v>
      </c>
      <c r="BF667" s="55">
        <f t="shared" si="86"/>
        <v>0</v>
      </c>
      <c r="BH667" s="63">
        <f t="shared" si="87"/>
        <v>0</v>
      </c>
      <c r="BI667" s="63">
        <f t="shared" si="88"/>
        <v>0</v>
      </c>
      <c r="BJ667" s="63">
        <f t="shared" si="89"/>
        <v>0</v>
      </c>
      <c r="BK667" s="63"/>
      <c r="BL667" s="55">
        <v>713</v>
      </c>
      <c r="BW667" s="55">
        <v>21</v>
      </c>
    </row>
    <row r="668" spans="1:75" ht="13.5" customHeight="1">
      <c r="A668" s="61" t="s">
        <v>1299</v>
      </c>
      <c r="B668" s="62" t="s">
        <v>116</v>
      </c>
      <c r="C668" s="62" t="s">
        <v>1300</v>
      </c>
      <c r="D668" s="224" t="s">
        <v>1301</v>
      </c>
      <c r="E668" s="225"/>
      <c r="F668" s="62" t="s">
        <v>374</v>
      </c>
      <c r="G668" s="63">
        <v>13</v>
      </c>
      <c r="H668" s="64">
        <v>0</v>
      </c>
      <c r="I668" s="63">
        <f t="shared" si="66"/>
        <v>0</v>
      </c>
      <c r="J668" s="63">
        <v>0</v>
      </c>
      <c r="K668" s="63">
        <f t="shared" si="67"/>
        <v>0</v>
      </c>
      <c r="L668" s="65" t="s">
        <v>124</v>
      </c>
      <c r="Z668" s="55">
        <f t="shared" si="68"/>
        <v>0</v>
      </c>
      <c r="AB668" s="55">
        <f t="shared" si="69"/>
        <v>0</v>
      </c>
      <c r="AC668" s="55">
        <f t="shared" si="70"/>
        <v>0</v>
      </c>
      <c r="AD668" s="55">
        <f t="shared" si="71"/>
        <v>0</v>
      </c>
      <c r="AE668" s="55">
        <f t="shared" si="72"/>
        <v>0</v>
      </c>
      <c r="AF668" s="55">
        <f t="shared" si="73"/>
        <v>0</v>
      </c>
      <c r="AG668" s="55">
        <f t="shared" si="74"/>
        <v>0</v>
      </c>
      <c r="AH668" s="55">
        <f t="shared" si="75"/>
        <v>0</v>
      </c>
      <c r="AI668" s="34" t="s">
        <v>116</v>
      </c>
      <c r="AJ668" s="63">
        <f t="shared" si="76"/>
        <v>0</v>
      </c>
      <c r="AK668" s="63">
        <f t="shared" si="77"/>
        <v>0</v>
      </c>
      <c r="AL668" s="63">
        <f t="shared" si="78"/>
        <v>0</v>
      </c>
      <c r="AN668" s="55">
        <v>21</v>
      </c>
      <c r="AO668" s="55">
        <f t="shared" si="79"/>
        <v>0</v>
      </c>
      <c r="AP668" s="55">
        <f t="shared" si="80"/>
        <v>0</v>
      </c>
      <c r="AQ668" s="66" t="s">
        <v>125</v>
      </c>
      <c r="AV668" s="55">
        <f t="shared" si="81"/>
        <v>0</v>
      </c>
      <c r="AW668" s="55">
        <f t="shared" si="82"/>
        <v>0</v>
      </c>
      <c r="AX668" s="55">
        <f t="shared" si="83"/>
        <v>0</v>
      </c>
      <c r="AY668" s="58" t="s">
        <v>1096</v>
      </c>
      <c r="AZ668" s="58" t="s">
        <v>1068</v>
      </c>
      <c r="BA668" s="34" t="s">
        <v>128</v>
      </c>
      <c r="BC668" s="55">
        <f t="shared" si="84"/>
        <v>0</v>
      </c>
      <c r="BD668" s="55">
        <f t="shared" si="85"/>
        <v>0</v>
      </c>
      <c r="BE668" s="55">
        <v>0</v>
      </c>
      <c r="BF668" s="55">
        <f t="shared" si="86"/>
        <v>0</v>
      </c>
      <c r="BH668" s="63">
        <f t="shared" si="87"/>
        <v>0</v>
      </c>
      <c r="BI668" s="63">
        <f t="shared" si="88"/>
        <v>0</v>
      </c>
      <c r="BJ668" s="63">
        <f t="shared" si="89"/>
        <v>0</v>
      </c>
      <c r="BK668" s="63"/>
      <c r="BL668" s="55">
        <v>713</v>
      </c>
      <c r="BW668" s="55">
        <v>21</v>
      </c>
    </row>
    <row r="669" spans="1:75" ht="13.5" customHeight="1">
      <c r="A669" s="1" t="s">
        <v>1302</v>
      </c>
      <c r="B669" s="2" t="s">
        <v>116</v>
      </c>
      <c r="C669" s="2" t="s">
        <v>1303</v>
      </c>
      <c r="D669" s="147" t="s">
        <v>1304</v>
      </c>
      <c r="E669" s="148"/>
      <c r="F669" s="2" t="s">
        <v>939</v>
      </c>
      <c r="G669" s="55">
        <v>4.84</v>
      </c>
      <c r="H669" s="56">
        <v>0</v>
      </c>
      <c r="I669" s="55">
        <f t="shared" si="66"/>
        <v>0</v>
      </c>
      <c r="J669" s="55">
        <v>0</v>
      </c>
      <c r="K669" s="55">
        <f t="shared" si="67"/>
        <v>0</v>
      </c>
      <c r="L669" s="57" t="s">
        <v>785</v>
      </c>
      <c r="Z669" s="55">
        <f t="shared" si="68"/>
        <v>0</v>
      </c>
      <c r="AB669" s="55">
        <f t="shared" si="69"/>
        <v>0</v>
      </c>
      <c r="AC669" s="55">
        <f t="shared" si="70"/>
        <v>0</v>
      </c>
      <c r="AD669" s="55">
        <f t="shared" si="71"/>
        <v>0</v>
      </c>
      <c r="AE669" s="55">
        <f t="shared" si="72"/>
        <v>0</v>
      </c>
      <c r="AF669" s="55">
        <f t="shared" si="73"/>
        <v>0</v>
      </c>
      <c r="AG669" s="55">
        <f t="shared" si="74"/>
        <v>0</v>
      </c>
      <c r="AH669" s="55">
        <f t="shared" si="75"/>
        <v>0</v>
      </c>
      <c r="AI669" s="34" t="s">
        <v>116</v>
      </c>
      <c r="AJ669" s="55">
        <f t="shared" si="76"/>
        <v>0</v>
      </c>
      <c r="AK669" s="55">
        <f t="shared" si="77"/>
        <v>0</v>
      </c>
      <c r="AL669" s="55">
        <f t="shared" si="78"/>
        <v>0</v>
      </c>
      <c r="AN669" s="55">
        <v>21</v>
      </c>
      <c r="AO669" s="55">
        <f>H669*0</f>
        <v>0</v>
      </c>
      <c r="AP669" s="55">
        <f>H669*(1-0)</f>
        <v>0</v>
      </c>
      <c r="AQ669" s="58" t="s">
        <v>139</v>
      </c>
      <c r="AV669" s="55">
        <f t="shared" si="81"/>
        <v>0</v>
      </c>
      <c r="AW669" s="55">
        <f t="shared" si="82"/>
        <v>0</v>
      </c>
      <c r="AX669" s="55">
        <f t="shared" si="83"/>
        <v>0</v>
      </c>
      <c r="AY669" s="58" t="s">
        <v>1096</v>
      </c>
      <c r="AZ669" s="58" t="s">
        <v>1068</v>
      </c>
      <c r="BA669" s="34" t="s">
        <v>128</v>
      </c>
      <c r="BC669" s="55">
        <f t="shared" si="84"/>
        <v>0</v>
      </c>
      <c r="BD669" s="55">
        <f t="shared" si="85"/>
        <v>0</v>
      </c>
      <c r="BE669" s="55">
        <v>0</v>
      </c>
      <c r="BF669" s="55">
        <f t="shared" si="86"/>
        <v>0</v>
      </c>
      <c r="BH669" s="55">
        <f t="shared" si="87"/>
        <v>0</v>
      </c>
      <c r="BI669" s="55">
        <f t="shared" si="88"/>
        <v>0</v>
      </c>
      <c r="BJ669" s="55">
        <f t="shared" si="89"/>
        <v>0</v>
      </c>
      <c r="BK669" s="55"/>
      <c r="BL669" s="55">
        <v>713</v>
      </c>
      <c r="BW669" s="55">
        <v>21</v>
      </c>
    </row>
    <row r="670" spans="1:12" ht="14.4">
      <c r="A670" s="59"/>
      <c r="D670" s="60" t="s">
        <v>1305</v>
      </c>
      <c r="E670" s="60" t="s">
        <v>1306</v>
      </c>
      <c r="G670" s="68">
        <v>4.84</v>
      </c>
      <c r="L670" s="69"/>
    </row>
    <row r="671" spans="1:47" ht="14.4">
      <c r="A671" s="50" t="s">
        <v>4</v>
      </c>
      <c r="B671" s="51" t="s">
        <v>116</v>
      </c>
      <c r="C671" s="51" t="s">
        <v>1307</v>
      </c>
      <c r="D671" s="222" t="s">
        <v>1308</v>
      </c>
      <c r="E671" s="223"/>
      <c r="F671" s="52" t="s">
        <v>79</v>
      </c>
      <c r="G671" s="52" t="s">
        <v>79</v>
      </c>
      <c r="H671" s="53" t="s">
        <v>79</v>
      </c>
      <c r="I671" s="27">
        <f>SUM(I672:I675)</f>
        <v>0</v>
      </c>
      <c r="J671" s="34" t="s">
        <v>4</v>
      </c>
      <c r="K671" s="27">
        <f>SUM(K672:K675)</f>
        <v>0</v>
      </c>
      <c r="L671" s="54" t="s">
        <v>4</v>
      </c>
      <c r="AI671" s="34" t="s">
        <v>116</v>
      </c>
      <c r="AS671" s="27">
        <f>SUM(AJ672:AJ675)</f>
        <v>0</v>
      </c>
      <c r="AT671" s="27">
        <f>SUM(AK672:AK675)</f>
        <v>0</v>
      </c>
      <c r="AU671" s="27">
        <f>SUM(AL672:AL675)</f>
        <v>0</v>
      </c>
    </row>
    <row r="672" spans="1:75" ht="13.5" customHeight="1">
      <c r="A672" s="1" t="s">
        <v>1309</v>
      </c>
      <c r="B672" s="2" t="s">
        <v>116</v>
      </c>
      <c r="C672" s="2" t="s">
        <v>1310</v>
      </c>
      <c r="D672" s="147" t="s">
        <v>1311</v>
      </c>
      <c r="E672" s="148"/>
      <c r="F672" s="2" t="s">
        <v>360</v>
      </c>
      <c r="G672" s="55">
        <v>36</v>
      </c>
      <c r="H672" s="56">
        <v>0</v>
      </c>
      <c r="I672" s="55">
        <f>G672*H672</f>
        <v>0</v>
      </c>
      <c r="J672" s="55">
        <v>0</v>
      </c>
      <c r="K672" s="55">
        <f>G672*J672</f>
        <v>0</v>
      </c>
      <c r="L672" s="57" t="s">
        <v>124</v>
      </c>
      <c r="Z672" s="55">
        <f>IF(AQ672="5",BJ672,0)</f>
        <v>0</v>
      </c>
      <c r="AB672" s="55">
        <f>IF(AQ672="1",BH672,0)</f>
        <v>0</v>
      </c>
      <c r="AC672" s="55">
        <f>IF(AQ672="1",BI672,0)</f>
        <v>0</v>
      </c>
      <c r="AD672" s="55">
        <f>IF(AQ672="7",BH672,0)</f>
        <v>0</v>
      </c>
      <c r="AE672" s="55">
        <f>IF(AQ672="7",BI672,0)</f>
        <v>0</v>
      </c>
      <c r="AF672" s="55">
        <f>IF(AQ672="2",BH672,0)</f>
        <v>0</v>
      </c>
      <c r="AG672" s="55">
        <f>IF(AQ672="2",BI672,0)</f>
        <v>0</v>
      </c>
      <c r="AH672" s="55">
        <f>IF(AQ672="0",BJ672,0)</f>
        <v>0</v>
      </c>
      <c r="AI672" s="34" t="s">
        <v>116</v>
      </c>
      <c r="AJ672" s="55">
        <f>IF(AN672=0,I672,0)</f>
        <v>0</v>
      </c>
      <c r="AK672" s="55">
        <f>IF(AN672=12,I672,0)</f>
        <v>0</v>
      </c>
      <c r="AL672" s="55">
        <f>IF(AN672=21,I672,0)</f>
        <v>0</v>
      </c>
      <c r="AN672" s="55">
        <v>21</v>
      </c>
      <c r="AO672" s="55">
        <f>H672*0</f>
        <v>0</v>
      </c>
      <c r="AP672" s="55">
        <f>H672*(1-0)</f>
        <v>0</v>
      </c>
      <c r="AQ672" s="58" t="s">
        <v>125</v>
      </c>
      <c r="AV672" s="55">
        <f>AW672+AX672</f>
        <v>0</v>
      </c>
      <c r="AW672" s="55">
        <f>G672*AO672</f>
        <v>0</v>
      </c>
      <c r="AX672" s="55">
        <f>G672*AP672</f>
        <v>0</v>
      </c>
      <c r="AY672" s="58" t="s">
        <v>1312</v>
      </c>
      <c r="AZ672" s="58" t="s">
        <v>1313</v>
      </c>
      <c r="BA672" s="34" t="s">
        <v>128</v>
      </c>
      <c r="BC672" s="55">
        <f>AW672+AX672</f>
        <v>0</v>
      </c>
      <c r="BD672" s="55">
        <f>H672/(100-BE672)*100</f>
        <v>0</v>
      </c>
      <c r="BE672" s="55">
        <v>0</v>
      </c>
      <c r="BF672" s="55">
        <f>K672</f>
        <v>0</v>
      </c>
      <c r="BH672" s="55">
        <f>G672*AO672</f>
        <v>0</v>
      </c>
      <c r="BI672" s="55">
        <f>G672*AP672</f>
        <v>0</v>
      </c>
      <c r="BJ672" s="55">
        <f>G672*H672</f>
        <v>0</v>
      </c>
      <c r="BK672" s="55"/>
      <c r="BL672" s="55">
        <v>720</v>
      </c>
      <c r="BW672" s="55">
        <v>21</v>
      </c>
    </row>
    <row r="673" spans="1:75" ht="13.5" customHeight="1">
      <c r="A673" s="61" t="s">
        <v>1314</v>
      </c>
      <c r="B673" s="62" t="s">
        <v>116</v>
      </c>
      <c r="C673" s="62" t="s">
        <v>1315</v>
      </c>
      <c r="D673" s="224" t="s">
        <v>1316</v>
      </c>
      <c r="E673" s="225"/>
      <c r="F673" s="62" t="s">
        <v>174</v>
      </c>
      <c r="G673" s="63">
        <v>1</v>
      </c>
      <c r="H673" s="64">
        <v>0</v>
      </c>
      <c r="I673" s="63">
        <f>G673*H673</f>
        <v>0</v>
      </c>
      <c r="J673" s="63">
        <v>0</v>
      </c>
      <c r="K673" s="63">
        <f>G673*J673</f>
        <v>0</v>
      </c>
      <c r="L673" s="65" t="s">
        <v>124</v>
      </c>
      <c r="Z673" s="55">
        <f>IF(AQ673="5",BJ673,0)</f>
        <v>0</v>
      </c>
      <c r="AB673" s="55">
        <f>IF(AQ673="1",BH673,0)</f>
        <v>0</v>
      </c>
      <c r="AC673" s="55">
        <f>IF(AQ673="1",BI673,0)</f>
        <v>0</v>
      </c>
      <c r="AD673" s="55">
        <f>IF(AQ673="7",BH673,0)</f>
        <v>0</v>
      </c>
      <c r="AE673" s="55">
        <f>IF(AQ673="7",BI673,0)</f>
        <v>0</v>
      </c>
      <c r="AF673" s="55">
        <f>IF(AQ673="2",BH673,0)</f>
        <v>0</v>
      </c>
      <c r="AG673" s="55">
        <f>IF(AQ673="2",BI673,0)</f>
        <v>0</v>
      </c>
      <c r="AH673" s="55">
        <f>IF(AQ673="0",BJ673,0)</f>
        <v>0</v>
      </c>
      <c r="AI673" s="34" t="s">
        <v>116</v>
      </c>
      <c r="AJ673" s="63">
        <f>IF(AN673=0,I673,0)</f>
        <v>0</v>
      </c>
      <c r="AK673" s="63">
        <f>IF(AN673=12,I673,0)</f>
        <v>0</v>
      </c>
      <c r="AL673" s="63">
        <f>IF(AN673=21,I673,0)</f>
        <v>0</v>
      </c>
      <c r="AN673" s="55">
        <v>21</v>
      </c>
      <c r="AO673" s="55">
        <f>H673*1</f>
        <v>0</v>
      </c>
      <c r="AP673" s="55">
        <f>H673*(1-1)</f>
        <v>0</v>
      </c>
      <c r="AQ673" s="66" t="s">
        <v>125</v>
      </c>
      <c r="AV673" s="55">
        <f>AW673+AX673</f>
        <v>0</v>
      </c>
      <c r="AW673" s="55">
        <f>G673*AO673</f>
        <v>0</v>
      </c>
      <c r="AX673" s="55">
        <f>G673*AP673</f>
        <v>0</v>
      </c>
      <c r="AY673" s="58" t="s">
        <v>1312</v>
      </c>
      <c r="AZ673" s="58" t="s">
        <v>1313</v>
      </c>
      <c r="BA673" s="34" t="s">
        <v>128</v>
      </c>
      <c r="BC673" s="55">
        <f>AW673+AX673</f>
        <v>0</v>
      </c>
      <c r="BD673" s="55">
        <f>H673/(100-BE673)*100</f>
        <v>0</v>
      </c>
      <c r="BE673" s="55">
        <v>0</v>
      </c>
      <c r="BF673" s="55">
        <f>K673</f>
        <v>0</v>
      </c>
      <c r="BH673" s="63">
        <f>G673*AO673</f>
        <v>0</v>
      </c>
      <c r="BI673" s="63">
        <f>G673*AP673</f>
        <v>0</v>
      </c>
      <c r="BJ673" s="63">
        <f>G673*H673</f>
        <v>0</v>
      </c>
      <c r="BK673" s="63"/>
      <c r="BL673" s="55">
        <v>720</v>
      </c>
      <c r="BW673" s="55">
        <v>21</v>
      </c>
    </row>
    <row r="674" spans="1:75" ht="13.5" customHeight="1">
      <c r="A674" s="1" t="s">
        <v>1317</v>
      </c>
      <c r="B674" s="2" t="s">
        <v>116</v>
      </c>
      <c r="C674" s="2" t="s">
        <v>364</v>
      </c>
      <c r="D674" s="147" t="s">
        <v>365</v>
      </c>
      <c r="E674" s="148"/>
      <c r="F674" s="2" t="s">
        <v>360</v>
      </c>
      <c r="G674" s="55">
        <v>6</v>
      </c>
      <c r="H674" s="56">
        <v>0</v>
      </c>
      <c r="I674" s="55">
        <f>G674*H674</f>
        <v>0</v>
      </c>
      <c r="J674" s="55">
        <v>0</v>
      </c>
      <c r="K674" s="55">
        <f>G674*J674</f>
        <v>0</v>
      </c>
      <c r="L674" s="57" t="s">
        <v>124</v>
      </c>
      <c r="Z674" s="55">
        <f>IF(AQ674="5",BJ674,0)</f>
        <v>0</v>
      </c>
      <c r="AB674" s="55">
        <f>IF(AQ674="1",BH674,0)</f>
        <v>0</v>
      </c>
      <c r="AC674" s="55">
        <f>IF(AQ674="1",BI674,0)</f>
        <v>0</v>
      </c>
      <c r="AD674" s="55">
        <f>IF(AQ674="7",BH674,0)</f>
        <v>0</v>
      </c>
      <c r="AE674" s="55">
        <f>IF(AQ674="7",BI674,0)</f>
        <v>0</v>
      </c>
      <c r="AF674" s="55">
        <f>IF(AQ674="2",BH674,0)</f>
        <v>0</v>
      </c>
      <c r="AG674" s="55">
        <f>IF(AQ674="2",BI674,0)</f>
        <v>0</v>
      </c>
      <c r="AH674" s="55">
        <f>IF(AQ674="0",BJ674,0)</f>
        <v>0</v>
      </c>
      <c r="AI674" s="34" t="s">
        <v>116</v>
      </c>
      <c r="AJ674" s="55">
        <f>IF(AN674=0,I674,0)</f>
        <v>0</v>
      </c>
      <c r="AK674" s="55">
        <f>IF(AN674=12,I674,0)</f>
        <v>0</v>
      </c>
      <c r="AL674" s="55">
        <f>IF(AN674=21,I674,0)</f>
        <v>0</v>
      </c>
      <c r="AN674" s="55">
        <v>21</v>
      </c>
      <c r="AO674" s="55">
        <f>H674*0</f>
        <v>0</v>
      </c>
      <c r="AP674" s="55">
        <f>H674*(1-0)</f>
        <v>0</v>
      </c>
      <c r="AQ674" s="58" t="s">
        <v>125</v>
      </c>
      <c r="AV674" s="55">
        <f>AW674+AX674</f>
        <v>0</v>
      </c>
      <c r="AW674" s="55">
        <f>G674*AO674</f>
        <v>0</v>
      </c>
      <c r="AX674" s="55">
        <f>G674*AP674</f>
        <v>0</v>
      </c>
      <c r="AY674" s="58" t="s">
        <v>1312</v>
      </c>
      <c r="AZ674" s="58" t="s">
        <v>1313</v>
      </c>
      <c r="BA674" s="34" t="s">
        <v>128</v>
      </c>
      <c r="BC674" s="55">
        <f>AW674+AX674</f>
        <v>0</v>
      </c>
      <c r="BD674" s="55">
        <f>H674/(100-BE674)*100</f>
        <v>0</v>
      </c>
      <c r="BE674" s="55">
        <v>0</v>
      </c>
      <c r="BF674" s="55">
        <f>K674</f>
        <v>0</v>
      </c>
      <c r="BH674" s="55">
        <f>G674*AO674</f>
        <v>0</v>
      </c>
      <c r="BI674" s="55">
        <f>G674*AP674</f>
        <v>0</v>
      </c>
      <c r="BJ674" s="55">
        <f>G674*H674</f>
        <v>0</v>
      </c>
      <c r="BK674" s="55"/>
      <c r="BL674" s="55">
        <v>720</v>
      </c>
      <c r="BW674" s="55">
        <v>21</v>
      </c>
    </row>
    <row r="675" spans="1:75" ht="27" customHeight="1">
      <c r="A675" s="1" t="s">
        <v>1318</v>
      </c>
      <c r="B675" s="2" t="s">
        <v>116</v>
      </c>
      <c r="C675" s="2" t="s">
        <v>1319</v>
      </c>
      <c r="D675" s="147" t="s">
        <v>1320</v>
      </c>
      <c r="E675" s="148"/>
      <c r="F675" s="2" t="s">
        <v>360</v>
      </c>
      <c r="G675" s="55">
        <v>32</v>
      </c>
      <c r="H675" s="56">
        <v>0</v>
      </c>
      <c r="I675" s="55">
        <f>G675*H675</f>
        <v>0</v>
      </c>
      <c r="J675" s="55">
        <v>0</v>
      </c>
      <c r="K675" s="55">
        <f>G675*J675</f>
        <v>0</v>
      </c>
      <c r="L675" s="57" t="s">
        <v>124</v>
      </c>
      <c r="Z675" s="55">
        <f>IF(AQ675="5",BJ675,0)</f>
        <v>0</v>
      </c>
      <c r="AB675" s="55">
        <f>IF(AQ675="1",BH675,0)</f>
        <v>0</v>
      </c>
      <c r="AC675" s="55">
        <f>IF(AQ675="1",BI675,0)</f>
        <v>0</v>
      </c>
      <c r="AD675" s="55">
        <f>IF(AQ675="7",BH675,0)</f>
        <v>0</v>
      </c>
      <c r="AE675" s="55">
        <f>IF(AQ675="7",BI675,0)</f>
        <v>0</v>
      </c>
      <c r="AF675" s="55">
        <f>IF(AQ675="2",BH675,0)</f>
        <v>0</v>
      </c>
      <c r="AG675" s="55">
        <f>IF(AQ675="2",BI675,0)</f>
        <v>0</v>
      </c>
      <c r="AH675" s="55">
        <f>IF(AQ675="0",BJ675,0)</f>
        <v>0</v>
      </c>
      <c r="AI675" s="34" t="s">
        <v>116</v>
      </c>
      <c r="AJ675" s="55">
        <f>IF(AN675=0,I675,0)</f>
        <v>0</v>
      </c>
      <c r="AK675" s="55">
        <f>IF(AN675=12,I675,0)</f>
        <v>0</v>
      </c>
      <c r="AL675" s="55">
        <f>IF(AN675=21,I675,0)</f>
        <v>0</v>
      </c>
      <c r="AN675" s="55">
        <v>21</v>
      </c>
      <c r="AO675" s="55">
        <f>H675*0</f>
        <v>0</v>
      </c>
      <c r="AP675" s="55">
        <f>H675*(1-0)</f>
        <v>0</v>
      </c>
      <c r="AQ675" s="58" t="s">
        <v>125</v>
      </c>
      <c r="AV675" s="55">
        <f>AW675+AX675</f>
        <v>0</v>
      </c>
      <c r="AW675" s="55">
        <f>G675*AO675</f>
        <v>0</v>
      </c>
      <c r="AX675" s="55">
        <f>G675*AP675</f>
        <v>0</v>
      </c>
      <c r="AY675" s="58" t="s">
        <v>1312</v>
      </c>
      <c r="AZ675" s="58" t="s">
        <v>1313</v>
      </c>
      <c r="BA675" s="34" t="s">
        <v>128</v>
      </c>
      <c r="BC675" s="55">
        <f>AW675+AX675</f>
        <v>0</v>
      </c>
      <c r="BD675" s="55">
        <f>H675/(100-BE675)*100</f>
        <v>0</v>
      </c>
      <c r="BE675" s="55">
        <v>0</v>
      </c>
      <c r="BF675" s="55">
        <f>K675</f>
        <v>0</v>
      </c>
      <c r="BH675" s="55">
        <f>G675*AO675</f>
        <v>0</v>
      </c>
      <c r="BI675" s="55">
        <f>G675*AP675</f>
        <v>0</v>
      </c>
      <c r="BJ675" s="55">
        <f>G675*H675</f>
        <v>0</v>
      </c>
      <c r="BK675" s="55"/>
      <c r="BL675" s="55">
        <v>720</v>
      </c>
      <c r="BW675" s="55">
        <v>21</v>
      </c>
    </row>
    <row r="676" spans="1:47" ht="14.4">
      <c r="A676" s="50" t="s">
        <v>4</v>
      </c>
      <c r="B676" s="51" t="s">
        <v>116</v>
      </c>
      <c r="C676" s="51" t="s">
        <v>1321</v>
      </c>
      <c r="D676" s="222" t="s">
        <v>1322</v>
      </c>
      <c r="E676" s="223"/>
      <c r="F676" s="52" t="s">
        <v>79</v>
      </c>
      <c r="G676" s="52" t="s">
        <v>79</v>
      </c>
      <c r="H676" s="53" t="s">
        <v>79</v>
      </c>
      <c r="I676" s="27">
        <f>SUM(I677:I691)</f>
        <v>0</v>
      </c>
      <c r="J676" s="34" t="s">
        <v>4</v>
      </c>
      <c r="K676" s="27">
        <f>SUM(K677:K691)</f>
        <v>0</v>
      </c>
      <c r="L676" s="54" t="s">
        <v>4</v>
      </c>
      <c r="AI676" s="34" t="s">
        <v>116</v>
      </c>
      <c r="AS676" s="27">
        <f>SUM(AJ677:AJ691)</f>
        <v>0</v>
      </c>
      <c r="AT676" s="27">
        <f>SUM(AK677:AK691)</f>
        <v>0</v>
      </c>
      <c r="AU676" s="27">
        <f>SUM(AL677:AL691)</f>
        <v>0</v>
      </c>
    </row>
    <row r="677" spans="1:75" ht="13.5" customHeight="1">
      <c r="A677" s="1" t="s">
        <v>1323</v>
      </c>
      <c r="B677" s="2" t="s">
        <v>116</v>
      </c>
      <c r="C677" s="2" t="s">
        <v>1324</v>
      </c>
      <c r="D677" s="147" t="s">
        <v>1325</v>
      </c>
      <c r="E677" s="148"/>
      <c r="F677" s="2" t="s">
        <v>174</v>
      </c>
      <c r="G677" s="55">
        <v>30</v>
      </c>
      <c r="H677" s="56">
        <v>0</v>
      </c>
      <c r="I677" s="55">
        <f aca="true" t="shared" si="90" ref="I677:I691">G677*H677</f>
        <v>0</v>
      </c>
      <c r="J677" s="55">
        <v>0</v>
      </c>
      <c r="K677" s="55">
        <f aca="true" t="shared" si="91" ref="K677:K691">G677*J677</f>
        <v>0</v>
      </c>
      <c r="L677" s="57" t="s">
        <v>124</v>
      </c>
      <c r="Z677" s="55">
        <f aca="true" t="shared" si="92" ref="Z677:Z691">IF(AQ677="5",BJ677,0)</f>
        <v>0</v>
      </c>
      <c r="AB677" s="55">
        <f aca="true" t="shared" si="93" ref="AB677:AB691">IF(AQ677="1",BH677,0)</f>
        <v>0</v>
      </c>
      <c r="AC677" s="55">
        <f aca="true" t="shared" si="94" ref="AC677:AC691">IF(AQ677="1",BI677,0)</f>
        <v>0</v>
      </c>
      <c r="AD677" s="55">
        <f aca="true" t="shared" si="95" ref="AD677:AD691">IF(AQ677="7",BH677,0)</f>
        <v>0</v>
      </c>
      <c r="AE677" s="55">
        <f aca="true" t="shared" si="96" ref="AE677:AE691">IF(AQ677="7",BI677,0)</f>
        <v>0</v>
      </c>
      <c r="AF677" s="55">
        <f aca="true" t="shared" si="97" ref="AF677:AF691">IF(AQ677="2",BH677,0)</f>
        <v>0</v>
      </c>
      <c r="AG677" s="55">
        <f aca="true" t="shared" si="98" ref="AG677:AG691">IF(AQ677="2",BI677,0)</f>
        <v>0</v>
      </c>
      <c r="AH677" s="55">
        <f aca="true" t="shared" si="99" ref="AH677:AH691">IF(AQ677="0",BJ677,0)</f>
        <v>0</v>
      </c>
      <c r="AI677" s="34" t="s">
        <v>116</v>
      </c>
      <c r="AJ677" s="55">
        <f aca="true" t="shared" si="100" ref="AJ677:AJ691">IF(AN677=0,I677,0)</f>
        <v>0</v>
      </c>
      <c r="AK677" s="55">
        <f aca="true" t="shared" si="101" ref="AK677:AK691">IF(AN677=12,I677,0)</f>
        <v>0</v>
      </c>
      <c r="AL677" s="55">
        <f aca="true" t="shared" si="102" ref="AL677:AL691">IF(AN677=21,I677,0)</f>
        <v>0</v>
      </c>
      <c r="AN677" s="55">
        <v>21</v>
      </c>
      <c r="AO677" s="55">
        <f aca="true" t="shared" si="103" ref="AO677:AO691">H677*0</f>
        <v>0</v>
      </c>
      <c r="AP677" s="55">
        <f aca="true" t="shared" si="104" ref="AP677:AP691">H677*(1-0)</f>
        <v>0</v>
      </c>
      <c r="AQ677" s="58" t="s">
        <v>125</v>
      </c>
      <c r="AV677" s="55">
        <f aca="true" t="shared" si="105" ref="AV677:AV691">AW677+AX677</f>
        <v>0</v>
      </c>
      <c r="AW677" s="55">
        <f aca="true" t="shared" si="106" ref="AW677:AW691">G677*AO677</f>
        <v>0</v>
      </c>
      <c r="AX677" s="55">
        <f aca="true" t="shared" si="107" ref="AX677:AX691">G677*AP677</f>
        <v>0</v>
      </c>
      <c r="AY677" s="58" t="s">
        <v>1326</v>
      </c>
      <c r="AZ677" s="58" t="s">
        <v>1313</v>
      </c>
      <c r="BA677" s="34" t="s">
        <v>128</v>
      </c>
      <c r="BC677" s="55">
        <f aca="true" t="shared" si="108" ref="BC677:BC691">AW677+AX677</f>
        <v>0</v>
      </c>
      <c r="BD677" s="55">
        <f aca="true" t="shared" si="109" ref="BD677:BD691">H677/(100-BE677)*100</f>
        <v>0</v>
      </c>
      <c r="BE677" s="55">
        <v>0</v>
      </c>
      <c r="BF677" s="55">
        <f aca="true" t="shared" si="110" ref="BF677:BF691">K677</f>
        <v>0</v>
      </c>
      <c r="BH677" s="55">
        <f aca="true" t="shared" si="111" ref="BH677:BH691">G677*AO677</f>
        <v>0</v>
      </c>
      <c r="BI677" s="55">
        <f aca="true" t="shared" si="112" ref="BI677:BI691">G677*AP677</f>
        <v>0</v>
      </c>
      <c r="BJ677" s="55">
        <f aca="true" t="shared" si="113" ref="BJ677:BJ691">G677*H677</f>
        <v>0</v>
      </c>
      <c r="BK677" s="55"/>
      <c r="BL677" s="55">
        <v>721</v>
      </c>
      <c r="BW677" s="55">
        <v>21</v>
      </c>
    </row>
    <row r="678" spans="1:75" ht="13.5" customHeight="1">
      <c r="A678" s="1" t="s">
        <v>1327</v>
      </c>
      <c r="B678" s="2" t="s">
        <v>116</v>
      </c>
      <c r="C678" s="2" t="s">
        <v>1328</v>
      </c>
      <c r="D678" s="147" t="s">
        <v>1329</v>
      </c>
      <c r="E678" s="148"/>
      <c r="F678" s="2" t="s">
        <v>174</v>
      </c>
      <c r="G678" s="55">
        <v>40</v>
      </c>
      <c r="H678" s="56">
        <v>0</v>
      </c>
      <c r="I678" s="55">
        <f t="shared" si="90"/>
        <v>0</v>
      </c>
      <c r="J678" s="55">
        <v>0</v>
      </c>
      <c r="K678" s="55">
        <f t="shared" si="91"/>
        <v>0</v>
      </c>
      <c r="L678" s="57" t="s">
        <v>124</v>
      </c>
      <c r="Z678" s="55">
        <f t="shared" si="92"/>
        <v>0</v>
      </c>
      <c r="AB678" s="55">
        <f t="shared" si="93"/>
        <v>0</v>
      </c>
      <c r="AC678" s="55">
        <f t="shared" si="94"/>
        <v>0</v>
      </c>
      <c r="AD678" s="55">
        <f t="shared" si="95"/>
        <v>0</v>
      </c>
      <c r="AE678" s="55">
        <f t="shared" si="96"/>
        <v>0</v>
      </c>
      <c r="AF678" s="55">
        <f t="shared" si="97"/>
        <v>0</v>
      </c>
      <c r="AG678" s="55">
        <f t="shared" si="98"/>
        <v>0</v>
      </c>
      <c r="AH678" s="55">
        <f t="shared" si="99"/>
        <v>0</v>
      </c>
      <c r="AI678" s="34" t="s">
        <v>116</v>
      </c>
      <c r="AJ678" s="55">
        <f t="shared" si="100"/>
        <v>0</v>
      </c>
      <c r="AK678" s="55">
        <f t="shared" si="101"/>
        <v>0</v>
      </c>
      <c r="AL678" s="55">
        <f t="shared" si="102"/>
        <v>0</v>
      </c>
      <c r="AN678" s="55">
        <v>21</v>
      </c>
      <c r="AO678" s="55">
        <f t="shared" si="103"/>
        <v>0</v>
      </c>
      <c r="AP678" s="55">
        <f t="shared" si="104"/>
        <v>0</v>
      </c>
      <c r="AQ678" s="58" t="s">
        <v>125</v>
      </c>
      <c r="AV678" s="55">
        <f t="shared" si="105"/>
        <v>0</v>
      </c>
      <c r="AW678" s="55">
        <f t="shared" si="106"/>
        <v>0</v>
      </c>
      <c r="AX678" s="55">
        <f t="shared" si="107"/>
        <v>0</v>
      </c>
      <c r="AY678" s="58" t="s">
        <v>1326</v>
      </c>
      <c r="AZ678" s="58" t="s">
        <v>1313</v>
      </c>
      <c r="BA678" s="34" t="s">
        <v>128</v>
      </c>
      <c r="BC678" s="55">
        <f t="shared" si="108"/>
        <v>0</v>
      </c>
      <c r="BD678" s="55">
        <f t="shared" si="109"/>
        <v>0</v>
      </c>
      <c r="BE678" s="55">
        <v>0</v>
      </c>
      <c r="BF678" s="55">
        <f t="shared" si="110"/>
        <v>0</v>
      </c>
      <c r="BH678" s="55">
        <f t="shared" si="111"/>
        <v>0</v>
      </c>
      <c r="BI678" s="55">
        <f t="shared" si="112"/>
        <v>0</v>
      </c>
      <c r="BJ678" s="55">
        <f t="shared" si="113"/>
        <v>0</v>
      </c>
      <c r="BK678" s="55"/>
      <c r="BL678" s="55">
        <v>721</v>
      </c>
      <c r="BW678" s="55">
        <v>21</v>
      </c>
    </row>
    <row r="679" spans="1:75" ht="13.5" customHeight="1">
      <c r="A679" s="1" t="s">
        <v>1330</v>
      </c>
      <c r="B679" s="2" t="s">
        <v>116</v>
      </c>
      <c r="C679" s="2" t="s">
        <v>1331</v>
      </c>
      <c r="D679" s="147" t="s">
        <v>1332</v>
      </c>
      <c r="E679" s="148"/>
      <c r="F679" s="2" t="s">
        <v>174</v>
      </c>
      <c r="G679" s="55">
        <v>35</v>
      </c>
      <c r="H679" s="56">
        <v>0</v>
      </c>
      <c r="I679" s="55">
        <f t="shared" si="90"/>
        <v>0</v>
      </c>
      <c r="J679" s="55">
        <v>0</v>
      </c>
      <c r="K679" s="55">
        <f t="shared" si="91"/>
        <v>0</v>
      </c>
      <c r="L679" s="57" t="s">
        <v>124</v>
      </c>
      <c r="Z679" s="55">
        <f t="shared" si="92"/>
        <v>0</v>
      </c>
      <c r="AB679" s="55">
        <f t="shared" si="93"/>
        <v>0</v>
      </c>
      <c r="AC679" s="55">
        <f t="shared" si="94"/>
        <v>0</v>
      </c>
      <c r="AD679" s="55">
        <f t="shared" si="95"/>
        <v>0</v>
      </c>
      <c r="AE679" s="55">
        <f t="shared" si="96"/>
        <v>0</v>
      </c>
      <c r="AF679" s="55">
        <f t="shared" si="97"/>
        <v>0</v>
      </c>
      <c r="AG679" s="55">
        <f t="shared" si="98"/>
        <v>0</v>
      </c>
      <c r="AH679" s="55">
        <f t="shared" si="99"/>
        <v>0</v>
      </c>
      <c r="AI679" s="34" t="s">
        <v>116</v>
      </c>
      <c r="AJ679" s="55">
        <f t="shared" si="100"/>
        <v>0</v>
      </c>
      <c r="AK679" s="55">
        <f t="shared" si="101"/>
        <v>0</v>
      </c>
      <c r="AL679" s="55">
        <f t="shared" si="102"/>
        <v>0</v>
      </c>
      <c r="AN679" s="55">
        <v>21</v>
      </c>
      <c r="AO679" s="55">
        <f t="shared" si="103"/>
        <v>0</v>
      </c>
      <c r="AP679" s="55">
        <f t="shared" si="104"/>
        <v>0</v>
      </c>
      <c r="AQ679" s="58" t="s">
        <v>125</v>
      </c>
      <c r="AV679" s="55">
        <f t="shared" si="105"/>
        <v>0</v>
      </c>
      <c r="AW679" s="55">
        <f t="shared" si="106"/>
        <v>0</v>
      </c>
      <c r="AX679" s="55">
        <f t="shared" si="107"/>
        <v>0</v>
      </c>
      <c r="AY679" s="58" t="s">
        <v>1326</v>
      </c>
      <c r="AZ679" s="58" t="s">
        <v>1313</v>
      </c>
      <c r="BA679" s="34" t="s">
        <v>128</v>
      </c>
      <c r="BC679" s="55">
        <f t="shared" si="108"/>
        <v>0</v>
      </c>
      <c r="BD679" s="55">
        <f t="shared" si="109"/>
        <v>0</v>
      </c>
      <c r="BE679" s="55">
        <v>0</v>
      </c>
      <c r="BF679" s="55">
        <f t="shared" si="110"/>
        <v>0</v>
      </c>
      <c r="BH679" s="55">
        <f t="shared" si="111"/>
        <v>0</v>
      </c>
      <c r="BI679" s="55">
        <f t="shared" si="112"/>
        <v>0</v>
      </c>
      <c r="BJ679" s="55">
        <f t="shared" si="113"/>
        <v>0</v>
      </c>
      <c r="BK679" s="55"/>
      <c r="BL679" s="55">
        <v>721</v>
      </c>
      <c r="BW679" s="55">
        <v>21</v>
      </c>
    </row>
    <row r="680" spans="1:75" ht="13.5" customHeight="1">
      <c r="A680" s="1" t="s">
        <v>1333</v>
      </c>
      <c r="B680" s="2" t="s">
        <v>116</v>
      </c>
      <c r="C680" s="2" t="s">
        <v>1334</v>
      </c>
      <c r="D680" s="147" t="s">
        <v>1335</v>
      </c>
      <c r="E680" s="148"/>
      <c r="F680" s="2" t="s">
        <v>174</v>
      </c>
      <c r="G680" s="55">
        <v>25</v>
      </c>
      <c r="H680" s="56">
        <v>0</v>
      </c>
      <c r="I680" s="55">
        <f t="shared" si="90"/>
        <v>0</v>
      </c>
      <c r="J680" s="55">
        <v>0</v>
      </c>
      <c r="K680" s="55">
        <f t="shared" si="91"/>
        <v>0</v>
      </c>
      <c r="L680" s="57" t="s">
        <v>124</v>
      </c>
      <c r="Z680" s="55">
        <f t="shared" si="92"/>
        <v>0</v>
      </c>
      <c r="AB680" s="55">
        <f t="shared" si="93"/>
        <v>0</v>
      </c>
      <c r="AC680" s="55">
        <f t="shared" si="94"/>
        <v>0</v>
      </c>
      <c r="AD680" s="55">
        <f t="shared" si="95"/>
        <v>0</v>
      </c>
      <c r="AE680" s="55">
        <f t="shared" si="96"/>
        <v>0</v>
      </c>
      <c r="AF680" s="55">
        <f t="shared" si="97"/>
        <v>0</v>
      </c>
      <c r="AG680" s="55">
        <f t="shared" si="98"/>
        <v>0</v>
      </c>
      <c r="AH680" s="55">
        <f t="shared" si="99"/>
        <v>0</v>
      </c>
      <c r="AI680" s="34" t="s">
        <v>116</v>
      </c>
      <c r="AJ680" s="55">
        <f t="shared" si="100"/>
        <v>0</v>
      </c>
      <c r="AK680" s="55">
        <f t="shared" si="101"/>
        <v>0</v>
      </c>
      <c r="AL680" s="55">
        <f t="shared" si="102"/>
        <v>0</v>
      </c>
      <c r="AN680" s="55">
        <v>21</v>
      </c>
      <c r="AO680" s="55">
        <f t="shared" si="103"/>
        <v>0</v>
      </c>
      <c r="AP680" s="55">
        <f t="shared" si="104"/>
        <v>0</v>
      </c>
      <c r="AQ680" s="58" t="s">
        <v>125</v>
      </c>
      <c r="AV680" s="55">
        <f t="shared" si="105"/>
        <v>0</v>
      </c>
      <c r="AW680" s="55">
        <f t="shared" si="106"/>
        <v>0</v>
      </c>
      <c r="AX680" s="55">
        <f t="shared" si="107"/>
        <v>0</v>
      </c>
      <c r="AY680" s="58" t="s">
        <v>1326</v>
      </c>
      <c r="AZ680" s="58" t="s">
        <v>1313</v>
      </c>
      <c r="BA680" s="34" t="s">
        <v>128</v>
      </c>
      <c r="BC680" s="55">
        <f t="shared" si="108"/>
        <v>0</v>
      </c>
      <c r="BD680" s="55">
        <f t="shared" si="109"/>
        <v>0</v>
      </c>
      <c r="BE680" s="55">
        <v>0</v>
      </c>
      <c r="BF680" s="55">
        <f t="shared" si="110"/>
        <v>0</v>
      </c>
      <c r="BH680" s="55">
        <f t="shared" si="111"/>
        <v>0</v>
      </c>
      <c r="BI680" s="55">
        <f t="shared" si="112"/>
        <v>0</v>
      </c>
      <c r="BJ680" s="55">
        <f t="shared" si="113"/>
        <v>0</v>
      </c>
      <c r="BK680" s="55"/>
      <c r="BL680" s="55">
        <v>721</v>
      </c>
      <c r="BW680" s="55">
        <v>21</v>
      </c>
    </row>
    <row r="681" spans="1:75" ht="13.5" customHeight="1">
      <c r="A681" s="1" t="s">
        <v>1336</v>
      </c>
      <c r="B681" s="2" t="s">
        <v>116</v>
      </c>
      <c r="C681" s="2" t="s">
        <v>1337</v>
      </c>
      <c r="D681" s="147" t="s">
        <v>1338</v>
      </c>
      <c r="E681" s="148"/>
      <c r="F681" s="2" t="s">
        <v>174</v>
      </c>
      <c r="G681" s="55">
        <v>30</v>
      </c>
      <c r="H681" s="56">
        <v>0</v>
      </c>
      <c r="I681" s="55">
        <f t="shared" si="90"/>
        <v>0</v>
      </c>
      <c r="J681" s="55">
        <v>0</v>
      </c>
      <c r="K681" s="55">
        <f t="shared" si="91"/>
        <v>0</v>
      </c>
      <c r="L681" s="57" t="s">
        <v>124</v>
      </c>
      <c r="Z681" s="55">
        <f t="shared" si="92"/>
        <v>0</v>
      </c>
      <c r="AB681" s="55">
        <f t="shared" si="93"/>
        <v>0</v>
      </c>
      <c r="AC681" s="55">
        <f t="shared" si="94"/>
        <v>0</v>
      </c>
      <c r="AD681" s="55">
        <f t="shared" si="95"/>
        <v>0</v>
      </c>
      <c r="AE681" s="55">
        <f t="shared" si="96"/>
        <v>0</v>
      </c>
      <c r="AF681" s="55">
        <f t="shared" si="97"/>
        <v>0</v>
      </c>
      <c r="AG681" s="55">
        <f t="shared" si="98"/>
        <v>0</v>
      </c>
      <c r="AH681" s="55">
        <f t="shared" si="99"/>
        <v>0</v>
      </c>
      <c r="AI681" s="34" t="s">
        <v>116</v>
      </c>
      <c r="AJ681" s="55">
        <f t="shared" si="100"/>
        <v>0</v>
      </c>
      <c r="AK681" s="55">
        <f t="shared" si="101"/>
        <v>0</v>
      </c>
      <c r="AL681" s="55">
        <f t="shared" si="102"/>
        <v>0</v>
      </c>
      <c r="AN681" s="55">
        <v>21</v>
      </c>
      <c r="AO681" s="55">
        <f t="shared" si="103"/>
        <v>0</v>
      </c>
      <c r="AP681" s="55">
        <f t="shared" si="104"/>
        <v>0</v>
      </c>
      <c r="AQ681" s="58" t="s">
        <v>125</v>
      </c>
      <c r="AV681" s="55">
        <f t="shared" si="105"/>
        <v>0</v>
      </c>
      <c r="AW681" s="55">
        <f t="shared" si="106"/>
        <v>0</v>
      </c>
      <c r="AX681" s="55">
        <f t="shared" si="107"/>
        <v>0</v>
      </c>
      <c r="AY681" s="58" t="s">
        <v>1326</v>
      </c>
      <c r="AZ681" s="58" t="s">
        <v>1313</v>
      </c>
      <c r="BA681" s="34" t="s">
        <v>128</v>
      </c>
      <c r="BC681" s="55">
        <f t="shared" si="108"/>
        <v>0</v>
      </c>
      <c r="BD681" s="55">
        <f t="shared" si="109"/>
        <v>0</v>
      </c>
      <c r="BE681" s="55">
        <v>0</v>
      </c>
      <c r="BF681" s="55">
        <f t="shared" si="110"/>
        <v>0</v>
      </c>
      <c r="BH681" s="55">
        <f t="shared" si="111"/>
        <v>0</v>
      </c>
      <c r="BI681" s="55">
        <f t="shared" si="112"/>
        <v>0</v>
      </c>
      <c r="BJ681" s="55">
        <f t="shared" si="113"/>
        <v>0</v>
      </c>
      <c r="BK681" s="55"/>
      <c r="BL681" s="55">
        <v>721</v>
      </c>
      <c r="BW681" s="55">
        <v>21</v>
      </c>
    </row>
    <row r="682" spans="1:75" ht="13.5" customHeight="1">
      <c r="A682" s="1" t="s">
        <v>1339</v>
      </c>
      <c r="B682" s="2" t="s">
        <v>116</v>
      </c>
      <c r="C682" s="2" t="s">
        <v>1340</v>
      </c>
      <c r="D682" s="147" t="s">
        <v>1341</v>
      </c>
      <c r="E682" s="148"/>
      <c r="F682" s="2" t="s">
        <v>374</v>
      </c>
      <c r="G682" s="55">
        <v>16</v>
      </c>
      <c r="H682" s="56">
        <v>0</v>
      </c>
      <c r="I682" s="55">
        <f t="shared" si="90"/>
        <v>0</v>
      </c>
      <c r="J682" s="55">
        <v>0</v>
      </c>
      <c r="K682" s="55">
        <f t="shared" si="91"/>
        <v>0</v>
      </c>
      <c r="L682" s="57" t="s">
        <v>124</v>
      </c>
      <c r="Z682" s="55">
        <f t="shared" si="92"/>
        <v>0</v>
      </c>
      <c r="AB682" s="55">
        <f t="shared" si="93"/>
        <v>0</v>
      </c>
      <c r="AC682" s="55">
        <f t="shared" si="94"/>
        <v>0</v>
      </c>
      <c r="AD682" s="55">
        <f t="shared" si="95"/>
        <v>0</v>
      </c>
      <c r="AE682" s="55">
        <f t="shared" si="96"/>
        <v>0</v>
      </c>
      <c r="AF682" s="55">
        <f t="shared" si="97"/>
        <v>0</v>
      </c>
      <c r="AG682" s="55">
        <f t="shared" si="98"/>
        <v>0</v>
      </c>
      <c r="AH682" s="55">
        <f t="shared" si="99"/>
        <v>0</v>
      </c>
      <c r="AI682" s="34" t="s">
        <v>116</v>
      </c>
      <c r="AJ682" s="55">
        <f t="shared" si="100"/>
        <v>0</v>
      </c>
      <c r="AK682" s="55">
        <f t="shared" si="101"/>
        <v>0</v>
      </c>
      <c r="AL682" s="55">
        <f t="shared" si="102"/>
        <v>0</v>
      </c>
      <c r="AN682" s="55">
        <v>21</v>
      </c>
      <c r="AO682" s="55">
        <f t="shared" si="103"/>
        <v>0</v>
      </c>
      <c r="AP682" s="55">
        <f t="shared" si="104"/>
        <v>0</v>
      </c>
      <c r="AQ682" s="58" t="s">
        <v>125</v>
      </c>
      <c r="AV682" s="55">
        <f t="shared" si="105"/>
        <v>0</v>
      </c>
      <c r="AW682" s="55">
        <f t="shared" si="106"/>
        <v>0</v>
      </c>
      <c r="AX682" s="55">
        <f t="shared" si="107"/>
        <v>0</v>
      </c>
      <c r="AY682" s="58" t="s">
        <v>1326</v>
      </c>
      <c r="AZ682" s="58" t="s">
        <v>1313</v>
      </c>
      <c r="BA682" s="34" t="s">
        <v>128</v>
      </c>
      <c r="BC682" s="55">
        <f t="shared" si="108"/>
        <v>0</v>
      </c>
      <c r="BD682" s="55">
        <f t="shared" si="109"/>
        <v>0</v>
      </c>
      <c r="BE682" s="55">
        <v>0</v>
      </c>
      <c r="BF682" s="55">
        <f t="shared" si="110"/>
        <v>0</v>
      </c>
      <c r="BH682" s="55">
        <f t="shared" si="111"/>
        <v>0</v>
      </c>
      <c r="BI682" s="55">
        <f t="shared" si="112"/>
        <v>0</v>
      </c>
      <c r="BJ682" s="55">
        <f t="shared" si="113"/>
        <v>0</v>
      </c>
      <c r="BK682" s="55"/>
      <c r="BL682" s="55">
        <v>721</v>
      </c>
      <c r="BW682" s="55">
        <v>21</v>
      </c>
    </row>
    <row r="683" spans="1:75" ht="13.5" customHeight="1">
      <c r="A683" s="1" t="s">
        <v>1342</v>
      </c>
      <c r="B683" s="2" t="s">
        <v>116</v>
      </c>
      <c r="C683" s="2" t="s">
        <v>1343</v>
      </c>
      <c r="D683" s="147" t="s">
        <v>1344</v>
      </c>
      <c r="E683" s="148"/>
      <c r="F683" s="2" t="s">
        <v>374</v>
      </c>
      <c r="G683" s="55">
        <v>6</v>
      </c>
      <c r="H683" s="56">
        <v>0</v>
      </c>
      <c r="I683" s="55">
        <f t="shared" si="90"/>
        <v>0</v>
      </c>
      <c r="J683" s="55">
        <v>0</v>
      </c>
      <c r="K683" s="55">
        <f t="shared" si="91"/>
        <v>0</v>
      </c>
      <c r="L683" s="57" t="s">
        <v>124</v>
      </c>
      <c r="Z683" s="55">
        <f t="shared" si="92"/>
        <v>0</v>
      </c>
      <c r="AB683" s="55">
        <f t="shared" si="93"/>
        <v>0</v>
      </c>
      <c r="AC683" s="55">
        <f t="shared" si="94"/>
        <v>0</v>
      </c>
      <c r="AD683" s="55">
        <f t="shared" si="95"/>
        <v>0</v>
      </c>
      <c r="AE683" s="55">
        <f t="shared" si="96"/>
        <v>0</v>
      </c>
      <c r="AF683" s="55">
        <f t="shared" si="97"/>
        <v>0</v>
      </c>
      <c r="AG683" s="55">
        <f t="shared" si="98"/>
        <v>0</v>
      </c>
      <c r="AH683" s="55">
        <f t="shared" si="99"/>
        <v>0</v>
      </c>
      <c r="AI683" s="34" t="s">
        <v>116</v>
      </c>
      <c r="AJ683" s="55">
        <f t="shared" si="100"/>
        <v>0</v>
      </c>
      <c r="AK683" s="55">
        <f t="shared" si="101"/>
        <v>0</v>
      </c>
      <c r="AL683" s="55">
        <f t="shared" si="102"/>
        <v>0</v>
      </c>
      <c r="AN683" s="55">
        <v>21</v>
      </c>
      <c r="AO683" s="55">
        <f t="shared" si="103"/>
        <v>0</v>
      </c>
      <c r="AP683" s="55">
        <f t="shared" si="104"/>
        <v>0</v>
      </c>
      <c r="AQ683" s="58" t="s">
        <v>125</v>
      </c>
      <c r="AV683" s="55">
        <f t="shared" si="105"/>
        <v>0</v>
      </c>
      <c r="AW683" s="55">
        <f t="shared" si="106"/>
        <v>0</v>
      </c>
      <c r="AX683" s="55">
        <f t="shared" si="107"/>
        <v>0</v>
      </c>
      <c r="AY683" s="58" t="s">
        <v>1326</v>
      </c>
      <c r="AZ683" s="58" t="s">
        <v>1313</v>
      </c>
      <c r="BA683" s="34" t="s">
        <v>128</v>
      </c>
      <c r="BC683" s="55">
        <f t="shared" si="108"/>
        <v>0</v>
      </c>
      <c r="BD683" s="55">
        <f t="shared" si="109"/>
        <v>0</v>
      </c>
      <c r="BE683" s="55">
        <v>0</v>
      </c>
      <c r="BF683" s="55">
        <f t="shared" si="110"/>
        <v>0</v>
      </c>
      <c r="BH683" s="55">
        <f t="shared" si="111"/>
        <v>0</v>
      </c>
      <c r="BI683" s="55">
        <f t="shared" si="112"/>
        <v>0</v>
      </c>
      <c r="BJ683" s="55">
        <f t="shared" si="113"/>
        <v>0</v>
      </c>
      <c r="BK683" s="55"/>
      <c r="BL683" s="55">
        <v>721</v>
      </c>
      <c r="BW683" s="55">
        <v>21</v>
      </c>
    </row>
    <row r="684" spans="1:75" ht="13.5" customHeight="1">
      <c r="A684" s="1" t="s">
        <v>1345</v>
      </c>
      <c r="B684" s="2" t="s">
        <v>116</v>
      </c>
      <c r="C684" s="2" t="s">
        <v>1346</v>
      </c>
      <c r="D684" s="147" t="s">
        <v>1347</v>
      </c>
      <c r="E684" s="148"/>
      <c r="F684" s="2" t="s">
        <v>374</v>
      </c>
      <c r="G684" s="55">
        <v>5</v>
      </c>
      <c r="H684" s="56">
        <v>0</v>
      </c>
      <c r="I684" s="55">
        <f t="shared" si="90"/>
        <v>0</v>
      </c>
      <c r="J684" s="55">
        <v>0</v>
      </c>
      <c r="K684" s="55">
        <f t="shared" si="91"/>
        <v>0</v>
      </c>
      <c r="L684" s="57" t="s">
        <v>124</v>
      </c>
      <c r="Z684" s="55">
        <f t="shared" si="92"/>
        <v>0</v>
      </c>
      <c r="AB684" s="55">
        <f t="shared" si="93"/>
        <v>0</v>
      </c>
      <c r="AC684" s="55">
        <f t="shared" si="94"/>
        <v>0</v>
      </c>
      <c r="AD684" s="55">
        <f t="shared" si="95"/>
        <v>0</v>
      </c>
      <c r="AE684" s="55">
        <f t="shared" si="96"/>
        <v>0</v>
      </c>
      <c r="AF684" s="55">
        <f t="shared" si="97"/>
        <v>0</v>
      </c>
      <c r="AG684" s="55">
        <f t="shared" si="98"/>
        <v>0</v>
      </c>
      <c r="AH684" s="55">
        <f t="shared" si="99"/>
        <v>0</v>
      </c>
      <c r="AI684" s="34" t="s">
        <v>116</v>
      </c>
      <c r="AJ684" s="55">
        <f t="shared" si="100"/>
        <v>0</v>
      </c>
      <c r="AK684" s="55">
        <f t="shared" si="101"/>
        <v>0</v>
      </c>
      <c r="AL684" s="55">
        <f t="shared" si="102"/>
        <v>0</v>
      </c>
      <c r="AN684" s="55">
        <v>21</v>
      </c>
      <c r="AO684" s="55">
        <f t="shared" si="103"/>
        <v>0</v>
      </c>
      <c r="AP684" s="55">
        <f t="shared" si="104"/>
        <v>0</v>
      </c>
      <c r="AQ684" s="58" t="s">
        <v>125</v>
      </c>
      <c r="AV684" s="55">
        <f t="shared" si="105"/>
        <v>0</v>
      </c>
      <c r="AW684" s="55">
        <f t="shared" si="106"/>
        <v>0</v>
      </c>
      <c r="AX684" s="55">
        <f t="shared" si="107"/>
        <v>0</v>
      </c>
      <c r="AY684" s="58" t="s">
        <v>1326</v>
      </c>
      <c r="AZ684" s="58" t="s">
        <v>1313</v>
      </c>
      <c r="BA684" s="34" t="s">
        <v>128</v>
      </c>
      <c r="BC684" s="55">
        <f t="shared" si="108"/>
        <v>0</v>
      </c>
      <c r="BD684" s="55">
        <f t="shared" si="109"/>
        <v>0</v>
      </c>
      <c r="BE684" s="55">
        <v>0</v>
      </c>
      <c r="BF684" s="55">
        <f t="shared" si="110"/>
        <v>0</v>
      </c>
      <c r="BH684" s="55">
        <f t="shared" si="111"/>
        <v>0</v>
      </c>
      <c r="BI684" s="55">
        <f t="shared" si="112"/>
        <v>0</v>
      </c>
      <c r="BJ684" s="55">
        <f t="shared" si="113"/>
        <v>0</v>
      </c>
      <c r="BK684" s="55"/>
      <c r="BL684" s="55">
        <v>721</v>
      </c>
      <c r="BW684" s="55">
        <v>21</v>
      </c>
    </row>
    <row r="685" spans="1:75" ht="13.5" customHeight="1">
      <c r="A685" s="1" t="s">
        <v>1348</v>
      </c>
      <c r="B685" s="2" t="s">
        <v>116</v>
      </c>
      <c r="C685" s="2" t="s">
        <v>1349</v>
      </c>
      <c r="D685" s="147" t="s">
        <v>1350</v>
      </c>
      <c r="E685" s="148"/>
      <c r="F685" s="2" t="s">
        <v>374</v>
      </c>
      <c r="G685" s="55">
        <v>2</v>
      </c>
      <c r="H685" s="56">
        <v>0</v>
      </c>
      <c r="I685" s="55">
        <f t="shared" si="90"/>
        <v>0</v>
      </c>
      <c r="J685" s="55">
        <v>0</v>
      </c>
      <c r="K685" s="55">
        <f t="shared" si="91"/>
        <v>0</v>
      </c>
      <c r="L685" s="57" t="s">
        <v>124</v>
      </c>
      <c r="Z685" s="55">
        <f t="shared" si="92"/>
        <v>0</v>
      </c>
      <c r="AB685" s="55">
        <f t="shared" si="93"/>
        <v>0</v>
      </c>
      <c r="AC685" s="55">
        <f t="shared" si="94"/>
        <v>0</v>
      </c>
      <c r="AD685" s="55">
        <f t="shared" si="95"/>
        <v>0</v>
      </c>
      <c r="AE685" s="55">
        <f t="shared" si="96"/>
        <v>0</v>
      </c>
      <c r="AF685" s="55">
        <f t="shared" si="97"/>
        <v>0</v>
      </c>
      <c r="AG685" s="55">
        <f t="shared" si="98"/>
        <v>0</v>
      </c>
      <c r="AH685" s="55">
        <f t="shared" si="99"/>
        <v>0</v>
      </c>
      <c r="AI685" s="34" t="s">
        <v>116</v>
      </c>
      <c r="AJ685" s="55">
        <f t="shared" si="100"/>
        <v>0</v>
      </c>
      <c r="AK685" s="55">
        <f t="shared" si="101"/>
        <v>0</v>
      </c>
      <c r="AL685" s="55">
        <f t="shared" si="102"/>
        <v>0</v>
      </c>
      <c r="AN685" s="55">
        <v>21</v>
      </c>
      <c r="AO685" s="55">
        <f t="shared" si="103"/>
        <v>0</v>
      </c>
      <c r="AP685" s="55">
        <f t="shared" si="104"/>
        <v>0</v>
      </c>
      <c r="AQ685" s="58" t="s">
        <v>125</v>
      </c>
      <c r="AV685" s="55">
        <f t="shared" si="105"/>
        <v>0</v>
      </c>
      <c r="AW685" s="55">
        <f t="shared" si="106"/>
        <v>0</v>
      </c>
      <c r="AX685" s="55">
        <f t="shared" si="107"/>
        <v>0</v>
      </c>
      <c r="AY685" s="58" t="s">
        <v>1326</v>
      </c>
      <c r="AZ685" s="58" t="s">
        <v>1313</v>
      </c>
      <c r="BA685" s="34" t="s">
        <v>128</v>
      </c>
      <c r="BC685" s="55">
        <f t="shared" si="108"/>
        <v>0</v>
      </c>
      <c r="BD685" s="55">
        <f t="shared" si="109"/>
        <v>0</v>
      </c>
      <c r="BE685" s="55">
        <v>0</v>
      </c>
      <c r="BF685" s="55">
        <f t="shared" si="110"/>
        <v>0</v>
      </c>
      <c r="BH685" s="55">
        <f t="shared" si="111"/>
        <v>0</v>
      </c>
      <c r="BI685" s="55">
        <f t="shared" si="112"/>
        <v>0</v>
      </c>
      <c r="BJ685" s="55">
        <f t="shared" si="113"/>
        <v>0</v>
      </c>
      <c r="BK685" s="55"/>
      <c r="BL685" s="55">
        <v>721</v>
      </c>
      <c r="BW685" s="55">
        <v>21</v>
      </c>
    </row>
    <row r="686" spans="1:75" ht="13.5" customHeight="1">
      <c r="A686" s="1" t="s">
        <v>1351</v>
      </c>
      <c r="B686" s="2" t="s">
        <v>116</v>
      </c>
      <c r="C686" s="2" t="s">
        <v>1352</v>
      </c>
      <c r="D686" s="147" t="s">
        <v>1353</v>
      </c>
      <c r="E686" s="148"/>
      <c r="F686" s="2" t="s">
        <v>374</v>
      </c>
      <c r="G686" s="55">
        <v>6</v>
      </c>
      <c r="H686" s="56">
        <v>0</v>
      </c>
      <c r="I686" s="55">
        <f t="shared" si="90"/>
        <v>0</v>
      </c>
      <c r="J686" s="55">
        <v>0</v>
      </c>
      <c r="K686" s="55">
        <f t="shared" si="91"/>
        <v>0</v>
      </c>
      <c r="L686" s="57" t="s">
        <v>124</v>
      </c>
      <c r="Z686" s="55">
        <f t="shared" si="92"/>
        <v>0</v>
      </c>
      <c r="AB686" s="55">
        <f t="shared" si="93"/>
        <v>0</v>
      </c>
      <c r="AC686" s="55">
        <f t="shared" si="94"/>
        <v>0</v>
      </c>
      <c r="AD686" s="55">
        <f t="shared" si="95"/>
        <v>0</v>
      </c>
      <c r="AE686" s="55">
        <f t="shared" si="96"/>
        <v>0</v>
      </c>
      <c r="AF686" s="55">
        <f t="shared" si="97"/>
        <v>0</v>
      </c>
      <c r="AG686" s="55">
        <f t="shared" si="98"/>
        <v>0</v>
      </c>
      <c r="AH686" s="55">
        <f t="shared" si="99"/>
        <v>0</v>
      </c>
      <c r="AI686" s="34" t="s">
        <v>116</v>
      </c>
      <c r="AJ686" s="55">
        <f t="shared" si="100"/>
        <v>0</v>
      </c>
      <c r="AK686" s="55">
        <f t="shared" si="101"/>
        <v>0</v>
      </c>
      <c r="AL686" s="55">
        <f t="shared" si="102"/>
        <v>0</v>
      </c>
      <c r="AN686" s="55">
        <v>21</v>
      </c>
      <c r="AO686" s="55">
        <f t="shared" si="103"/>
        <v>0</v>
      </c>
      <c r="AP686" s="55">
        <f t="shared" si="104"/>
        <v>0</v>
      </c>
      <c r="AQ686" s="58" t="s">
        <v>125</v>
      </c>
      <c r="AV686" s="55">
        <f t="shared" si="105"/>
        <v>0</v>
      </c>
      <c r="AW686" s="55">
        <f t="shared" si="106"/>
        <v>0</v>
      </c>
      <c r="AX686" s="55">
        <f t="shared" si="107"/>
        <v>0</v>
      </c>
      <c r="AY686" s="58" t="s">
        <v>1326</v>
      </c>
      <c r="AZ686" s="58" t="s">
        <v>1313</v>
      </c>
      <c r="BA686" s="34" t="s">
        <v>128</v>
      </c>
      <c r="BC686" s="55">
        <f t="shared" si="108"/>
        <v>0</v>
      </c>
      <c r="BD686" s="55">
        <f t="shared" si="109"/>
        <v>0</v>
      </c>
      <c r="BE686" s="55">
        <v>0</v>
      </c>
      <c r="BF686" s="55">
        <f t="shared" si="110"/>
        <v>0</v>
      </c>
      <c r="BH686" s="55">
        <f t="shared" si="111"/>
        <v>0</v>
      </c>
      <c r="BI686" s="55">
        <f t="shared" si="112"/>
        <v>0</v>
      </c>
      <c r="BJ686" s="55">
        <f t="shared" si="113"/>
        <v>0</v>
      </c>
      <c r="BK686" s="55"/>
      <c r="BL686" s="55">
        <v>721</v>
      </c>
      <c r="BW686" s="55">
        <v>21</v>
      </c>
    </row>
    <row r="687" spans="1:75" ht="13.5" customHeight="1">
      <c r="A687" s="1" t="s">
        <v>1354</v>
      </c>
      <c r="B687" s="2" t="s">
        <v>116</v>
      </c>
      <c r="C687" s="2" t="s">
        <v>1355</v>
      </c>
      <c r="D687" s="147" t="s">
        <v>1356</v>
      </c>
      <c r="E687" s="148"/>
      <c r="F687" s="2" t="s">
        <v>374</v>
      </c>
      <c r="G687" s="55">
        <v>6</v>
      </c>
      <c r="H687" s="56">
        <v>0</v>
      </c>
      <c r="I687" s="55">
        <f t="shared" si="90"/>
        <v>0</v>
      </c>
      <c r="J687" s="55">
        <v>0</v>
      </c>
      <c r="K687" s="55">
        <f t="shared" si="91"/>
        <v>0</v>
      </c>
      <c r="L687" s="57" t="s">
        <v>124</v>
      </c>
      <c r="Z687" s="55">
        <f t="shared" si="92"/>
        <v>0</v>
      </c>
      <c r="AB687" s="55">
        <f t="shared" si="93"/>
        <v>0</v>
      </c>
      <c r="AC687" s="55">
        <f t="shared" si="94"/>
        <v>0</v>
      </c>
      <c r="AD687" s="55">
        <f t="shared" si="95"/>
        <v>0</v>
      </c>
      <c r="AE687" s="55">
        <f t="shared" si="96"/>
        <v>0</v>
      </c>
      <c r="AF687" s="55">
        <f t="shared" si="97"/>
        <v>0</v>
      </c>
      <c r="AG687" s="55">
        <f t="shared" si="98"/>
        <v>0</v>
      </c>
      <c r="AH687" s="55">
        <f t="shared" si="99"/>
        <v>0</v>
      </c>
      <c r="AI687" s="34" t="s">
        <v>116</v>
      </c>
      <c r="AJ687" s="55">
        <f t="shared" si="100"/>
        <v>0</v>
      </c>
      <c r="AK687" s="55">
        <f t="shared" si="101"/>
        <v>0</v>
      </c>
      <c r="AL687" s="55">
        <f t="shared" si="102"/>
        <v>0</v>
      </c>
      <c r="AN687" s="55">
        <v>21</v>
      </c>
      <c r="AO687" s="55">
        <f t="shared" si="103"/>
        <v>0</v>
      </c>
      <c r="AP687" s="55">
        <f t="shared" si="104"/>
        <v>0</v>
      </c>
      <c r="AQ687" s="58" t="s">
        <v>125</v>
      </c>
      <c r="AV687" s="55">
        <f t="shared" si="105"/>
        <v>0</v>
      </c>
      <c r="AW687" s="55">
        <f t="shared" si="106"/>
        <v>0</v>
      </c>
      <c r="AX687" s="55">
        <f t="shared" si="107"/>
        <v>0</v>
      </c>
      <c r="AY687" s="58" t="s">
        <v>1326</v>
      </c>
      <c r="AZ687" s="58" t="s">
        <v>1313</v>
      </c>
      <c r="BA687" s="34" t="s">
        <v>128</v>
      </c>
      <c r="BC687" s="55">
        <f t="shared" si="108"/>
        <v>0</v>
      </c>
      <c r="BD687" s="55">
        <f t="shared" si="109"/>
        <v>0</v>
      </c>
      <c r="BE687" s="55">
        <v>0</v>
      </c>
      <c r="BF687" s="55">
        <f t="shared" si="110"/>
        <v>0</v>
      </c>
      <c r="BH687" s="55">
        <f t="shared" si="111"/>
        <v>0</v>
      </c>
      <c r="BI687" s="55">
        <f t="shared" si="112"/>
        <v>0</v>
      </c>
      <c r="BJ687" s="55">
        <f t="shared" si="113"/>
        <v>0</v>
      </c>
      <c r="BK687" s="55"/>
      <c r="BL687" s="55">
        <v>721</v>
      </c>
      <c r="BW687" s="55">
        <v>21</v>
      </c>
    </row>
    <row r="688" spans="1:75" ht="13.5" customHeight="1">
      <c r="A688" s="1" t="s">
        <v>1357</v>
      </c>
      <c r="B688" s="2" t="s">
        <v>116</v>
      </c>
      <c r="C688" s="2" t="s">
        <v>1358</v>
      </c>
      <c r="D688" s="147" t="s">
        <v>1359</v>
      </c>
      <c r="E688" s="148"/>
      <c r="F688" s="2" t="s">
        <v>374</v>
      </c>
      <c r="G688" s="55">
        <v>4</v>
      </c>
      <c r="H688" s="56">
        <v>0</v>
      </c>
      <c r="I688" s="55">
        <f t="shared" si="90"/>
        <v>0</v>
      </c>
      <c r="J688" s="55">
        <v>0</v>
      </c>
      <c r="K688" s="55">
        <f t="shared" si="91"/>
        <v>0</v>
      </c>
      <c r="L688" s="57" t="s">
        <v>124</v>
      </c>
      <c r="Z688" s="55">
        <f t="shared" si="92"/>
        <v>0</v>
      </c>
      <c r="AB688" s="55">
        <f t="shared" si="93"/>
        <v>0</v>
      </c>
      <c r="AC688" s="55">
        <f t="shared" si="94"/>
        <v>0</v>
      </c>
      <c r="AD688" s="55">
        <f t="shared" si="95"/>
        <v>0</v>
      </c>
      <c r="AE688" s="55">
        <f t="shared" si="96"/>
        <v>0</v>
      </c>
      <c r="AF688" s="55">
        <f t="shared" si="97"/>
        <v>0</v>
      </c>
      <c r="AG688" s="55">
        <f t="shared" si="98"/>
        <v>0</v>
      </c>
      <c r="AH688" s="55">
        <f t="shared" si="99"/>
        <v>0</v>
      </c>
      <c r="AI688" s="34" t="s">
        <v>116</v>
      </c>
      <c r="AJ688" s="55">
        <f t="shared" si="100"/>
        <v>0</v>
      </c>
      <c r="AK688" s="55">
        <f t="shared" si="101"/>
        <v>0</v>
      </c>
      <c r="AL688" s="55">
        <f t="shared" si="102"/>
        <v>0</v>
      </c>
      <c r="AN688" s="55">
        <v>21</v>
      </c>
      <c r="AO688" s="55">
        <f t="shared" si="103"/>
        <v>0</v>
      </c>
      <c r="AP688" s="55">
        <f t="shared" si="104"/>
        <v>0</v>
      </c>
      <c r="AQ688" s="58" t="s">
        <v>125</v>
      </c>
      <c r="AV688" s="55">
        <f t="shared" si="105"/>
        <v>0</v>
      </c>
      <c r="AW688" s="55">
        <f t="shared" si="106"/>
        <v>0</v>
      </c>
      <c r="AX688" s="55">
        <f t="shared" si="107"/>
        <v>0</v>
      </c>
      <c r="AY688" s="58" t="s">
        <v>1326</v>
      </c>
      <c r="AZ688" s="58" t="s">
        <v>1313</v>
      </c>
      <c r="BA688" s="34" t="s">
        <v>128</v>
      </c>
      <c r="BC688" s="55">
        <f t="shared" si="108"/>
        <v>0</v>
      </c>
      <c r="BD688" s="55">
        <f t="shared" si="109"/>
        <v>0</v>
      </c>
      <c r="BE688" s="55">
        <v>0</v>
      </c>
      <c r="BF688" s="55">
        <f t="shared" si="110"/>
        <v>0</v>
      </c>
      <c r="BH688" s="55">
        <f t="shared" si="111"/>
        <v>0</v>
      </c>
      <c r="BI688" s="55">
        <f t="shared" si="112"/>
        <v>0</v>
      </c>
      <c r="BJ688" s="55">
        <f t="shared" si="113"/>
        <v>0</v>
      </c>
      <c r="BK688" s="55"/>
      <c r="BL688" s="55">
        <v>721</v>
      </c>
      <c r="BW688" s="55">
        <v>21</v>
      </c>
    </row>
    <row r="689" spans="1:75" ht="13.5" customHeight="1">
      <c r="A689" s="1" t="s">
        <v>1360</v>
      </c>
      <c r="B689" s="2" t="s">
        <v>116</v>
      </c>
      <c r="C689" s="2" t="s">
        <v>1361</v>
      </c>
      <c r="D689" s="147" t="s">
        <v>1362</v>
      </c>
      <c r="E689" s="148"/>
      <c r="F689" s="2" t="s">
        <v>374</v>
      </c>
      <c r="G689" s="55">
        <v>1</v>
      </c>
      <c r="H689" s="56">
        <v>0</v>
      </c>
      <c r="I689" s="55">
        <f t="shared" si="90"/>
        <v>0</v>
      </c>
      <c r="J689" s="55">
        <v>0</v>
      </c>
      <c r="K689" s="55">
        <f t="shared" si="91"/>
        <v>0</v>
      </c>
      <c r="L689" s="57" t="s">
        <v>124</v>
      </c>
      <c r="Z689" s="55">
        <f t="shared" si="92"/>
        <v>0</v>
      </c>
      <c r="AB689" s="55">
        <f t="shared" si="93"/>
        <v>0</v>
      </c>
      <c r="AC689" s="55">
        <f t="shared" si="94"/>
        <v>0</v>
      </c>
      <c r="AD689" s="55">
        <f t="shared" si="95"/>
        <v>0</v>
      </c>
      <c r="AE689" s="55">
        <f t="shared" si="96"/>
        <v>0</v>
      </c>
      <c r="AF689" s="55">
        <f t="shared" si="97"/>
        <v>0</v>
      </c>
      <c r="AG689" s="55">
        <f t="shared" si="98"/>
        <v>0</v>
      </c>
      <c r="AH689" s="55">
        <f t="shared" si="99"/>
        <v>0</v>
      </c>
      <c r="AI689" s="34" t="s">
        <v>116</v>
      </c>
      <c r="AJ689" s="55">
        <f t="shared" si="100"/>
        <v>0</v>
      </c>
      <c r="AK689" s="55">
        <f t="shared" si="101"/>
        <v>0</v>
      </c>
      <c r="AL689" s="55">
        <f t="shared" si="102"/>
        <v>0</v>
      </c>
      <c r="AN689" s="55">
        <v>21</v>
      </c>
      <c r="AO689" s="55">
        <f t="shared" si="103"/>
        <v>0</v>
      </c>
      <c r="AP689" s="55">
        <f t="shared" si="104"/>
        <v>0</v>
      </c>
      <c r="AQ689" s="58" t="s">
        <v>125</v>
      </c>
      <c r="AV689" s="55">
        <f t="shared" si="105"/>
        <v>0</v>
      </c>
      <c r="AW689" s="55">
        <f t="shared" si="106"/>
        <v>0</v>
      </c>
      <c r="AX689" s="55">
        <f t="shared" si="107"/>
        <v>0</v>
      </c>
      <c r="AY689" s="58" t="s">
        <v>1326</v>
      </c>
      <c r="AZ689" s="58" t="s">
        <v>1313</v>
      </c>
      <c r="BA689" s="34" t="s">
        <v>128</v>
      </c>
      <c r="BC689" s="55">
        <f t="shared" si="108"/>
        <v>0</v>
      </c>
      <c r="BD689" s="55">
        <f t="shared" si="109"/>
        <v>0</v>
      </c>
      <c r="BE689" s="55">
        <v>0</v>
      </c>
      <c r="BF689" s="55">
        <f t="shared" si="110"/>
        <v>0</v>
      </c>
      <c r="BH689" s="55">
        <f t="shared" si="111"/>
        <v>0</v>
      </c>
      <c r="BI689" s="55">
        <f t="shared" si="112"/>
        <v>0</v>
      </c>
      <c r="BJ689" s="55">
        <f t="shared" si="113"/>
        <v>0</v>
      </c>
      <c r="BK689" s="55"/>
      <c r="BL689" s="55">
        <v>721</v>
      </c>
      <c r="BW689" s="55">
        <v>21</v>
      </c>
    </row>
    <row r="690" spans="1:75" ht="13.5" customHeight="1">
      <c r="A690" s="1" t="s">
        <v>1363</v>
      </c>
      <c r="B690" s="2" t="s">
        <v>116</v>
      </c>
      <c r="C690" s="2" t="s">
        <v>1364</v>
      </c>
      <c r="D690" s="147" t="s">
        <v>1365</v>
      </c>
      <c r="E690" s="148"/>
      <c r="F690" s="2" t="s">
        <v>174</v>
      </c>
      <c r="G690" s="55">
        <v>160</v>
      </c>
      <c r="H690" s="56">
        <v>0</v>
      </c>
      <c r="I690" s="55">
        <f t="shared" si="90"/>
        <v>0</v>
      </c>
      <c r="J690" s="55">
        <v>0</v>
      </c>
      <c r="K690" s="55">
        <f t="shared" si="91"/>
        <v>0</v>
      </c>
      <c r="L690" s="57" t="s">
        <v>124</v>
      </c>
      <c r="Z690" s="55">
        <f t="shared" si="92"/>
        <v>0</v>
      </c>
      <c r="AB690" s="55">
        <f t="shared" si="93"/>
        <v>0</v>
      </c>
      <c r="AC690" s="55">
        <f t="shared" si="94"/>
        <v>0</v>
      </c>
      <c r="AD690" s="55">
        <f t="shared" si="95"/>
        <v>0</v>
      </c>
      <c r="AE690" s="55">
        <f t="shared" si="96"/>
        <v>0</v>
      </c>
      <c r="AF690" s="55">
        <f t="shared" si="97"/>
        <v>0</v>
      </c>
      <c r="AG690" s="55">
        <f t="shared" si="98"/>
        <v>0</v>
      </c>
      <c r="AH690" s="55">
        <f t="shared" si="99"/>
        <v>0</v>
      </c>
      <c r="AI690" s="34" t="s">
        <v>116</v>
      </c>
      <c r="AJ690" s="55">
        <f t="shared" si="100"/>
        <v>0</v>
      </c>
      <c r="AK690" s="55">
        <f t="shared" si="101"/>
        <v>0</v>
      </c>
      <c r="AL690" s="55">
        <f t="shared" si="102"/>
        <v>0</v>
      </c>
      <c r="AN690" s="55">
        <v>21</v>
      </c>
      <c r="AO690" s="55">
        <f t="shared" si="103"/>
        <v>0</v>
      </c>
      <c r="AP690" s="55">
        <f t="shared" si="104"/>
        <v>0</v>
      </c>
      <c r="AQ690" s="58" t="s">
        <v>125</v>
      </c>
      <c r="AV690" s="55">
        <f t="shared" si="105"/>
        <v>0</v>
      </c>
      <c r="AW690" s="55">
        <f t="shared" si="106"/>
        <v>0</v>
      </c>
      <c r="AX690" s="55">
        <f t="shared" si="107"/>
        <v>0</v>
      </c>
      <c r="AY690" s="58" t="s">
        <v>1326</v>
      </c>
      <c r="AZ690" s="58" t="s">
        <v>1313</v>
      </c>
      <c r="BA690" s="34" t="s">
        <v>128</v>
      </c>
      <c r="BC690" s="55">
        <f t="shared" si="108"/>
        <v>0</v>
      </c>
      <c r="BD690" s="55">
        <f t="shared" si="109"/>
        <v>0</v>
      </c>
      <c r="BE690" s="55">
        <v>0</v>
      </c>
      <c r="BF690" s="55">
        <f t="shared" si="110"/>
        <v>0</v>
      </c>
      <c r="BH690" s="55">
        <f t="shared" si="111"/>
        <v>0</v>
      </c>
      <c r="BI690" s="55">
        <f t="shared" si="112"/>
        <v>0</v>
      </c>
      <c r="BJ690" s="55">
        <f t="shared" si="113"/>
        <v>0</v>
      </c>
      <c r="BK690" s="55"/>
      <c r="BL690" s="55">
        <v>721</v>
      </c>
      <c r="BW690" s="55">
        <v>21</v>
      </c>
    </row>
    <row r="691" spans="1:75" ht="13.5" customHeight="1">
      <c r="A691" s="1" t="s">
        <v>1366</v>
      </c>
      <c r="B691" s="2" t="s">
        <v>116</v>
      </c>
      <c r="C691" s="2" t="s">
        <v>1367</v>
      </c>
      <c r="D691" s="147" t="s">
        <v>1368</v>
      </c>
      <c r="E691" s="148"/>
      <c r="F691" s="2" t="s">
        <v>939</v>
      </c>
      <c r="G691" s="55">
        <v>0.2</v>
      </c>
      <c r="H691" s="56">
        <v>0</v>
      </c>
      <c r="I691" s="55">
        <f t="shared" si="90"/>
        <v>0</v>
      </c>
      <c r="J691" s="55">
        <v>0</v>
      </c>
      <c r="K691" s="55">
        <f t="shared" si="91"/>
        <v>0</v>
      </c>
      <c r="L691" s="57" t="s">
        <v>124</v>
      </c>
      <c r="Z691" s="55">
        <f t="shared" si="92"/>
        <v>0</v>
      </c>
      <c r="AB691" s="55">
        <f t="shared" si="93"/>
        <v>0</v>
      </c>
      <c r="AC691" s="55">
        <f t="shared" si="94"/>
        <v>0</v>
      </c>
      <c r="AD691" s="55">
        <f t="shared" si="95"/>
        <v>0</v>
      </c>
      <c r="AE691" s="55">
        <f t="shared" si="96"/>
        <v>0</v>
      </c>
      <c r="AF691" s="55">
        <f t="shared" si="97"/>
        <v>0</v>
      </c>
      <c r="AG691" s="55">
        <f t="shared" si="98"/>
        <v>0</v>
      </c>
      <c r="AH691" s="55">
        <f t="shared" si="99"/>
        <v>0</v>
      </c>
      <c r="AI691" s="34" t="s">
        <v>116</v>
      </c>
      <c r="AJ691" s="55">
        <f t="shared" si="100"/>
        <v>0</v>
      </c>
      <c r="AK691" s="55">
        <f t="shared" si="101"/>
        <v>0</v>
      </c>
      <c r="AL691" s="55">
        <f t="shared" si="102"/>
        <v>0</v>
      </c>
      <c r="AN691" s="55">
        <v>21</v>
      </c>
      <c r="AO691" s="55">
        <f t="shared" si="103"/>
        <v>0</v>
      </c>
      <c r="AP691" s="55">
        <f t="shared" si="104"/>
        <v>0</v>
      </c>
      <c r="AQ691" s="58" t="s">
        <v>139</v>
      </c>
      <c r="AV691" s="55">
        <f t="shared" si="105"/>
        <v>0</v>
      </c>
      <c r="AW691" s="55">
        <f t="shared" si="106"/>
        <v>0</v>
      </c>
      <c r="AX691" s="55">
        <f t="shared" si="107"/>
        <v>0</v>
      </c>
      <c r="AY691" s="58" t="s">
        <v>1326</v>
      </c>
      <c r="AZ691" s="58" t="s">
        <v>1313</v>
      </c>
      <c r="BA691" s="34" t="s">
        <v>128</v>
      </c>
      <c r="BC691" s="55">
        <f t="shared" si="108"/>
        <v>0</v>
      </c>
      <c r="BD691" s="55">
        <f t="shared" si="109"/>
        <v>0</v>
      </c>
      <c r="BE691" s="55">
        <v>0</v>
      </c>
      <c r="BF691" s="55">
        <f t="shared" si="110"/>
        <v>0</v>
      </c>
      <c r="BH691" s="55">
        <f t="shared" si="111"/>
        <v>0</v>
      </c>
      <c r="BI691" s="55">
        <f t="shared" si="112"/>
        <v>0</v>
      </c>
      <c r="BJ691" s="55">
        <f t="shared" si="113"/>
        <v>0</v>
      </c>
      <c r="BK691" s="55"/>
      <c r="BL691" s="55">
        <v>721</v>
      </c>
      <c r="BW691" s="55">
        <v>21</v>
      </c>
    </row>
    <row r="692" spans="1:47" ht="14.4">
      <c r="A692" s="50" t="s">
        <v>4</v>
      </c>
      <c r="B692" s="51" t="s">
        <v>116</v>
      </c>
      <c r="C692" s="51" t="s">
        <v>1369</v>
      </c>
      <c r="D692" s="222" t="s">
        <v>1370</v>
      </c>
      <c r="E692" s="223"/>
      <c r="F692" s="52" t="s">
        <v>79</v>
      </c>
      <c r="G692" s="52" t="s">
        <v>79</v>
      </c>
      <c r="H692" s="53" t="s">
        <v>79</v>
      </c>
      <c r="I692" s="27">
        <f>SUM(I693:I714)</f>
        <v>0</v>
      </c>
      <c r="J692" s="34" t="s">
        <v>4</v>
      </c>
      <c r="K692" s="27">
        <f>SUM(K693:K714)</f>
        <v>0</v>
      </c>
      <c r="L692" s="54" t="s">
        <v>4</v>
      </c>
      <c r="AI692" s="34" t="s">
        <v>116</v>
      </c>
      <c r="AS692" s="27">
        <f>SUM(AJ693:AJ714)</f>
        <v>0</v>
      </c>
      <c r="AT692" s="27">
        <f>SUM(AK693:AK714)</f>
        <v>0</v>
      </c>
      <c r="AU692" s="27">
        <f>SUM(AL693:AL714)</f>
        <v>0</v>
      </c>
    </row>
    <row r="693" spans="1:75" ht="13.5" customHeight="1">
      <c r="A693" s="1" t="s">
        <v>1371</v>
      </c>
      <c r="B693" s="2" t="s">
        <v>116</v>
      </c>
      <c r="C693" s="2" t="s">
        <v>1372</v>
      </c>
      <c r="D693" s="147" t="s">
        <v>1373</v>
      </c>
      <c r="E693" s="148"/>
      <c r="F693" s="2" t="s">
        <v>174</v>
      </c>
      <c r="G693" s="55">
        <v>10</v>
      </c>
      <c r="H693" s="56">
        <v>0</v>
      </c>
      <c r="I693" s="55">
        <f aca="true" t="shared" si="114" ref="I693:I714">G693*H693</f>
        <v>0</v>
      </c>
      <c r="J693" s="55">
        <v>0</v>
      </c>
      <c r="K693" s="55">
        <f aca="true" t="shared" si="115" ref="K693:K714">G693*J693</f>
        <v>0</v>
      </c>
      <c r="L693" s="57" t="s">
        <v>124</v>
      </c>
      <c r="Z693" s="55">
        <f aca="true" t="shared" si="116" ref="Z693:Z714">IF(AQ693="5",BJ693,0)</f>
        <v>0</v>
      </c>
      <c r="AB693" s="55">
        <f aca="true" t="shared" si="117" ref="AB693:AB714">IF(AQ693="1",BH693,0)</f>
        <v>0</v>
      </c>
      <c r="AC693" s="55">
        <f aca="true" t="shared" si="118" ref="AC693:AC714">IF(AQ693="1",BI693,0)</f>
        <v>0</v>
      </c>
      <c r="AD693" s="55">
        <f aca="true" t="shared" si="119" ref="AD693:AD714">IF(AQ693="7",BH693,0)</f>
        <v>0</v>
      </c>
      <c r="AE693" s="55">
        <f aca="true" t="shared" si="120" ref="AE693:AE714">IF(AQ693="7",BI693,0)</f>
        <v>0</v>
      </c>
      <c r="AF693" s="55">
        <f aca="true" t="shared" si="121" ref="AF693:AF714">IF(AQ693="2",BH693,0)</f>
        <v>0</v>
      </c>
      <c r="AG693" s="55">
        <f aca="true" t="shared" si="122" ref="AG693:AG714">IF(AQ693="2",BI693,0)</f>
        <v>0</v>
      </c>
      <c r="AH693" s="55">
        <f aca="true" t="shared" si="123" ref="AH693:AH714">IF(AQ693="0",BJ693,0)</f>
        <v>0</v>
      </c>
      <c r="AI693" s="34" t="s">
        <v>116</v>
      </c>
      <c r="AJ693" s="55">
        <f aca="true" t="shared" si="124" ref="AJ693:AJ714">IF(AN693=0,I693,0)</f>
        <v>0</v>
      </c>
      <c r="AK693" s="55">
        <f aca="true" t="shared" si="125" ref="AK693:AK714">IF(AN693=12,I693,0)</f>
        <v>0</v>
      </c>
      <c r="AL693" s="55">
        <f aca="true" t="shared" si="126" ref="AL693:AL714">IF(AN693=21,I693,0)</f>
        <v>0</v>
      </c>
      <c r="AN693" s="55">
        <v>21</v>
      </c>
      <c r="AO693" s="55">
        <f aca="true" t="shared" si="127" ref="AO693:AO714">H693*0</f>
        <v>0</v>
      </c>
      <c r="AP693" s="55">
        <f aca="true" t="shared" si="128" ref="AP693:AP714">H693*(1-0)</f>
        <v>0</v>
      </c>
      <c r="AQ693" s="58" t="s">
        <v>125</v>
      </c>
      <c r="AV693" s="55">
        <f aca="true" t="shared" si="129" ref="AV693:AV714">AW693+AX693</f>
        <v>0</v>
      </c>
      <c r="AW693" s="55">
        <f aca="true" t="shared" si="130" ref="AW693:AW714">G693*AO693</f>
        <v>0</v>
      </c>
      <c r="AX693" s="55">
        <f aca="true" t="shared" si="131" ref="AX693:AX714">G693*AP693</f>
        <v>0</v>
      </c>
      <c r="AY693" s="58" t="s">
        <v>1374</v>
      </c>
      <c r="AZ693" s="58" t="s">
        <v>1313</v>
      </c>
      <c r="BA693" s="34" t="s">
        <v>128</v>
      </c>
      <c r="BC693" s="55">
        <f aca="true" t="shared" si="132" ref="BC693:BC714">AW693+AX693</f>
        <v>0</v>
      </c>
      <c r="BD693" s="55">
        <f aca="true" t="shared" si="133" ref="BD693:BD714">H693/(100-BE693)*100</f>
        <v>0</v>
      </c>
      <c r="BE693" s="55">
        <v>0</v>
      </c>
      <c r="BF693" s="55">
        <f aca="true" t="shared" si="134" ref="BF693:BF714">K693</f>
        <v>0</v>
      </c>
      <c r="BH693" s="55">
        <f aca="true" t="shared" si="135" ref="BH693:BH714">G693*AO693</f>
        <v>0</v>
      </c>
      <c r="BI693" s="55">
        <f aca="true" t="shared" si="136" ref="BI693:BI714">G693*AP693</f>
        <v>0</v>
      </c>
      <c r="BJ693" s="55">
        <f aca="true" t="shared" si="137" ref="BJ693:BJ714">G693*H693</f>
        <v>0</v>
      </c>
      <c r="BK693" s="55"/>
      <c r="BL693" s="55">
        <v>722</v>
      </c>
      <c r="BW693" s="55">
        <v>21</v>
      </c>
    </row>
    <row r="694" spans="1:75" ht="13.5" customHeight="1">
      <c r="A694" s="1" t="s">
        <v>1375</v>
      </c>
      <c r="B694" s="2" t="s">
        <v>116</v>
      </c>
      <c r="C694" s="2" t="s">
        <v>1376</v>
      </c>
      <c r="D694" s="147" t="s">
        <v>1377</v>
      </c>
      <c r="E694" s="148"/>
      <c r="F694" s="2" t="s">
        <v>174</v>
      </c>
      <c r="G694" s="55">
        <v>85</v>
      </c>
      <c r="H694" s="56">
        <v>0</v>
      </c>
      <c r="I694" s="55">
        <f t="shared" si="114"/>
        <v>0</v>
      </c>
      <c r="J694" s="55">
        <v>0</v>
      </c>
      <c r="K694" s="55">
        <f t="shared" si="115"/>
        <v>0</v>
      </c>
      <c r="L694" s="57" t="s">
        <v>124</v>
      </c>
      <c r="Z694" s="55">
        <f t="shared" si="116"/>
        <v>0</v>
      </c>
      <c r="AB694" s="55">
        <f t="shared" si="117"/>
        <v>0</v>
      </c>
      <c r="AC694" s="55">
        <f t="shared" si="118"/>
        <v>0</v>
      </c>
      <c r="AD694" s="55">
        <f t="shared" si="119"/>
        <v>0</v>
      </c>
      <c r="AE694" s="55">
        <f t="shared" si="120"/>
        <v>0</v>
      </c>
      <c r="AF694" s="55">
        <f t="shared" si="121"/>
        <v>0</v>
      </c>
      <c r="AG694" s="55">
        <f t="shared" si="122"/>
        <v>0</v>
      </c>
      <c r="AH694" s="55">
        <f t="shared" si="123"/>
        <v>0</v>
      </c>
      <c r="AI694" s="34" t="s">
        <v>116</v>
      </c>
      <c r="AJ694" s="55">
        <f t="shared" si="124"/>
        <v>0</v>
      </c>
      <c r="AK694" s="55">
        <f t="shared" si="125"/>
        <v>0</v>
      </c>
      <c r="AL694" s="55">
        <f t="shared" si="126"/>
        <v>0</v>
      </c>
      <c r="AN694" s="55">
        <v>21</v>
      </c>
      <c r="AO694" s="55">
        <f t="shared" si="127"/>
        <v>0</v>
      </c>
      <c r="AP694" s="55">
        <f t="shared" si="128"/>
        <v>0</v>
      </c>
      <c r="AQ694" s="58" t="s">
        <v>125</v>
      </c>
      <c r="AV694" s="55">
        <f t="shared" si="129"/>
        <v>0</v>
      </c>
      <c r="AW694" s="55">
        <f t="shared" si="130"/>
        <v>0</v>
      </c>
      <c r="AX694" s="55">
        <f t="shared" si="131"/>
        <v>0</v>
      </c>
      <c r="AY694" s="58" t="s">
        <v>1374</v>
      </c>
      <c r="AZ694" s="58" t="s">
        <v>1313</v>
      </c>
      <c r="BA694" s="34" t="s">
        <v>128</v>
      </c>
      <c r="BC694" s="55">
        <f t="shared" si="132"/>
        <v>0</v>
      </c>
      <c r="BD694" s="55">
        <f t="shared" si="133"/>
        <v>0</v>
      </c>
      <c r="BE694" s="55">
        <v>0</v>
      </c>
      <c r="BF694" s="55">
        <f t="shared" si="134"/>
        <v>0</v>
      </c>
      <c r="BH694" s="55">
        <f t="shared" si="135"/>
        <v>0</v>
      </c>
      <c r="BI694" s="55">
        <f t="shared" si="136"/>
        <v>0</v>
      </c>
      <c r="BJ694" s="55">
        <f t="shared" si="137"/>
        <v>0</v>
      </c>
      <c r="BK694" s="55"/>
      <c r="BL694" s="55">
        <v>722</v>
      </c>
      <c r="BW694" s="55">
        <v>21</v>
      </c>
    </row>
    <row r="695" spans="1:75" ht="13.5" customHeight="1">
      <c r="A695" s="1" t="s">
        <v>1378</v>
      </c>
      <c r="B695" s="2" t="s">
        <v>116</v>
      </c>
      <c r="C695" s="2" t="s">
        <v>1379</v>
      </c>
      <c r="D695" s="147" t="s">
        <v>1380</v>
      </c>
      <c r="E695" s="148"/>
      <c r="F695" s="2" t="s">
        <v>174</v>
      </c>
      <c r="G695" s="55">
        <v>55</v>
      </c>
      <c r="H695" s="56">
        <v>0</v>
      </c>
      <c r="I695" s="55">
        <f t="shared" si="114"/>
        <v>0</v>
      </c>
      <c r="J695" s="55">
        <v>0</v>
      </c>
      <c r="K695" s="55">
        <f t="shared" si="115"/>
        <v>0</v>
      </c>
      <c r="L695" s="57" t="s">
        <v>124</v>
      </c>
      <c r="Z695" s="55">
        <f t="shared" si="116"/>
        <v>0</v>
      </c>
      <c r="AB695" s="55">
        <f t="shared" si="117"/>
        <v>0</v>
      </c>
      <c r="AC695" s="55">
        <f t="shared" si="118"/>
        <v>0</v>
      </c>
      <c r="AD695" s="55">
        <f t="shared" si="119"/>
        <v>0</v>
      </c>
      <c r="AE695" s="55">
        <f t="shared" si="120"/>
        <v>0</v>
      </c>
      <c r="AF695" s="55">
        <f t="shared" si="121"/>
        <v>0</v>
      </c>
      <c r="AG695" s="55">
        <f t="shared" si="122"/>
        <v>0</v>
      </c>
      <c r="AH695" s="55">
        <f t="shared" si="123"/>
        <v>0</v>
      </c>
      <c r="AI695" s="34" t="s">
        <v>116</v>
      </c>
      <c r="AJ695" s="55">
        <f t="shared" si="124"/>
        <v>0</v>
      </c>
      <c r="AK695" s="55">
        <f t="shared" si="125"/>
        <v>0</v>
      </c>
      <c r="AL695" s="55">
        <f t="shared" si="126"/>
        <v>0</v>
      </c>
      <c r="AN695" s="55">
        <v>21</v>
      </c>
      <c r="AO695" s="55">
        <f t="shared" si="127"/>
        <v>0</v>
      </c>
      <c r="AP695" s="55">
        <f t="shared" si="128"/>
        <v>0</v>
      </c>
      <c r="AQ695" s="58" t="s">
        <v>125</v>
      </c>
      <c r="AV695" s="55">
        <f t="shared" si="129"/>
        <v>0</v>
      </c>
      <c r="AW695" s="55">
        <f t="shared" si="130"/>
        <v>0</v>
      </c>
      <c r="AX695" s="55">
        <f t="shared" si="131"/>
        <v>0</v>
      </c>
      <c r="AY695" s="58" t="s">
        <v>1374</v>
      </c>
      <c r="AZ695" s="58" t="s">
        <v>1313</v>
      </c>
      <c r="BA695" s="34" t="s">
        <v>128</v>
      </c>
      <c r="BC695" s="55">
        <f t="shared" si="132"/>
        <v>0</v>
      </c>
      <c r="BD695" s="55">
        <f t="shared" si="133"/>
        <v>0</v>
      </c>
      <c r="BE695" s="55">
        <v>0</v>
      </c>
      <c r="BF695" s="55">
        <f t="shared" si="134"/>
        <v>0</v>
      </c>
      <c r="BH695" s="55">
        <f t="shared" si="135"/>
        <v>0</v>
      </c>
      <c r="BI695" s="55">
        <f t="shared" si="136"/>
        <v>0</v>
      </c>
      <c r="BJ695" s="55">
        <f t="shared" si="137"/>
        <v>0</v>
      </c>
      <c r="BK695" s="55"/>
      <c r="BL695" s="55">
        <v>722</v>
      </c>
      <c r="BW695" s="55">
        <v>21</v>
      </c>
    </row>
    <row r="696" spans="1:75" ht="13.5" customHeight="1">
      <c r="A696" s="1" t="s">
        <v>1381</v>
      </c>
      <c r="B696" s="2" t="s">
        <v>116</v>
      </c>
      <c r="C696" s="2" t="s">
        <v>1382</v>
      </c>
      <c r="D696" s="147" t="s">
        <v>1383</v>
      </c>
      <c r="E696" s="148"/>
      <c r="F696" s="2" t="s">
        <v>174</v>
      </c>
      <c r="G696" s="55">
        <v>35</v>
      </c>
      <c r="H696" s="56">
        <v>0</v>
      </c>
      <c r="I696" s="55">
        <f t="shared" si="114"/>
        <v>0</v>
      </c>
      <c r="J696" s="55">
        <v>0</v>
      </c>
      <c r="K696" s="55">
        <f t="shared" si="115"/>
        <v>0</v>
      </c>
      <c r="L696" s="57" t="s">
        <v>124</v>
      </c>
      <c r="Z696" s="55">
        <f t="shared" si="116"/>
        <v>0</v>
      </c>
      <c r="AB696" s="55">
        <f t="shared" si="117"/>
        <v>0</v>
      </c>
      <c r="AC696" s="55">
        <f t="shared" si="118"/>
        <v>0</v>
      </c>
      <c r="AD696" s="55">
        <f t="shared" si="119"/>
        <v>0</v>
      </c>
      <c r="AE696" s="55">
        <f t="shared" si="120"/>
        <v>0</v>
      </c>
      <c r="AF696" s="55">
        <f t="shared" si="121"/>
        <v>0</v>
      </c>
      <c r="AG696" s="55">
        <f t="shared" si="122"/>
        <v>0</v>
      </c>
      <c r="AH696" s="55">
        <f t="shared" si="123"/>
        <v>0</v>
      </c>
      <c r="AI696" s="34" t="s">
        <v>116</v>
      </c>
      <c r="AJ696" s="55">
        <f t="shared" si="124"/>
        <v>0</v>
      </c>
      <c r="AK696" s="55">
        <f t="shared" si="125"/>
        <v>0</v>
      </c>
      <c r="AL696" s="55">
        <f t="shared" si="126"/>
        <v>0</v>
      </c>
      <c r="AN696" s="55">
        <v>21</v>
      </c>
      <c r="AO696" s="55">
        <f t="shared" si="127"/>
        <v>0</v>
      </c>
      <c r="AP696" s="55">
        <f t="shared" si="128"/>
        <v>0</v>
      </c>
      <c r="AQ696" s="58" t="s">
        <v>125</v>
      </c>
      <c r="AV696" s="55">
        <f t="shared" si="129"/>
        <v>0</v>
      </c>
      <c r="AW696" s="55">
        <f t="shared" si="130"/>
        <v>0</v>
      </c>
      <c r="AX696" s="55">
        <f t="shared" si="131"/>
        <v>0</v>
      </c>
      <c r="AY696" s="58" t="s">
        <v>1374</v>
      </c>
      <c r="AZ696" s="58" t="s">
        <v>1313</v>
      </c>
      <c r="BA696" s="34" t="s">
        <v>128</v>
      </c>
      <c r="BC696" s="55">
        <f t="shared" si="132"/>
        <v>0</v>
      </c>
      <c r="BD696" s="55">
        <f t="shared" si="133"/>
        <v>0</v>
      </c>
      <c r="BE696" s="55">
        <v>0</v>
      </c>
      <c r="BF696" s="55">
        <f t="shared" si="134"/>
        <v>0</v>
      </c>
      <c r="BH696" s="55">
        <f t="shared" si="135"/>
        <v>0</v>
      </c>
      <c r="BI696" s="55">
        <f t="shared" si="136"/>
        <v>0</v>
      </c>
      <c r="BJ696" s="55">
        <f t="shared" si="137"/>
        <v>0</v>
      </c>
      <c r="BK696" s="55"/>
      <c r="BL696" s="55">
        <v>722</v>
      </c>
      <c r="BW696" s="55">
        <v>21</v>
      </c>
    </row>
    <row r="697" spans="1:75" ht="27" customHeight="1">
      <c r="A697" s="1" t="s">
        <v>1384</v>
      </c>
      <c r="B697" s="2" t="s">
        <v>116</v>
      </c>
      <c r="C697" s="2" t="s">
        <v>1385</v>
      </c>
      <c r="D697" s="147" t="s">
        <v>1386</v>
      </c>
      <c r="E697" s="148"/>
      <c r="F697" s="2" t="s">
        <v>174</v>
      </c>
      <c r="G697" s="55">
        <v>85</v>
      </c>
      <c r="H697" s="56">
        <v>0</v>
      </c>
      <c r="I697" s="55">
        <f t="shared" si="114"/>
        <v>0</v>
      </c>
      <c r="J697" s="55">
        <v>0</v>
      </c>
      <c r="K697" s="55">
        <f t="shared" si="115"/>
        <v>0</v>
      </c>
      <c r="L697" s="57" t="s">
        <v>124</v>
      </c>
      <c r="Z697" s="55">
        <f t="shared" si="116"/>
        <v>0</v>
      </c>
      <c r="AB697" s="55">
        <f t="shared" si="117"/>
        <v>0</v>
      </c>
      <c r="AC697" s="55">
        <f t="shared" si="118"/>
        <v>0</v>
      </c>
      <c r="AD697" s="55">
        <f t="shared" si="119"/>
        <v>0</v>
      </c>
      <c r="AE697" s="55">
        <f t="shared" si="120"/>
        <v>0</v>
      </c>
      <c r="AF697" s="55">
        <f t="shared" si="121"/>
        <v>0</v>
      </c>
      <c r="AG697" s="55">
        <f t="shared" si="122"/>
        <v>0</v>
      </c>
      <c r="AH697" s="55">
        <f t="shared" si="123"/>
        <v>0</v>
      </c>
      <c r="AI697" s="34" t="s">
        <v>116</v>
      </c>
      <c r="AJ697" s="55">
        <f t="shared" si="124"/>
        <v>0</v>
      </c>
      <c r="AK697" s="55">
        <f t="shared" si="125"/>
        <v>0</v>
      </c>
      <c r="AL697" s="55">
        <f t="shared" si="126"/>
        <v>0</v>
      </c>
      <c r="AN697" s="55">
        <v>21</v>
      </c>
      <c r="AO697" s="55">
        <f t="shared" si="127"/>
        <v>0</v>
      </c>
      <c r="AP697" s="55">
        <f t="shared" si="128"/>
        <v>0</v>
      </c>
      <c r="AQ697" s="58" t="s">
        <v>125</v>
      </c>
      <c r="AV697" s="55">
        <f t="shared" si="129"/>
        <v>0</v>
      </c>
      <c r="AW697" s="55">
        <f t="shared" si="130"/>
        <v>0</v>
      </c>
      <c r="AX697" s="55">
        <f t="shared" si="131"/>
        <v>0</v>
      </c>
      <c r="AY697" s="58" t="s">
        <v>1374</v>
      </c>
      <c r="AZ697" s="58" t="s">
        <v>1313</v>
      </c>
      <c r="BA697" s="34" t="s">
        <v>128</v>
      </c>
      <c r="BC697" s="55">
        <f t="shared" si="132"/>
        <v>0</v>
      </c>
      <c r="BD697" s="55">
        <f t="shared" si="133"/>
        <v>0</v>
      </c>
      <c r="BE697" s="55">
        <v>0</v>
      </c>
      <c r="BF697" s="55">
        <f t="shared" si="134"/>
        <v>0</v>
      </c>
      <c r="BH697" s="55">
        <f t="shared" si="135"/>
        <v>0</v>
      </c>
      <c r="BI697" s="55">
        <f t="shared" si="136"/>
        <v>0</v>
      </c>
      <c r="BJ697" s="55">
        <f t="shared" si="137"/>
        <v>0</v>
      </c>
      <c r="BK697" s="55"/>
      <c r="BL697" s="55">
        <v>722</v>
      </c>
      <c r="BW697" s="55">
        <v>21</v>
      </c>
    </row>
    <row r="698" spans="1:75" ht="27" customHeight="1">
      <c r="A698" s="1" t="s">
        <v>1387</v>
      </c>
      <c r="B698" s="2" t="s">
        <v>116</v>
      </c>
      <c r="C698" s="2" t="s">
        <v>1388</v>
      </c>
      <c r="D698" s="147" t="s">
        <v>1389</v>
      </c>
      <c r="E698" s="148"/>
      <c r="F698" s="2" t="s">
        <v>174</v>
      </c>
      <c r="G698" s="55">
        <v>90</v>
      </c>
      <c r="H698" s="56">
        <v>0</v>
      </c>
      <c r="I698" s="55">
        <f t="shared" si="114"/>
        <v>0</v>
      </c>
      <c r="J698" s="55">
        <v>0</v>
      </c>
      <c r="K698" s="55">
        <f t="shared" si="115"/>
        <v>0</v>
      </c>
      <c r="L698" s="57" t="s">
        <v>124</v>
      </c>
      <c r="Z698" s="55">
        <f t="shared" si="116"/>
        <v>0</v>
      </c>
      <c r="AB698" s="55">
        <f t="shared" si="117"/>
        <v>0</v>
      </c>
      <c r="AC698" s="55">
        <f t="shared" si="118"/>
        <v>0</v>
      </c>
      <c r="AD698" s="55">
        <f t="shared" si="119"/>
        <v>0</v>
      </c>
      <c r="AE698" s="55">
        <f t="shared" si="120"/>
        <v>0</v>
      </c>
      <c r="AF698" s="55">
        <f t="shared" si="121"/>
        <v>0</v>
      </c>
      <c r="AG698" s="55">
        <f t="shared" si="122"/>
        <v>0</v>
      </c>
      <c r="AH698" s="55">
        <f t="shared" si="123"/>
        <v>0</v>
      </c>
      <c r="AI698" s="34" t="s">
        <v>116</v>
      </c>
      <c r="AJ698" s="55">
        <f t="shared" si="124"/>
        <v>0</v>
      </c>
      <c r="AK698" s="55">
        <f t="shared" si="125"/>
        <v>0</v>
      </c>
      <c r="AL698" s="55">
        <f t="shared" si="126"/>
        <v>0</v>
      </c>
      <c r="AN698" s="55">
        <v>21</v>
      </c>
      <c r="AO698" s="55">
        <f t="shared" si="127"/>
        <v>0</v>
      </c>
      <c r="AP698" s="55">
        <f t="shared" si="128"/>
        <v>0</v>
      </c>
      <c r="AQ698" s="58" t="s">
        <v>125</v>
      </c>
      <c r="AV698" s="55">
        <f t="shared" si="129"/>
        <v>0</v>
      </c>
      <c r="AW698" s="55">
        <f t="shared" si="130"/>
        <v>0</v>
      </c>
      <c r="AX698" s="55">
        <f t="shared" si="131"/>
        <v>0</v>
      </c>
      <c r="AY698" s="58" t="s">
        <v>1374</v>
      </c>
      <c r="AZ698" s="58" t="s">
        <v>1313</v>
      </c>
      <c r="BA698" s="34" t="s">
        <v>128</v>
      </c>
      <c r="BC698" s="55">
        <f t="shared" si="132"/>
        <v>0</v>
      </c>
      <c r="BD698" s="55">
        <f t="shared" si="133"/>
        <v>0</v>
      </c>
      <c r="BE698" s="55">
        <v>0</v>
      </c>
      <c r="BF698" s="55">
        <f t="shared" si="134"/>
        <v>0</v>
      </c>
      <c r="BH698" s="55">
        <f t="shared" si="135"/>
        <v>0</v>
      </c>
      <c r="BI698" s="55">
        <f t="shared" si="136"/>
        <v>0</v>
      </c>
      <c r="BJ698" s="55">
        <f t="shared" si="137"/>
        <v>0</v>
      </c>
      <c r="BK698" s="55"/>
      <c r="BL698" s="55">
        <v>722</v>
      </c>
      <c r="BW698" s="55">
        <v>21</v>
      </c>
    </row>
    <row r="699" spans="1:75" ht="13.5" customHeight="1">
      <c r="A699" s="1" t="s">
        <v>1390</v>
      </c>
      <c r="B699" s="2" t="s">
        <v>116</v>
      </c>
      <c r="C699" s="2" t="s">
        <v>1391</v>
      </c>
      <c r="D699" s="147" t="s">
        <v>1392</v>
      </c>
      <c r="E699" s="148"/>
      <c r="F699" s="2" t="s">
        <v>374</v>
      </c>
      <c r="G699" s="55">
        <v>20</v>
      </c>
      <c r="H699" s="56">
        <v>0</v>
      </c>
      <c r="I699" s="55">
        <f t="shared" si="114"/>
        <v>0</v>
      </c>
      <c r="J699" s="55">
        <v>0</v>
      </c>
      <c r="K699" s="55">
        <f t="shared" si="115"/>
        <v>0</v>
      </c>
      <c r="L699" s="57" t="s">
        <v>124</v>
      </c>
      <c r="Z699" s="55">
        <f t="shared" si="116"/>
        <v>0</v>
      </c>
      <c r="AB699" s="55">
        <f t="shared" si="117"/>
        <v>0</v>
      </c>
      <c r="AC699" s="55">
        <f t="shared" si="118"/>
        <v>0</v>
      </c>
      <c r="AD699" s="55">
        <f t="shared" si="119"/>
        <v>0</v>
      </c>
      <c r="AE699" s="55">
        <f t="shared" si="120"/>
        <v>0</v>
      </c>
      <c r="AF699" s="55">
        <f t="shared" si="121"/>
        <v>0</v>
      </c>
      <c r="AG699" s="55">
        <f t="shared" si="122"/>
        <v>0</v>
      </c>
      <c r="AH699" s="55">
        <f t="shared" si="123"/>
        <v>0</v>
      </c>
      <c r="AI699" s="34" t="s">
        <v>116</v>
      </c>
      <c r="AJ699" s="55">
        <f t="shared" si="124"/>
        <v>0</v>
      </c>
      <c r="AK699" s="55">
        <f t="shared" si="125"/>
        <v>0</v>
      </c>
      <c r="AL699" s="55">
        <f t="shared" si="126"/>
        <v>0</v>
      </c>
      <c r="AN699" s="55">
        <v>21</v>
      </c>
      <c r="AO699" s="55">
        <f t="shared" si="127"/>
        <v>0</v>
      </c>
      <c r="AP699" s="55">
        <f t="shared" si="128"/>
        <v>0</v>
      </c>
      <c r="AQ699" s="58" t="s">
        <v>125</v>
      </c>
      <c r="AV699" s="55">
        <f t="shared" si="129"/>
        <v>0</v>
      </c>
      <c r="AW699" s="55">
        <f t="shared" si="130"/>
        <v>0</v>
      </c>
      <c r="AX699" s="55">
        <f t="shared" si="131"/>
        <v>0</v>
      </c>
      <c r="AY699" s="58" t="s">
        <v>1374</v>
      </c>
      <c r="AZ699" s="58" t="s">
        <v>1313</v>
      </c>
      <c r="BA699" s="34" t="s">
        <v>128</v>
      </c>
      <c r="BC699" s="55">
        <f t="shared" si="132"/>
        <v>0</v>
      </c>
      <c r="BD699" s="55">
        <f t="shared" si="133"/>
        <v>0</v>
      </c>
      <c r="BE699" s="55">
        <v>0</v>
      </c>
      <c r="BF699" s="55">
        <f t="shared" si="134"/>
        <v>0</v>
      </c>
      <c r="BH699" s="55">
        <f t="shared" si="135"/>
        <v>0</v>
      </c>
      <c r="BI699" s="55">
        <f t="shared" si="136"/>
        <v>0</v>
      </c>
      <c r="BJ699" s="55">
        <f t="shared" si="137"/>
        <v>0</v>
      </c>
      <c r="BK699" s="55"/>
      <c r="BL699" s="55">
        <v>722</v>
      </c>
      <c r="BW699" s="55">
        <v>21</v>
      </c>
    </row>
    <row r="700" spans="1:75" ht="13.5" customHeight="1">
      <c r="A700" s="1" t="s">
        <v>1393</v>
      </c>
      <c r="B700" s="2" t="s">
        <v>116</v>
      </c>
      <c r="C700" s="2" t="s">
        <v>1394</v>
      </c>
      <c r="D700" s="147" t="s">
        <v>1395</v>
      </c>
      <c r="E700" s="148"/>
      <c r="F700" s="2" t="s">
        <v>374</v>
      </c>
      <c r="G700" s="55">
        <v>16</v>
      </c>
      <c r="H700" s="56">
        <v>0</v>
      </c>
      <c r="I700" s="55">
        <f t="shared" si="114"/>
        <v>0</v>
      </c>
      <c r="J700" s="55">
        <v>0</v>
      </c>
      <c r="K700" s="55">
        <f t="shared" si="115"/>
        <v>0</v>
      </c>
      <c r="L700" s="57" t="s">
        <v>124</v>
      </c>
      <c r="Z700" s="55">
        <f t="shared" si="116"/>
        <v>0</v>
      </c>
      <c r="AB700" s="55">
        <f t="shared" si="117"/>
        <v>0</v>
      </c>
      <c r="AC700" s="55">
        <f t="shared" si="118"/>
        <v>0</v>
      </c>
      <c r="AD700" s="55">
        <f t="shared" si="119"/>
        <v>0</v>
      </c>
      <c r="AE700" s="55">
        <f t="shared" si="120"/>
        <v>0</v>
      </c>
      <c r="AF700" s="55">
        <f t="shared" si="121"/>
        <v>0</v>
      </c>
      <c r="AG700" s="55">
        <f t="shared" si="122"/>
        <v>0</v>
      </c>
      <c r="AH700" s="55">
        <f t="shared" si="123"/>
        <v>0</v>
      </c>
      <c r="AI700" s="34" t="s">
        <v>116</v>
      </c>
      <c r="AJ700" s="55">
        <f t="shared" si="124"/>
        <v>0</v>
      </c>
      <c r="AK700" s="55">
        <f t="shared" si="125"/>
        <v>0</v>
      </c>
      <c r="AL700" s="55">
        <f t="shared" si="126"/>
        <v>0</v>
      </c>
      <c r="AN700" s="55">
        <v>21</v>
      </c>
      <c r="AO700" s="55">
        <f t="shared" si="127"/>
        <v>0</v>
      </c>
      <c r="AP700" s="55">
        <f t="shared" si="128"/>
        <v>0</v>
      </c>
      <c r="AQ700" s="58" t="s">
        <v>125</v>
      </c>
      <c r="AV700" s="55">
        <f t="shared" si="129"/>
        <v>0</v>
      </c>
      <c r="AW700" s="55">
        <f t="shared" si="130"/>
        <v>0</v>
      </c>
      <c r="AX700" s="55">
        <f t="shared" si="131"/>
        <v>0</v>
      </c>
      <c r="AY700" s="58" t="s">
        <v>1374</v>
      </c>
      <c r="AZ700" s="58" t="s">
        <v>1313</v>
      </c>
      <c r="BA700" s="34" t="s">
        <v>128</v>
      </c>
      <c r="BC700" s="55">
        <f t="shared" si="132"/>
        <v>0</v>
      </c>
      <c r="BD700" s="55">
        <f t="shared" si="133"/>
        <v>0</v>
      </c>
      <c r="BE700" s="55">
        <v>0</v>
      </c>
      <c r="BF700" s="55">
        <f t="shared" si="134"/>
        <v>0</v>
      </c>
      <c r="BH700" s="55">
        <f t="shared" si="135"/>
        <v>0</v>
      </c>
      <c r="BI700" s="55">
        <f t="shared" si="136"/>
        <v>0</v>
      </c>
      <c r="BJ700" s="55">
        <f t="shared" si="137"/>
        <v>0</v>
      </c>
      <c r="BK700" s="55"/>
      <c r="BL700" s="55">
        <v>722</v>
      </c>
      <c r="BW700" s="55">
        <v>21</v>
      </c>
    </row>
    <row r="701" spans="1:75" ht="13.5" customHeight="1">
      <c r="A701" s="1" t="s">
        <v>1396</v>
      </c>
      <c r="B701" s="2" t="s">
        <v>116</v>
      </c>
      <c r="C701" s="2" t="s">
        <v>1397</v>
      </c>
      <c r="D701" s="147" t="s">
        <v>1398</v>
      </c>
      <c r="E701" s="148"/>
      <c r="F701" s="2" t="s">
        <v>1399</v>
      </c>
      <c r="G701" s="55">
        <v>2</v>
      </c>
      <c r="H701" s="56">
        <v>0</v>
      </c>
      <c r="I701" s="55">
        <f t="shared" si="114"/>
        <v>0</v>
      </c>
      <c r="J701" s="55">
        <v>0</v>
      </c>
      <c r="K701" s="55">
        <f t="shared" si="115"/>
        <v>0</v>
      </c>
      <c r="L701" s="57" t="s">
        <v>124</v>
      </c>
      <c r="Z701" s="55">
        <f t="shared" si="116"/>
        <v>0</v>
      </c>
      <c r="AB701" s="55">
        <f t="shared" si="117"/>
        <v>0</v>
      </c>
      <c r="AC701" s="55">
        <f t="shared" si="118"/>
        <v>0</v>
      </c>
      <c r="AD701" s="55">
        <f t="shared" si="119"/>
        <v>0</v>
      </c>
      <c r="AE701" s="55">
        <f t="shared" si="120"/>
        <v>0</v>
      </c>
      <c r="AF701" s="55">
        <f t="shared" si="121"/>
        <v>0</v>
      </c>
      <c r="AG701" s="55">
        <f t="shared" si="122"/>
        <v>0</v>
      </c>
      <c r="AH701" s="55">
        <f t="shared" si="123"/>
        <v>0</v>
      </c>
      <c r="AI701" s="34" t="s">
        <v>116</v>
      </c>
      <c r="AJ701" s="55">
        <f t="shared" si="124"/>
        <v>0</v>
      </c>
      <c r="AK701" s="55">
        <f t="shared" si="125"/>
        <v>0</v>
      </c>
      <c r="AL701" s="55">
        <f t="shared" si="126"/>
        <v>0</v>
      </c>
      <c r="AN701" s="55">
        <v>21</v>
      </c>
      <c r="AO701" s="55">
        <f t="shared" si="127"/>
        <v>0</v>
      </c>
      <c r="AP701" s="55">
        <f t="shared" si="128"/>
        <v>0</v>
      </c>
      <c r="AQ701" s="58" t="s">
        <v>125</v>
      </c>
      <c r="AV701" s="55">
        <f t="shared" si="129"/>
        <v>0</v>
      </c>
      <c r="AW701" s="55">
        <f t="shared" si="130"/>
        <v>0</v>
      </c>
      <c r="AX701" s="55">
        <f t="shared" si="131"/>
        <v>0</v>
      </c>
      <c r="AY701" s="58" t="s">
        <v>1374</v>
      </c>
      <c r="AZ701" s="58" t="s">
        <v>1313</v>
      </c>
      <c r="BA701" s="34" t="s">
        <v>128</v>
      </c>
      <c r="BC701" s="55">
        <f t="shared" si="132"/>
        <v>0</v>
      </c>
      <c r="BD701" s="55">
        <f t="shared" si="133"/>
        <v>0</v>
      </c>
      <c r="BE701" s="55">
        <v>0</v>
      </c>
      <c r="BF701" s="55">
        <f t="shared" si="134"/>
        <v>0</v>
      </c>
      <c r="BH701" s="55">
        <f t="shared" si="135"/>
        <v>0</v>
      </c>
      <c r="BI701" s="55">
        <f t="shared" si="136"/>
        <v>0</v>
      </c>
      <c r="BJ701" s="55">
        <f t="shared" si="137"/>
        <v>0</v>
      </c>
      <c r="BK701" s="55"/>
      <c r="BL701" s="55">
        <v>722</v>
      </c>
      <c r="BW701" s="55">
        <v>21</v>
      </c>
    </row>
    <row r="702" spans="1:75" ht="13.5" customHeight="1">
      <c r="A702" s="1" t="s">
        <v>1400</v>
      </c>
      <c r="B702" s="2" t="s">
        <v>116</v>
      </c>
      <c r="C702" s="2" t="s">
        <v>1401</v>
      </c>
      <c r="D702" s="147" t="s">
        <v>1402</v>
      </c>
      <c r="E702" s="148"/>
      <c r="F702" s="2" t="s">
        <v>1403</v>
      </c>
      <c r="G702" s="55">
        <v>16</v>
      </c>
      <c r="H702" s="56">
        <v>0</v>
      </c>
      <c r="I702" s="55">
        <f t="shared" si="114"/>
        <v>0</v>
      </c>
      <c r="J702" s="55">
        <v>0</v>
      </c>
      <c r="K702" s="55">
        <f t="shared" si="115"/>
        <v>0</v>
      </c>
      <c r="L702" s="57" t="s">
        <v>124</v>
      </c>
      <c r="Z702" s="55">
        <f t="shared" si="116"/>
        <v>0</v>
      </c>
      <c r="AB702" s="55">
        <f t="shared" si="117"/>
        <v>0</v>
      </c>
      <c r="AC702" s="55">
        <f t="shared" si="118"/>
        <v>0</v>
      </c>
      <c r="AD702" s="55">
        <f t="shared" si="119"/>
        <v>0</v>
      </c>
      <c r="AE702" s="55">
        <f t="shared" si="120"/>
        <v>0</v>
      </c>
      <c r="AF702" s="55">
        <f t="shared" si="121"/>
        <v>0</v>
      </c>
      <c r="AG702" s="55">
        <f t="shared" si="122"/>
        <v>0</v>
      </c>
      <c r="AH702" s="55">
        <f t="shared" si="123"/>
        <v>0</v>
      </c>
      <c r="AI702" s="34" t="s">
        <v>116</v>
      </c>
      <c r="AJ702" s="55">
        <f t="shared" si="124"/>
        <v>0</v>
      </c>
      <c r="AK702" s="55">
        <f t="shared" si="125"/>
        <v>0</v>
      </c>
      <c r="AL702" s="55">
        <f t="shared" si="126"/>
        <v>0</v>
      </c>
      <c r="AN702" s="55">
        <v>21</v>
      </c>
      <c r="AO702" s="55">
        <f t="shared" si="127"/>
        <v>0</v>
      </c>
      <c r="AP702" s="55">
        <f t="shared" si="128"/>
        <v>0</v>
      </c>
      <c r="AQ702" s="58" t="s">
        <v>125</v>
      </c>
      <c r="AV702" s="55">
        <f t="shared" si="129"/>
        <v>0</v>
      </c>
      <c r="AW702" s="55">
        <f t="shared" si="130"/>
        <v>0</v>
      </c>
      <c r="AX702" s="55">
        <f t="shared" si="131"/>
        <v>0</v>
      </c>
      <c r="AY702" s="58" t="s">
        <v>1374</v>
      </c>
      <c r="AZ702" s="58" t="s">
        <v>1313</v>
      </c>
      <c r="BA702" s="34" t="s">
        <v>128</v>
      </c>
      <c r="BC702" s="55">
        <f t="shared" si="132"/>
        <v>0</v>
      </c>
      <c r="BD702" s="55">
        <f t="shared" si="133"/>
        <v>0</v>
      </c>
      <c r="BE702" s="55">
        <v>0</v>
      </c>
      <c r="BF702" s="55">
        <f t="shared" si="134"/>
        <v>0</v>
      </c>
      <c r="BH702" s="55">
        <f t="shared" si="135"/>
        <v>0</v>
      </c>
      <c r="BI702" s="55">
        <f t="shared" si="136"/>
        <v>0</v>
      </c>
      <c r="BJ702" s="55">
        <f t="shared" si="137"/>
        <v>0</v>
      </c>
      <c r="BK702" s="55"/>
      <c r="BL702" s="55">
        <v>722</v>
      </c>
      <c r="BW702" s="55">
        <v>21</v>
      </c>
    </row>
    <row r="703" spans="1:75" ht="13.5" customHeight="1">
      <c r="A703" s="1" t="s">
        <v>1404</v>
      </c>
      <c r="B703" s="2" t="s">
        <v>116</v>
      </c>
      <c r="C703" s="2" t="s">
        <v>1405</v>
      </c>
      <c r="D703" s="147" t="s">
        <v>1406</v>
      </c>
      <c r="E703" s="148"/>
      <c r="F703" s="2" t="s">
        <v>374</v>
      </c>
      <c r="G703" s="55">
        <v>1</v>
      </c>
      <c r="H703" s="56">
        <v>0</v>
      </c>
      <c r="I703" s="55">
        <f t="shared" si="114"/>
        <v>0</v>
      </c>
      <c r="J703" s="55">
        <v>0</v>
      </c>
      <c r="K703" s="55">
        <f t="shared" si="115"/>
        <v>0</v>
      </c>
      <c r="L703" s="57" t="s">
        <v>124</v>
      </c>
      <c r="Z703" s="55">
        <f t="shared" si="116"/>
        <v>0</v>
      </c>
      <c r="AB703" s="55">
        <f t="shared" si="117"/>
        <v>0</v>
      </c>
      <c r="AC703" s="55">
        <f t="shared" si="118"/>
        <v>0</v>
      </c>
      <c r="AD703" s="55">
        <f t="shared" si="119"/>
        <v>0</v>
      </c>
      <c r="AE703" s="55">
        <f t="shared" si="120"/>
        <v>0</v>
      </c>
      <c r="AF703" s="55">
        <f t="shared" si="121"/>
        <v>0</v>
      </c>
      <c r="AG703" s="55">
        <f t="shared" si="122"/>
        <v>0</v>
      </c>
      <c r="AH703" s="55">
        <f t="shared" si="123"/>
        <v>0</v>
      </c>
      <c r="AI703" s="34" t="s">
        <v>116</v>
      </c>
      <c r="AJ703" s="55">
        <f t="shared" si="124"/>
        <v>0</v>
      </c>
      <c r="AK703" s="55">
        <f t="shared" si="125"/>
        <v>0</v>
      </c>
      <c r="AL703" s="55">
        <f t="shared" si="126"/>
        <v>0</v>
      </c>
      <c r="AN703" s="55">
        <v>21</v>
      </c>
      <c r="AO703" s="55">
        <f t="shared" si="127"/>
        <v>0</v>
      </c>
      <c r="AP703" s="55">
        <f t="shared" si="128"/>
        <v>0</v>
      </c>
      <c r="AQ703" s="58" t="s">
        <v>125</v>
      </c>
      <c r="AV703" s="55">
        <f t="shared" si="129"/>
        <v>0</v>
      </c>
      <c r="AW703" s="55">
        <f t="shared" si="130"/>
        <v>0</v>
      </c>
      <c r="AX703" s="55">
        <f t="shared" si="131"/>
        <v>0</v>
      </c>
      <c r="AY703" s="58" t="s">
        <v>1374</v>
      </c>
      <c r="AZ703" s="58" t="s">
        <v>1313</v>
      </c>
      <c r="BA703" s="34" t="s">
        <v>128</v>
      </c>
      <c r="BC703" s="55">
        <f t="shared" si="132"/>
        <v>0</v>
      </c>
      <c r="BD703" s="55">
        <f t="shared" si="133"/>
        <v>0</v>
      </c>
      <c r="BE703" s="55">
        <v>0</v>
      </c>
      <c r="BF703" s="55">
        <f t="shared" si="134"/>
        <v>0</v>
      </c>
      <c r="BH703" s="55">
        <f t="shared" si="135"/>
        <v>0</v>
      </c>
      <c r="BI703" s="55">
        <f t="shared" si="136"/>
        <v>0</v>
      </c>
      <c r="BJ703" s="55">
        <f t="shared" si="137"/>
        <v>0</v>
      </c>
      <c r="BK703" s="55"/>
      <c r="BL703" s="55">
        <v>722</v>
      </c>
      <c r="BW703" s="55">
        <v>21</v>
      </c>
    </row>
    <row r="704" spans="1:75" ht="13.5" customHeight="1">
      <c r="A704" s="1" t="s">
        <v>1407</v>
      </c>
      <c r="B704" s="2" t="s">
        <v>116</v>
      </c>
      <c r="C704" s="2" t="s">
        <v>1408</v>
      </c>
      <c r="D704" s="147" t="s">
        <v>1409</v>
      </c>
      <c r="E704" s="148"/>
      <c r="F704" s="2" t="s">
        <v>374</v>
      </c>
      <c r="G704" s="55">
        <v>1</v>
      </c>
      <c r="H704" s="56">
        <v>0</v>
      </c>
      <c r="I704" s="55">
        <f t="shared" si="114"/>
        <v>0</v>
      </c>
      <c r="J704" s="55">
        <v>0</v>
      </c>
      <c r="K704" s="55">
        <f t="shared" si="115"/>
        <v>0</v>
      </c>
      <c r="L704" s="57" t="s">
        <v>124</v>
      </c>
      <c r="Z704" s="55">
        <f t="shared" si="116"/>
        <v>0</v>
      </c>
      <c r="AB704" s="55">
        <f t="shared" si="117"/>
        <v>0</v>
      </c>
      <c r="AC704" s="55">
        <f t="shared" si="118"/>
        <v>0</v>
      </c>
      <c r="AD704" s="55">
        <f t="shared" si="119"/>
        <v>0</v>
      </c>
      <c r="AE704" s="55">
        <f t="shared" si="120"/>
        <v>0</v>
      </c>
      <c r="AF704" s="55">
        <f t="shared" si="121"/>
        <v>0</v>
      </c>
      <c r="AG704" s="55">
        <f t="shared" si="122"/>
        <v>0</v>
      </c>
      <c r="AH704" s="55">
        <f t="shared" si="123"/>
        <v>0</v>
      </c>
      <c r="AI704" s="34" t="s">
        <v>116</v>
      </c>
      <c r="AJ704" s="55">
        <f t="shared" si="124"/>
        <v>0</v>
      </c>
      <c r="AK704" s="55">
        <f t="shared" si="125"/>
        <v>0</v>
      </c>
      <c r="AL704" s="55">
        <f t="shared" si="126"/>
        <v>0</v>
      </c>
      <c r="AN704" s="55">
        <v>21</v>
      </c>
      <c r="AO704" s="55">
        <f t="shared" si="127"/>
        <v>0</v>
      </c>
      <c r="AP704" s="55">
        <f t="shared" si="128"/>
        <v>0</v>
      </c>
      <c r="AQ704" s="58" t="s">
        <v>125</v>
      </c>
      <c r="AV704" s="55">
        <f t="shared" si="129"/>
        <v>0</v>
      </c>
      <c r="AW704" s="55">
        <f t="shared" si="130"/>
        <v>0</v>
      </c>
      <c r="AX704" s="55">
        <f t="shared" si="131"/>
        <v>0</v>
      </c>
      <c r="AY704" s="58" t="s">
        <v>1374</v>
      </c>
      <c r="AZ704" s="58" t="s">
        <v>1313</v>
      </c>
      <c r="BA704" s="34" t="s">
        <v>128</v>
      </c>
      <c r="BC704" s="55">
        <f t="shared" si="132"/>
        <v>0</v>
      </c>
      <c r="BD704" s="55">
        <f t="shared" si="133"/>
        <v>0</v>
      </c>
      <c r="BE704" s="55">
        <v>0</v>
      </c>
      <c r="BF704" s="55">
        <f t="shared" si="134"/>
        <v>0</v>
      </c>
      <c r="BH704" s="55">
        <f t="shared" si="135"/>
        <v>0</v>
      </c>
      <c r="BI704" s="55">
        <f t="shared" si="136"/>
        <v>0</v>
      </c>
      <c r="BJ704" s="55">
        <f t="shared" si="137"/>
        <v>0</v>
      </c>
      <c r="BK704" s="55"/>
      <c r="BL704" s="55">
        <v>722</v>
      </c>
      <c r="BW704" s="55">
        <v>21</v>
      </c>
    </row>
    <row r="705" spans="1:75" ht="13.5" customHeight="1">
      <c r="A705" s="1" t="s">
        <v>1410</v>
      </c>
      <c r="B705" s="2" t="s">
        <v>116</v>
      </c>
      <c r="C705" s="2" t="s">
        <v>1411</v>
      </c>
      <c r="D705" s="147" t="s">
        <v>1412</v>
      </c>
      <c r="E705" s="148"/>
      <c r="F705" s="2" t="s">
        <v>374</v>
      </c>
      <c r="G705" s="55">
        <v>1</v>
      </c>
      <c r="H705" s="56">
        <v>0</v>
      </c>
      <c r="I705" s="55">
        <f t="shared" si="114"/>
        <v>0</v>
      </c>
      <c r="J705" s="55">
        <v>0</v>
      </c>
      <c r="K705" s="55">
        <f t="shared" si="115"/>
        <v>0</v>
      </c>
      <c r="L705" s="57" t="s">
        <v>124</v>
      </c>
      <c r="Z705" s="55">
        <f t="shared" si="116"/>
        <v>0</v>
      </c>
      <c r="AB705" s="55">
        <f t="shared" si="117"/>
        <v>0</v>
      </c>
      <c r="AC705" s="55">
        <f t="shared" si="118"/>
        <v>0</v>
      </c>
      <c r="AD705" s="55">
        <f t="shared" si="119"/>
        <v>0</v>
      </c>
      <c r="AE705" s="55">
        <f t="shared" si="120"/>
        <v>0</v>
      </c>
      <c r="AF705" s="55">
        <f t="shared" si="121"/>
        <v>0</v>
      </c>
      <c r="AG705" s="55">
        <f t="shared" si="122"/>
        <v>0</v>
      </c>
      <c r="AH705" s="55">
        <f t="shared" si="123"/>
        <v>0</v>
      </c>
      <c r="AI705" s="34" t="s">
        <v>116</v>
      </c>
      <c r="AJ705" s="55">
        <f t="shared" si="124"/>
        <v>0</v>
      </c>
      <c r="AK705" s="55">
        <f t="shared" si="125"/>
        <v>0</v>
      </c>
      <c r="AL705" s="55">
        <f t="shared" si="126"/>
        <v>0</v>
      </c>
      <c r="AN705" s="55">
        <v>21</v>
      </c>
      <c r="AO705" s="55">
        <f t="shared" si="127"/>
        <v>0</v>
      </c>
      <c r="AP705" s="55">
        <f t="shared" si="128"/>
        <v>0</v>
      </c>
      <c r="AQ705" s="58" t="s">
        <v>125</v>
      </c>
      <c r="AV705" s="55">
        <f t="shared" si="129"/>
        <v>0</v>
      </c>
      <c r="AW705" s="55">
        <f t="shared" si="130"/>
        <v>0</v>
      </c>
      <c r="AX705" s="55">
        <f t="shared" si="131"/>
        <v>0</v>
      </c>
      <c r="AY705" s="58" t="s">
        <v>1374</v>
      </c>
      <c r="AZ705" s="58" t="s">
        <v>1313</v>
      </c>
      <c r="BA705" s="34" t="s">
        <v>128</v>
      </c>
      <c r="BC705" s="55">
        <f t="shared" si="132"/>
        <v>0</v>
      </c>
      <c r="BD705" s="55">
        <f t="shared" si="133"/>
        <v>0</v>
      </c>
      <c r="BE705" s="55">
        <v>0</v>
      </c>
      <c r="BF705" s="55">
        <f t="shared" si="134"/>
        <v>0</v>
      </c>
      <c r="BH705" s="55">
        <f t="shared" si="135"/>
        <v>0</v>
      </c>
      <c r="BI705" s="55">
        <f t="shared" si="136"/>
        <v>0</v>
      </c>
      <c r="BJ705" s="55">
        <f t="shared" si="137"/>
        <v>0</v>
      </c>
      <c r="BK705" s="55"/>
      <c r="BL705" s="55">
        <v>722</v>
      </c>
      <c r="BW705" s="55">
        <v>21</v>
      </c>
    </row>
    <row r="706" spans="1:75" ht="13.5" customHeight="1">
      <c r="A706" s="1" t="s">
        <v>1413</v>
      </c>
      <c r="B706" s="2" t="s">
        <v>116</v>
      </c>
      <c r="C706" s="2" t="s">
        <v>1414</v>
      </c>
      <c r="D706" s="147" t="s">
        <v>1415</v>
      </c>
      <c r="E706" s="148"/>
      <c r="F706" s="2" t="s">
        <v>374</v>
      </c>
      <c r="G706" s="55">
        <v>1</v>
      </c>
      <c r="H706" s="56">
        <v>0</v>
      </c>
      <c r="I706" s="55">
        <f t="shared" si="114"/>
        <v>0</v>
      </c>
      <c r="J706" s="55">
        <v>0</v>
      </c>
      <c r="K706" s="55">
        <f t="shared" si="115"/>
        <v>0</v>
      </c>
      <c r="L706" s="57" t="s">
        <v>124</v>
      </c>
      <c r="Z706" s="55">
        <f t="shared" si="116"/>
        <v>0</v>
      </c>
      <c r="AB706" s="55">
        <f t="shared" si="117"/>
        <v>0</v>
      </c>
      <c r="AC706" s="55">
        <f t="shared" si="118"/>
        <v>0</v>
      </c>
      <c r="AD706" s="55">
        <f t="shared" si="119"/>
        <v>0</v>
      </c>
      <c r="AE706" s="55">
        <f t="shared" si="120"/>
        <v>0</v>
      </c>
      <c r="AF706" s="55">
        <f t="shared" si="121"/>
        <v>0</v>
      </c>
      <c r="AG706" s="55">
        <f t="shared" si="122"/>
        <v>0</v>
      </c>
      <c r="AH706" s="55">
        <f t="shared" si="123"/>
        <v>0</v>
      </c>
      <c r="AI706" s="34" t="s">
        <v>116</v>
      </c>
      <c r="AJ706" s="55">
        <f t="shared" si="124"/>
        <v>0</v>
      </c>
      <c r="AK706" s="55">
        <f t="shared" si="125"/>
        <v>0</v>
      </c>
      <c r="AL706" s="55">
        <f t="shared" si="126"/>
        <v>0</v>
      </c>
      <c r="AN706" s="55">
        <v>21</v>
      </c>
      <c r="AO706" s="55">
        <f t="shared" si="127"/>
        <v>0</v>
      </c>
      <c r="AP706" s="55">
        <f t="shared" si="128"/>
        <v>0</v>
      </c>
      <c r="AQ706" s="58" t="s">
        <v>125</v>
      </c>
      <c r="AV706" s="55">
        <f t="shared" si="129"/>
        <v>0</v>
      </c>
      <c r="AW706" s="55">
        <f t="shared" si="130"/>
        <v>0</v>
      </c>
      <c r="AX706" s="55">
        <f t="shared" si="131"/>
        <v>0</v>
      </c>
      <c r="AY706" s="58" t="s">
        <v>1374</v>
      </c>
      <c r="AZ706" s="58" t="s">
        <v>1313</v>
      </c>
      <c r="BA706" s="34" t="s">
        <v>128</v>
      </c>
      <c r="BC706" s="55">
        <f t="shared" si="132"/>
        <v>0</v>
      </c>
      <c r="BD706" s="55">
        <f t="shared" si="133"/>
        <v>0</v>
      </c>
      <c r="BE706" s="55">
        <v>0</v>
      </c>
      <c r="BF706" s="55">
        <f t="shared" si="134"/>
        <v>0</v>
      </c>
      <c r="BH706" s="55">
        <f t="shared" si="135"/>
        <v>0</v>
      </c>
      <c r="BI706" s="55">
        <f t="shared" si="136"/>
        <v>0</v>
      </c>
      <c r="BJ706" s="55">
        <f t="shared" si="137"/>
        <v>0</v>
      </c>
      <c r="BK706" s="55"/>
      <c r="BL706" s="55">
        <v>722</v>
      </c>
      <c r="BW706" s="55">
        <v>21</v>
      </c>
    </row>
    <row r="707" spans="1:75" ht="13.5" customHeight="1">
      <c r="A707" s="1" t="s">
        <v>1416</v>
      </c>
      <c r="B707" s="2" t="s">
        <v>116</v>
      </c>
      <c r="C707" s="2" t="s">
        <v>1417</v>
      </c>
      <c r="D707" s="147" t="s">
        <v>1418</v>
      </c>
      <c r="E707" s="148"/>
      <c r="F707" s="2" t="s">
        <v>374</v>
      </c>
      <c r="G707" s="55">
        <v>2</v>
      </c>
      <c r="H707" s="56">
        <v>0</v>
      </c>
      <c r="I707" s="55">
        <f t="shared" si="114"/>
        <v>0</v>
      </c>
      <c r="J707" s="55">
        <v>0</v>
      </c>
      <c r="K707" s="55">
        <f t="shared" si="115"/>
        <v>0</v>
      </c>
      <c r="L707" s="57" t="s">
        <v>124</v>
      </c>
      <c r="Z707" s="55">
        <f t="shared" si="116"/>
        <v>0</v>
      </c>
      <c r="AB707" s="55">
        <f t="shared" si="117"/>
        <v>0</v>
      </c>
      <c r="AC707" s="55">
        <f t="shared" si="118"/>
        <v>0</v>
      </c>
      <c r="AD707" s="55">
        <f t="shared" si="119"/>
        <v>0</v>
      </c>
      <c r="AE707" s="55">
        <f t="shared" si="120"/>
        <v>0</v>
      </c>
      <c r="AF707" s="55">
        <f t="shared" si="121"/>
        <v>0</v>
      </c>
      <c r="AG707" s="55">
        <f t="shared" si="122"/>
        <v>0</v>
      </c>
      <c r="AH707" s="55">
        <f t="shared" si="123"/>
        <v>0</v>
      </c>
      <c r="AI707" s="34" t="s">
        <v>116</v>
      </c>
      <c r="AJ707" s="55">
        <f t="shared" si="124"/>
        <v>0</v>
      </c>
      <c r="AK707" s="55">
        <f t="shared" si="125"/>
        <v>0</v>
      </c>
      <c r="AL707" s="55">
        <f t="shared" si="126"/>
        <v>0</v>
      </c>
      <c r="AN707" s="55">
        <v>21</v>
      </c>
      <c r="AO707" s="55">
        <f t="shared" si="127"/>
        <v>0</v>
      </c>
      <c r="AP707" s="55">
        <f t="shared" si="128"/>
        <v>0</v>
      </c>
      <c r="AQ707" s="58" t="s">
        <v>125</v>
      </c>
      <c r="AV707" s="55">
        <f t="shared" si="129"/>
        <v>0</v>
      </c>
      <c r="AW707" s="55">
        <f t="shared" si="130"/>
        <v>0</v>
      </c>
      <c r="AX707" s="55">
        <f t="shared" si="131"/>
        <v>0</v>
      </c>
      <c r="AY707" s="58" t="s">
        <v>1374</v>
      </c>
      <c r="AZ707" s="58" t="s">
        <v>1313</v>
      </c>
      <c r="BA707" s="34" t="s">
        <v>128</v>
      </c>
      <c r="BC707" s="55">
        <f t="shared" si="132"/>
        <v>0</v>
      </c>
      <c r="BD707" s="55">
        <f t="shared" si="133"/>
        <v>0</v>
      </c>
      <c r="BE707" s="55">
        <v>0</v>
      </c>
      <c r="BF707" s="55">
        <f t="shared" si="134"/>
        <v>0</v>
      </c>
      <c r="BH707" s="55">
        <f t="shared" si="135"/>
        <v>0</v>
      </c>
      <c r="BI707" s="55">
        <f t="shared" si="136"/>
        <v>0</v>
      </c>
      <c r="BJ707" s="55">
        <f t="shared" si="137"/>
        <v>0</v>
      </c>
      <c r="BK707" s="55"/>
      <c r="BL707" s="55">
        <v>722</v>
      </c>
      <c r="BW707" s="55">
        <v>21</v>
      </c>
    </row>
    <row r="708" spans="1:75" ht="13.5" customHeight="1">
      <c r="A708" s="1" t="s">
        <v>1419</v>
      </c>
      <c r="B708" s="2" t="s">
        <v>116</v>
      </c>
      <c r="C708" s="2" t="s">
        <v>1420</v>
      </c>
      <c r="D708" s="147" t="s">
        <v>1421</v>
      </c>
      <c r="E708" s="148"/>
      <c r="F708" s="2" t="s">
        <v>374</v>
      </c>
      <c r="G708" s="55">
        <v>3</v>
      </c>
      <c r="H708" s="56">
        <v>0</v>
      </c>
      <c r="I708" s="55">
        <f t="shared" si="114"/>
        <v>0</v>
      </c>
      <c r="J708" s="55">
        <v>0</v>
      </c>
      <c r="K708" s="55">
        <f t="shared" si="115"/>
        <v>0</v>
      </c>
      <c r="L708" s="57" t="s">
        <v>124</v>
      </c>
      <c r="Z708" s="55">
        <f t="shared" si="116"/>
        <v>0</v>
      </c>
      <c r="AB708" s="55">
        <f t="shared" si="117"/>
        <v>0</v>
      </c>
      <c r="AC708" s="55">
        <f t="shared" si="118"/>
        <v>0</v>
      </c>
      <c r="AD708" s="55">
        <f t="shared" si="119"/>
        <v>0</v>
      </c>
      <c r="AE708" s="55">
        <f t="shared" si="120"/>
        <v>0</v>
      </c>
      <c r="AF708" s="55">
        <f t="shared" si="121"/>
        <v>0</v>
      </c>
      <c r="AG708" s="55">
        <f t="shared" si="122"/>
        <v>0</v>
      </c>
      <c r="AH708" s="55">
        <f t="shared" si="123"/>
        <v>0</v>
      </c>
      <c r="AI708" s="34" t="s">
        <v>116</v>
      </c>
      <c r="AJ708" s="55">
        <f t="shared" si="124"/>
        <v>0</v>
      </c>
      <c r="AK708" s="55">
        <f t="shared" si="125"/>
        <v>0</v>
      </c>
      <c r="AL708" s="55">
        <f t="shared" si="126"/>
        <v>0</v>
      </c>
      <c r="AN708" s="55">
        <v>21</v>
      </c>
      <c r="AO708" s="55">
        <f t="shared" si="127"/>
        <v>0</v>
      </c>
      <c r="AP708" s="55">
        <f t="shared" si="128"/>
        <v>0</v>
      </c>
      <c r="AQ708" s="58" t="s">
        <v>125</v>
      </c>
      <c r="AV708" s="55">
        <f t="shared" si="129"/>
        <v>0</v>
      </c>
      <c r="AW708" s="55">
        <f t="shared" si="130"/>
        <v>0</v>
      </c>
      <c r="AX708" s="55">
        <f t="shared" si="131"/>
        <v>0</v>
      </c>
      <c r="AY708" s="58" t="s">
        <v>1374</v>
      </c>
      <c r="AZ708" s="58" t="s">
        <v>1313</v>
      </c>
      <c r="BA708" s="34" t="s">
        <v>128</v>
      </c>
      <c r="BC708" s="55">
        <f t="shared" si="132"/>
        <v>0</v>
      </c>
      <c r="BD708" s="55">
        <f t="shared" si="133"/>
        <v>0</v>
      </c>
      <c r="BE708" s="55">
        <v>0</v>
      </c>
      <c r="BF708" s="55">
        <f t="shared" si="134"/>
        <v>0</v>
      </c>
      <c r="BH708" s="55">
        <f t="shared" si="135"/>
        <v>0</v>
      </c>
      <c r="BI708" s="55">
        <f t="shared" si="136"/>
        <v>0</v>
      </c>
      <c r="BJ708" s="55">
        <f t="shared" si="137"/>
        <v>0</v>
      </c>
      <c r="BK708" s="55"/>
      <c r="BL708" s="55">
        <v>722</v>
      </c>
      <c r="BW708" s="55">
        <v>21</v>
      </c>
    </row>
    <row r="709" spans="1:75" ht="13.5" customHeight="1">
      <c r="A709" s="1" t="s">
        <v>1422</v>
      </c>
      <c r="B709" s="2" t="s">
        <v>116</v>
      </c>
      <c r="C709" s="2" t="s">
        <v>1423</v>
      </c>
      <c r="D709" s="147" t="s">
        <v>1424</v>
      </c>
      <c r="E709" s="148"/>
      <c r="F709" s="2" t="s">
        <v>374</v>
      </c>
      <c r="G709" s="55">
        <v>1</v>
      </c>
      <c r="H709" s="56">
        <v>0</v>
      </c>
      <c r="I709" s="55">
        <f t="shared" si="114"/>
        <v>0</v>
      </c>
      <c r="J709" s="55">
        <v>0</v>
      </c>
      <c r="K709" s="55">
        <f t="shared" si="115"/>
        <v>0</v>
      </c>
      <c r="L709" s="57" t="s">
        <v>124</v>
      </c>
      <c r="Z709" s="55">
        <f t="shared" si="116"/>
        <v>0</v>
      </c>
      <c r="AB709" s="55">
        <f t="shared" si="117"/>
        <v>0</v>
      </c>
      <c r="AC709" s="55">
        <f t="shared" si="118"/>
        <v>0</v>
      </c>
      <c r="AD709" s="55">
        <f t="shared" si="119"/>
        <v>0</v>
      </c>
      <c r="AE709" s="55">
        <f t="shared" si="120"/>
        <v>0</v>
      </c>
      <c r="AF709" s="55">
        <f t="shared" si="121"/>
        <v>0</v>
      </c>
      <c r="AG709" s="55">
        <f t="shared" si="122"/>
        <v>0</v>
      </c>
      <c r="AH709" s="55">
        <f t="shared" si="123"/>
        <v>0</v>
      </c>
      <c r="AI709" s="34" t="s">
        <v>116</v>
      </c>
      <c r="AJ709" s="55">
        <f t="shared" si="124"/>
        <v>0</v>
      </c>
      <c r="AK709" s="55">
        <f t="shared" si="125"/>
        <v>0</v>
      </c>
      <c r="AL709" s="55">
        <f t="shared" si="126"/>
        <v>0</v>
      </c>
      <c r="AN709" s="55">
        <v>21</v>
      </c>
      <c r="AO709" s="55">
        <f t="shared" si="127"/>
        <v>0</v>
      </c>
      <c r="AP709" s="55">
        <f t="shared" si="128"/>
        <v>0</v>
      </c>
      <c r="AQ709" s="58" t="s">
        <v>125</v>
      </c>
      <c r="AV709" s="55">
        <f t="shared" si="129"/>
        <v>0</v>
      </c>
      <c r="AW709" s="55">
        <f t="shared" si="130"/>
        <v>0</v>
      </c>
      <c r="AX709" s="55">
        <f t="shared" si="131"/>
        <v>0</v>
      </c>
      <c r="AY709" s="58" t="s">
        <v>1374</v>
      </c>
      <c r="AZ709" s="58" t="s">
        <v>1313</v>
      </c>
      <c r="BA709" s="34" t="s">
        <v>128</v>
      </c>
      <c r="BC709" s="55">
        <f t="shared" si="132"/>
        <v>0</v>
      </c>
      <c r="BD709" s="55">
        <f t="shared" si="133"/>
        <v>0</v>
      </c>
      <c r="BE709" s="55">
        <v>0</v>
      </c>
      <c r="BF709" s="55">
        <f t="shared" si="134"/>
        <v>0</v>
      </c>
      <c r="BH709" s="55">
        <f t="shared" si="135"/>
        <v>0</v>
      </c>
      <c r="BI709" s="55">
        <f t="shared" si="136"/>
        <v>0</v>
      </c>
      <c r="BJ709" s="55">
        <f t="shared" si="137"/>
        <v>0</v>
      </c>
      <c r="BK709" s="55"/>
      <c r="BL709" s="55">
        <v>722</v>
      </c>
      <c r="BW709" s="55">
        <v>21</v>
      </c>
    </row>
    <row r="710" spans="1:75" ht="13.5" customHeight="1">
      <c r="A710" s="1" t="s">
        <v>1425</v>
      </c>
      <c r="B710" s="2" t="s">
        <v>116</v>
      </c>
      <c r="C710" s="2" t="s">
        <v>1426</v>
      </c>
      <c r="D710" s="147" t="s">
        <v>1427</v>
      </c>
      <c r="E710" s="148"/>
      <c r="F710" s="2" t="s">
        <v>1403</v>
      </c>
      <c r="G710" s="55">
        <v>1</v>
      </c>
      <c r="H710" s="56">
        <v>0</v>
      </c>
      <c r="I710" s="55">
        <f t="shared" si="114"/>
        <v>0</v>
      </c>
      <c r="J710" s="55">
        <v>0</v>
      </c>
      <c r="K710" s="55">
        <f t="shared" si="115"/>
        <v>0</v>
      </c>
      <c r="L710" s="57" t="s">
        <v>124</v>
      </c>
      <c r="Z710" s="55">
        <f t="shared" si="116"/>
        <v>0</v>
      </c>
      <c r="AB710" s="55">
        <f t="shared" si="117"/>
        <v>0</v>
      </c>
      <c r="AC710" s="55">
        <f t="shared" si="118"/>
        <v>0</v>
      </c>
      <c r="AD710" s="55">
        <f t="shared" si="119"/>
        <v>0</v>
      </c>
      <c r="AE710" s="55">
        <f t="shared" si="120"/>
        <v>0</v>
      </c>
      <c r="AF710" s="55">
        <f t="shared" si="121"/>
        <v>0</v>
      </c>
      <c r="AG710" s="55">
        <f t="shared" si="122"/>
        <v>0</v>
      </c>
      <c r="AH710" s="55">
        <f t="shared" si="123"/>
        <v>0</v>
      </c>
      <c r="AI710" s="34" t="s">
        <v>116</v>
      </c>
      <c r="AJ710" s="55">
        <f t="shared" si="124"/>
        <v>0</v>
      </c>
      <c r="AK710" s="55">
        <f t="shared" si="125"/>
        <v>0</v>
      </c>
      <c r="AL710" s="55">
        <f t="shared" si="126"/>
        <v>0</v>
      </c>
      <c r="AN710" s="55">
        <v>21</v>
      </c>
      <c r="AO710" s="55">
        <f t="shared" si="127"/>
        <v>0</v>
      </c>
      <c r="AP710" s="55">
        <f t="shared" si="128"/>
        <v>0</v>
      </c>
      <c r="AQ710" s="58" t="s">
        <v>125</v>
      </c>
      <c r="AV710" s="55">
        <f t="shared" si="129"/>
        <v>0</v>
      </c>
      <c r="AW710" s="55">
        <f t="shared" si="130"/>
        <v>0</v>
      </c>
      <c r="AX710" s="55">
        <f t="shared" si="131"/>
        <v>0</v>
      </c>
      <c r="AY710" s="58" t="s">
        <v>1374</v>
      </c>
      <c r="AZ710" s="58" t="s">
        <v>1313</v>
      </c>
      <c r="BA710" s="34" t="s">
        <v>128</v>
      </c>
      <c r="BC710" s="55">
        <f t="shared" si="132"/>
        <v>0</v>
      </c>
      <c r="BD710" s="55">
        <f t="shared" si="133"/>
        <v>0</v>
      </c>
      <c r="BE710" s="55">
        <v>0</v>
      </c>
      <c r="BF710" s="55">
        <f t="shared" si="134"/>
        <v>0</v>
      </c>
      <c r="BH710" s="55">
        <f t="shared" si="135"/>
        <v>0</v>
      </c>
      <c r="BI710" s="55">
        <f t="shared" si="136"/>
        <v>0</v>
      </c>
      <c r="BJ710" s="55">
        <f t="shared" si="137"/>
        <v>0</v>
      </c>
      <c r="BK710" s="55"/>
      <c r="BL710" s="55">
        <v>722</v>
      </c>
      <c r="BW710" s="55">
        <v>21</v>
      </c>
    </row>
    <row r="711" spans="1:75" ht="13.5" customHeight="1">
      <c r="A711" s="1" t="s">
        <v>1428</v>
      </c>
      <c r="B711" s="2" t="s">
        <v>116</v>
      </c>
      <c r="C711" s="2" t="s">
        <v>1429</v>
      </c>
      <c r="D711" s="147" t="s">
        <v>1430</v>
      </c>
      <c r="E711" s="148"/>
      <c r="F711" s="2" t="s">
        <v>1403</v>
      </c>
      <c r="G711" s="55">
        <v>1</v>
      </c>
      <c r="H711" s="56">
        <v>0</v>
      </c>
      <c r="I711" s="55">
        <f t="shared" si="114"/>
        <v>0</v>
      </c>
      <c r="J711" s="55">
        <v>0</v>
      </c>
      <c r="K711" s="55">
        <f t="shared" si="115"/>
        <v>0</v>
      </c>
      <c r="L711" s="57" t="s">
        <v>124</v>
      </c>
      <c r="Z711" s="55">
        <f t="shared" si="116"/>
        <v>0</v>
      </c>
      <c r="AB711" s="55">
        <f t="shared" si="117"/>
        <v>0</v>
      </c>
      <c r="AC711" s="55">
        <f t="shared" si="118"/>
        <v>0</v>
      </c>
      <c r="AD711" s="55">
        <f t="shared" si="119"/>
        <v>0</v>
      </c>
      <c r="AE711" s="55">
        <f t="shared" si="120"/>
        <v>0</v>
      </c>
      <c r="AF711" s="55">
        <f t="shared" si="121"/>
        <v>0</v>
      </c>
      <c r="AG711" s="55">
        <f t="shared" si="122"/>
        <v>0</v>
      </c>
      <c r="AH711" s="55">
        <f t="shared" si="123"/>
        <v>0</v>
      </c>
      <c r="AI711" s="34" t="s">
        <v>116</v>
      </c>
      <c r="AJ711" s="55">
        <f t="shared" si="124"/>
        <v>0</v>
      </c>
      <c r="AK711" s="55">
        <f t="shared" si="125"/>
        <v>0</v>
      </c>
      <c r="AL711" s="55">
        <f t="shared" si="126"/>
        <v>0</v>
      </c>
      <c r="AN711" s="55">
        <v>21</v>
      </c>
      <c r="AO711" s="55">
        <f t="shared" si="127"/>
        <v>0</v>
      </c>
      <c r="AP711" s="55">
        <f t="shared" si="128"/>
        <v>0</v>
      </c>
      <c r="AQ711" s="58" t="s">
        <v>125</v>
      </c>
      <c r="AV711" s="55">
        <f t="shared" si="129"/>
        <v>0</v>
      </c>
      <c r="AW711" s="55">
        <f t="shared" si="130"/>
        <v>0</v>
      </c>
      <c r="AX711" s="55">
        <f t="shared" si="131"/>
        <v>0</v>
      </c>
      <c r="AY711" s="58" t="s">
        <v>1374</v>
      </c>
      <c r="AZ711" s="58" t="s">
        <v>1313</v>
      </c>
      <c r="BA711" s="34" t="s">
        <v>128</v>
      </c>
      <c r="BC711" s="55">
        <f t="shared" si="132"/>
        <v>0</v>
      </c>
      <c r="BD711" s="55">
        <f t="shared" si="133"/>
        <v>0</v>
      </c>
      <c r="BE711" s="55">
        <v>0</v>
      </c>
      <c r="BF711" s="55">
        <f t="shared" si="134"/>
        <v>0</v>
      </c>
      <c r="BH711" s="55">
        <f t="shared" si="135"/>
        <v>0</v>
      </c>
      <c r="BI711" s="55">
        <f t="shared" si="136"/>
        <v>0</v>
      </c>
      <c r="BJ711" s="55">
        <f t="shared" si="137"/>
        <v>0</v>
      </c>
      <c r="BK711" s="55"/>
      <c r="BL711" s="55">
        <v>722</v>
      </c>
      <c r="BW711" s="55">
        <v>21</v>
      </c>
    </row>
    <row r="712" spans="1:75" ht="13.5" customHeight="1">
      <c r="A712" s="1" t="s">
        <v>1431</v>
      </c>
      <c r="B712" s="2" t="s">
        <v>116</v>
      </c>
      <c r="C712" s="2" t="s">
        <v>1432</v>
      </c>
      <c r="D712" s="147" t="s">
        <v>1433</v>
      </c>
      <c r="E712" s="148"/>
      <c r="F712" s="2" t="s">
        <v>174</v>
      </c>
      <c r="G712" s="55">
        <v>175</v>
      </c>
      <c r="H712" s="56">
        <v>0</v>
      </c>
      <c r="I712" s="55">
        <f t="shared" si="114"/>
        <v>0</v>
      </c>
      <c r="J712" s="55">
        <v>0</v>
      </c>
      <c r="K712" s="55">
        <f t="shared" si="115"/>
        <v>0</v>
      </c>
      <c r="L712" s="57" t="s">
        <v>124</v>
      </c>
      <c r="Z712" s="55">
        <f t="shared" si="116"/>
        <v>0</v>
      </c>
      <c r="AB712" s="55">
        <f t="shared" si="117"/>
        <v>0</v>
      </c>
      <c r="AC712" s="55">
        <f t="shared" si="118"/>
        <v>0</v>
      </c>
      <c r="AD712" s="55">
        <f t="shared" si="119"/>
        <v>0</v>
      </c>
      <c r="AE712" s="55">
        <f t="shared" si="120"/>
        <v>0</v>
      </c>
      <c r="AF712" s="55">
        <f t="shared" si="121"/>
        <v>0</v>
      </c>
      <c r="AG712" s="55">
        <f t="shared" si="122"/>
        <v>0</v>
      </c>
      <c r="AH712" s="55">
        <f t="shared" si="123"/>
        <v>0</v>
      </c>
      <c r="AI712" s="34" t="s">
        <v>116</v>
      </c>
      <c r="AJ712" s="55">
        <f t="shared" si="124"/>
        <v>0</v>
      </c>
      <c r="AK712" s="55">
        <f t="shared" si="125"/>
        <v>0</v>
      </c>
      <c r="AL712" s="55">
        <f t="shared" si="126"/>
        <v>0</v>
      </c>
      <c r="AN712" s="55">
        <v>21</v>
      </c>
      <c r="AO712" s="55">
        <f t="shared" si="127"/>
        <v>0</v>
      </c>
      <c r="AP712" s="55">
        <f t="shared" si="128"/>
        <v>0</v>
      </c>
      <c r="AQ712" s="58" t="s">
        <v>125</v>
      </c>
      <c r="AV712" s="55">
        <f t="shared" si="129"/>
        <v>0</v>
      </c>
      <c r="AW712" s="55">
        <f t="shared" si="130"/>
        <v>0</v>
      </c>
      <c r="AX712" s="55">
        <f t="shared" si="131"/>
        <v>0</v>
      </c>
      <c r="AY712" s="58" t="s">
        <v>1374</v>
      </c>
      <c r="AZ712" s="58" t="s">
        <v>1313</v>
      </c>
      <c r="BA712" s="34" t="s">
        <v>128</v>
      </c>
      <c r="BC712" s="55">
        <f t="shared" si="132"/>
        <v>0</v>
      </c>
      <c r="BD712" s="55">
        <f t="shared" si="133"/>
        <v>0</v>
      </c>
      <c r="BE712" s="55">
        <v>0</v>
      </c>
      <c r="BF712" s="55">
        <f t="shared" si="134"/>
        <v>0</v>
      </c>
      <c r="BH712" s="55">
        <f t="shared" si="135"/>
        <v>0</v>
      </c>
      <c r="BI712" s="55">
        <f t="shared" si="136"/>
        <v>0</v>
      </c>
      <c r="BJ712" s="55">
        <f t="shared" si="137"/>
        <v>0</v>
      </c>
      <c r="BK712" s="55"/>
      <c r="BL712" s="55">
        <v>722</v>
      </c>
      <c r="BW712" s="55">
        <v>21</v>
      </c>
    </row>
    <row r="713" spans="1:75" ht="13.5" customHeight="1">
      <c r="A713" s="1" t="s">
        <v>1434</v>
      </c>
      <c r="B713" s="2" t="s">
        <v>116</v>
      </c>
      <c r="C713" s="2" t="s">
        <v>1435</v>
      </c>
      <c r="D713" s="147" t="s">
        <v>1436</v>
      </c>
      <c r="E713" s="148"/>
      <c r="F713" s="2" t="s">
        <v>174</v>
      </c>
      <c r="G713" s="55">
        <v>175</v>
      </c>
      <c r="H713" s="56">
        <v>0</v>
      </c>
      <c r="I713" s="55">
        <f t="shared" si="114"/>
        <v>0</v>
      </c>
      <c r="J713" s="55">
        <v>0</v>
      </c>
      <c r="K713" s="55">
        <f t="shared" si="115"/>
        <v>0</v>
      </c>
      <c r="L713" s="57" t="s">
        <v>124</v>
      </c>
      <c r="Z713" s="55">
        <f t="shared" si="116"/>
        <v>0</v>
      </c>
      <c r="AB713" s="55">
        <f t="shared" si="117"/>
        <v>0</v>
      </c>
      <c r="AC713" s="55">
        <f t="shared" si="118"/>
        <v>0</v>
      </c>
      <c r="AD713" s="55">
        <f t="shared" si="119"/>
        <v>0</v>
      </c>
      <c r="AE713" s="55">
        <f t="shared" si="120"/>
        <v>0</v>
      </c>
      <c r="AF713" s="55">
        <f t="shared" si="121"/>
        <v>0</v>
      </c>
      <c r="AG713" s="55">
        <f t="shared" si="122"/>
        <v>0</v>
      </c>
      <c r="AH713" s="55">
        <f t="shared" si="123"/>
        <v>0</v>
      </c>
      <c r="AI713" s="34" t="s">
        <v>116</v>
      </c>
      <c r="AJ713" s="55">
        <f t="shared" si="124"/>
        <v>0</v>
      </c>
      <c r="AK713" s="55">
        <f t="shared" si="125"/>
        <v>0</v>
      </c>
      <c r="AL713" s="55">
        <f t="shared" si="126"/>
        <v>0</v>
      </c>
      <c r="AN713" s="55">
        <v>21</v>
      </c>
      <c r="AO713" s="55">
        <f t="shared" si="127"/>
        <v>0</v>
      </c>
      <c r="AP713" s="55">
        <f t="shared" si="128"/>
        <v>0</v>
      </c>
      <c r="AQ713" s="58" t="s">
        <v>125</v>
      </c>
      <c r="AV713" s="55">
        <f t="shared" si="129"/>
        <v>0</v>
      </c>
      <c r="AW713" s="55">
        <f t="shared" si="130"/>
        <v>0</v>
      </c>
      <c r="AX713" s="55">
        <f t="shared" si="131"/>
        <v>0</v>
      </c>
      <c r="AY713" s="58" t="s">
        <v>1374</v>
      </c>
      <c r="AZ713" s="58" t="s">
        <v>1313</v>
      </c>
      <c r="BA713" s="34" t="s">
        <v>128</v>
      </c>
      <c r="BC713" s="55">
        <f t="shared" si="132"/>
        <v>0</v>
      </c>
      <c r="BD713" s="55">
        <f t="shared" si="133"/>
        <v>0</v>
      </c>
      <c r="BE713" s="55">
        <v>0</v>
      </c>
      <c r="BF713" s="55">
        <f t="shared" si="134"/>
        <v>0</v>
      </c>
      <c r="BH713" s="55">
        <f t="shared" si="135"/>
        <v>0</v>
      </c>
      <c r="BI713" s="55">
        <f t="shared" si="136"/>
        <v>0</v>
      </c>
      <c r="BJ713" s="55">
        <f t="shared" si="137"/>
        <v>0</v>
      </c>
      <c r="BK713" s="55"/>
      <c r="BL713" s="55">
        <v>722</v>
      </c>
      <c r="BW713" s="55">
        <v>21</v>
      </c>
    </row>
    <row r="714" spans="1:75" ht="13.5" customHeight="1">
      <c r="A714" s="1" t="s">
        <v>1437</v>
      </c>
      <c r="B714" s="2" t="s">
        <v>116</v>
      </c>
      <c r="C714" s="2" t="s">
        <v>1438</v>
      </c>
      <c r="D714" s="147" t="s">
        <v>1439</v>
      </c>
      <c r="E714" s="148"/>
      <c r="F714" s="2" t="s">
        <v>939</v>
      </c>
      <c r="G714" s="55">
        <v>0.33</v>
      </c>
      <c r="H714" s="56">
        <v>0</v>
      </c>
      <c r="I714" s="55">
        <f t="shared" si="114"/>
        <v>0</v>
      </c>
      <c r="J714" s="55">
        <v>0</v>
      </c>
      <c r="K714" s="55">
        <f t="shared" si="115"/>
        <v>0</v>
      </c>
      <c r="L714" s="57" t="s">
        <v>124</v>
      </c>
      <c r="Z714" s="55">
        <f t="shared" si="116"/>
        <v>0</v>
      </c>
      <c r="AB714" s="55">
        <f t="shared" si="117"/>
        <v>0</v>
      </c>
      <c r="AC714" s="55">
        <f t="shared" si="118"/>
        <v>0</v>
      </c>
      <c r="AD714" s="55">
        <f t="shared" si="119"/>
        <v>0</v>
      </c>
      <c r="AE714" s="55">
        <f t="shared" si="120"/>
        <v>0</v>
      </c>
      <c r="AF714" s="55">
        <f t="shared" si="121"/>
        <v>0</v>
      </c>
      <c r="AG714" s="55">
        <f t="shared" si="122"/>
        <v>0</v>
      </c>
      <c r="AH714" s="55">
        <f t="shared" si="123"/>
        <v>0</v>
      </c>
      <c r="AI714" s="34" t="s">
        <v>116</v>
      </c>
      <c r="AJ714" s="55">
        <f t="shared" si="124"/>
        <v>0</v>
      </c>
      <c r="AK714" s="55">
        <f t="shared" si="125"/>
        <v>0</v>
      </c>
      <c r="AL714" s="55">
        <f t="shared" si="126"/>
        <v>0</v>
      </c>
      <c r="AN714" s="55">
        <v>21</v>
      </c>
      <c r="AO714" s="55">
        <f t="shared" si="127"/>
        <v>0</v>
      </c>
      <c r="AP714" s="55">
        <f t="shared" si="128"/>
        <v>0</v>
      </c>
      <c r="AQ714" s="58" t="s">
        <v>139</v>
      </c>
      <c r="AV714" s="55">
        <f t="shared" si="129"/>
        <v>0</v>
      </c>
      <c r="AW714" s="55">
        <f t="shared" si="130"/>
        <v>0</v>
      </c>
      <c r="AX714" s="55">
        <f t="shared" si="131"/>
        <v>0</v>
      </c>
      <c r="AY714" s="58" t="s">
        <v>1374</v>
      </c>
      <c r="AZ714" s="58" t="s">
        <v>1313</v>
      </c>
      <c r="BA714" s="34" t="s">
        <v>128</v>
      </c>
      <c r="BC714" s="55">
        <f t="shared" si="132"/>
        <v>0</v>
      </c>
      <c r="BD714" s="55">
        <f t="shared" si="133"/>
        <v>0</v>
      </c>
      <c r="BE714" s="55">
        <v>0</v>
      </c>
      <c r="BF714" s="55">
        <f t="shared" si="134"/>
        <v>0</v>
      </c>
      <c r="BH714" s="55">
        <f t="shared" si="135"/>
        <v>0</v>
      </c>
      <c r="BI714" s="55">
        <f t="shared" si="136"/>
        <v>0</v>
      </c>
      <c r="BJ714" s="55">
        <f t="shared" si="137"/>
        <v>0</v>
      </c>
      <c r="BK714" s="55"/>
      <c r="BL714" s="55">
        <v>722</v>
      </c>
      <c r="BW714" s="55">
        <v>21</v>
      </c>
    </row>
    <row r="715" spans="1:47" ht="14.4">
      <c r="A715" s="50" t="s">
        <v>4</v>
      </c>
      <c r="B715" s="51" t="s">
        <v>116</v>
      </c>
      <c r="C715" s="51" t="s">
        <v>1440</v>
      </c>
      <c r="D715" s="222" t="s">
        <v>1441</v>
      </c>
      <c r="E715" s="223"/>
      <c r="F715" s="52" t="s">
        <v>79</v>
      </c>
      <c r="G715" s="52" t="s">
        <v>79</v>
      </c>
      <c r="H715" s="53" t="s">
        <v>79</v>
      </c>
      <c r="I715" s="27">
        <f>SUM(I716:I716)</f>
        <v>0</v>
      </c>
      <c r="J715" s="34" t="s">
        <v>4</v>
      </c>
      <c r="K715" s="27">
        <f>SUM(K716:K716)</f>
        <v>0</v>
      </c>
      <c r="L715" s="54" t="s">
        <v>4</v>
      </c>
      <c r="AI715" s="34" t="s">
        <v>116</v>
      </c>
      <c r="AS715" s="27">
        <f>SUM(AJ716:AJ716)</f>
        <v>0</v>
      </c>
      <c r="AT715" s="27">
        <f>SUM(AK716:AK716)</f>
        <v>0</v>
      </c>
      <c r="AU715" s="27">
        <f>SUM(AL716:AL716)</f>
        <v>0</v>
      </c>
    </row>
    <row r="716" spans="1:75" ht="13.5" customHeight="1">
      <c r="A716" s="1" t="s">
        <v>1442</v>
      </c>
      <c r="B716" s="2" t="s">
        <v>116</v>
      </c>
      <c r="C716" s="2" t="s">
        <v>1443</v>
      </c>
      <c r="D716" s="147" t="s">
        <v>1444</v>
      </c>
      <c r="E716" s="148"/>
      <c r="F716" s="2" t="s">
        <v>1403</v>
      </c>
      <c r="G716" s="55">
        <v>1</v>
      </c>
      <c r="H716" s="56">
        <v>0</v>
      </c>
      <c r="I716" s="55">
        <f>G716*H716</f>
        <v>0</v>
      </c>
      <c r="J716" s="55">
        <v>0</v>
      </c>
      <c r="K716" s="55">
        <f>G716*J716</f>
        <v>0</v>
      </c>
      <c r="L716" s="57" t="s">
        <v>124</v>
      </c>
      <c r="Z716" s="55">
        <f>IF(AQ716="5",BJ716,0)</f>
        <v>0</v>
      </c>
      <c r="AB716" s="55">
        <f>IF(AQ716="1",BH716,0)</f>
        <v>0</v>
      </c>
      <c r="AC716" s="55">
        <f>IF(AQ716="1",BI716,0)</f>
        <v>0</v>
      </c>
      <c r="AD716" s="55">
        <f>IF(AQ716="7",BH716,0)</f>
        <v>0</v>
      </c>
      <c r="AE716" s="55">
        <f>IF(AQ716="7",BI716,0)</f>
        <v>0</v>
      </c>
      <c r="AF716" s="55">
        <f>IF(AQ716="2",BH716,0)</f>
        <v>0</v>
      </c>
      <c r="AG716" s="55">
        <f>IF(AQ716="2",BI716,0)</f>
        <v>0</v>
      </c>
      <c r="AH716" s="55">
        <f>IF(AQ716="0",BJ716,0)</f>
        <v>0</v>
      </c>
      <c r="AI716" s="34" t="s">
        <v>116</v>
      </c>
      <c r="AJ716" s="55">
        <f>IF(AN716=0,I716,0)</f>
        <v>0</v>
      </c>
      <c r="AK716" s="55">
        <f>IF(AN716=12,I716,0)</f>
        <v>0</v>
      </c>
      <c r="AL716" s="55">
        <f>IF(AN716=21,I716,0)</f>
        <v>0</v>
      </c>
      <c r="AN716" s="55">
        <v>21</v>
      </c>
      <c r="AO716" s="55">
        <f>H716*0</f>
        <v>0</v>
      </c>
      <c r="AP716" s="55">
        <f>H716*(1-0)</f>
        <v>0</v>
      </c>
      <c r="AQ716" s="58" t="s">
        <v>125</v>
      </c>
      <c r="AV716" s="55">
        <f>AW716+AX716</f>
        <v>0</v>
      </c>
      <c r="AW716" s="55">
        <f>G716*AO716</f>
        <v>0</v>
      </c>
      <c r="AX716" s="55">
        <f>G716*AP716</f>
        <v>0</v>
      </c>
      <c r="AY716" s="58" t="s">
        <v>1445</v>
      </c>
      <c r="AZ716" s="58" t="s">
        <v>1313</v>
      </c>
      <c r="BA716" s="34" t="s">
        <v>128</v>
      </c>
      <c r="BC716" s="55">
        <f>AW716+AX716</f>
        <v>0</v>
      </c>
      <c r="BD716" s="55">
        <f>H716/(100-BE716)*100</f>
        <v>0</v>
      </c>
      <c r="BE716" s="55">
        <v>0</v>
      </c>
      <c r="BF716" s="55">
        <f>K716</f>
        <v>0</v>
      </c>
      <c r="BH716" s="55">
        <f>G716*AO716</f>
        <v>0</v>
      </c>
      <c r="BI716" s="55">
        <f>G716*AP716</f>
        <v>0</v>
      </c>
      <c r="BJ716" s="55">
        <f>G716*H716</f>
        <v>0</v>
      </c>
      <c r="BK716" s="55"/>
      <c r="BL716" s="55">
        <v>724</v>
      </c>
      <c r="BW716" s="55">
        <v>21</v>
      </c>
    </row>
    <row r="717" spans="1:47" ht="14.4">
      <c r="A717" s="50" t="s">
        <v>4</v>
      </c>
      <c r="B717" s="51" t="s">
        <v>116</v>
      </c>
      <c r="C717" s="51" t="s">
        <v>1446</v>
      </c>
      <c r="D717" s="222" t="s">
        <v>1447</v>
      </c>
      <c r="E717" s="223"/>
      <c r="F717" s="52" t="s">
        <v>79</v>
      </c>
      <c r="G717" s="52" t="s">
        <v>79</v>
      </c>
      <c r="H717" s="53" t="s">
        <v>79</v>
      </c>
      <c r="I717" s="27">
        <f>SUM(I718:I731)</f>
        <v>0</v>
      </c>
      <c r="J717" s="34" t="s">
        <v>4</v>
      </c>
      <c r="K717" s="27">
        <f>SUM(K718:K731)</f>
        <v>0</v>
      </c>
      <c r="L717" s="54" t="s">
        <v>4</v>
      </c>
      <c r="AI717" s="34" t="s">
        <v>116</v>
      </c>
      <c r="AS717" s="27">
        <f>SUM(AJ718:AJ731)</f>
        <v>0</v>
      </c>
      <c r="AT717" s="27">
        <f>SUM(AK718:AK731)</f>
        <v>0</v>
      </c>
      <c r="AU717" s="27">
        <f>SUM(AL718:AL731)</f>
        <v>0</v>
      </c>
    </row>
    <row r="718" spans="1:75" ht="27" customHeight="1">
      <c r="A718" s="1" t="s">
        <v>1448</v>
      </c>
      <c r="B718" s="2" t="s">
        <v>116</v>
      </c>
      <c r="C718" s="2" t="s">
        <v>1449</v>
      </c>
      <c r="D718" s="147" t="s">
        <v>3784</v>
      </c>
      <c r="E718" s="148"/>
      <c r="F718" s="2" t="s">
        <v>1403</v>
      </c>
      <c r="G718" s="55">
        <v>4</v>
      </c>
      <c r="H718" s="56">
        <v>0</v>
      </c>
      <c r="I718" s="55">
        <f aca="true" t="shared" si="138" ref="I718:I731">G718*H718</f>
        <v>0</v>
      </c>
      <c r="J718" s="55">
        <v>0</v>
      </c>
      <c r="K718" s="55">
        <f aca="true" t="shared" si="139" ref="K718:K731">G718*J718</f>
        <v>0</v>
      </c>
      <c r="L718" s="57" t="s">
        <v>124</v>
      </c>
      <c r="Z718" s="55">
        <f aca="true" t="shared" si="140" ref="Z718:Z731">IF(AQ718="5",BJ718,0)</f>
        <v>0</v>
      </c>
      <c r="AB718" s="55">
        <f aca="true" t="shared" si="141" ref="AB718:AB731">IF(AQ718="1",BH718,0)</f>
        <v>0</v>
      </c>
      <c r="AC718" s="55">
        <f aca="true" t="shared" si="142" ref="AC718:AC731">IF(AQ718="1",BI718,0)</f>
        <v>0</v>
      </c>
      <c r="AD718" s="55">
        <f aca="true" t="shared" si="143" ref="AD718:AD731">IF(AQ718="7",BH718,0)</f>
        <v>0</v>
      </c>
      <c r="AE718" s="55">
        <f aca="true" t="shared" si="144" ref="AE718:AE731">IF(AQ718="7",BI718,0)</f>
        <v>0</v>
      </c>
      <c r="AF718" s="55">
        <f aca="true" t="shared" si="145" ref="AF718:AF731">IF(AQ718="2",BH718,0)</f>
        <v>0</v>
      </c>
      <c r="AG718" s="55">
        <f aca="true" t="shared" si="146" ref="AG718:AG731">IF(AQ718="2",BI718,0)</f>
        <v>0</v>
      </c>
      <c r="AH718" s="55">
        <f aca="true" t="shared" si="147" ref="AH718:AH731">IF(AQ718="0",BJ718,0)</f>
        <v>0</v>
      </c>
      <c r="AI718" s="34" t="s">
        <v>116</v>
      </c>
      <c r="AJ718" s="55">
        <f aca="true" t="shared" si="148" ref="AJ718:AJ731">IF(AN718=0,I718,0)</f>
        <v>0</v>
      </c>
      <c r="AK718" s="55">
        <f aca="true" t="shared" si="149" ref="AK718:AK731">IF(AN718=12,I718,0)</f>
        <v>0</v>
      </c>
      <c r="AL718" s="55">
        <f aca="true" t="shared" si="150" ref="AL718:AL731">IF(AN718=21,I718,0)</f>
        <v>0</v>
      </c>
      <c r="AN718" s="55">
        <v>21</v>
      </c>
      <c r="AO718" s="55">
        <f aca="true" t="shared" si="151" ref="AO718:AO731">H718*0</f>
        <v>0</v>
      </c>
      <c r="AP718" s="55">
        <f aca="true" t="shared" si="152" ref="AP718:AP731">H718*(1-0)</f>
        <v>0</v>
      </c>
      <c r="AQ718" s="58" t="s">
        <v>125</v>
      </c>
      <c r="AV718" s="55">
        <f aca="true" t="shared" si="153" ref="AV718:AV731">AW718+AX718</f>
        <v>0</v>
      </c>
      <c r="AW718" s="55">
        <f aca="true" t="shared" si="154" ref="AW718:AW731">G718*AO718</f>
        <v>0</v>
      </c>
      <c r="AX718" s="55">
        <f aca="true" t="shared" si="155" ref="AX718:AX731">G718*AP718</f>
        <v>0</v>
      </c>
      <c r="AY718" s="58" t="s">
        <v>1450</v>
      </c>
      <c r="AZ718" s="58" t="s">
        <v>1313</v>
      </c>
      <c r="BA718" s="34" t="s">
        <v>128</v>
      </c>
      <c r="BC718" s="55">
        <f aca="true" t="shared" si="156" ref="BC718:BC731">AW718+AX718</f>
        <v>0</v>
      </c>
      <c r="BD718" s="55">
        <f aca="true" t="shared" si="157" ref="BD718:BD731">H718/(100-BE718)*100</f>
        <v>0</v>
      </c>
      <c r="BE718" s="55">
        <v>0</v>
      </c>
      <c r="BF718" s="55">
        <f aca="true" t="shared" si="158" ref="BF718:BF731">K718</f>
        <v>0</v>
      </c>
      <c r="BH718" s="55">
        <f aca="true" t="shared" si="159" ref="BH718:BH731">G718*AO718</f>
        <v>0</v>
      </c>
      <c r="BI718" s="55">
        <f aca="true" t="shared" si="160" ref="BI718:BI731">G718*AP718</f>
        <v>0</v>
      </c>
      <c r="BJ718" s="55">
        <f aca="true" t="shared" si="161" ref="BJ718:BJ731">G718*H718</f>
        <v>0</v>
      </c>
      <c r="BK718" s="55"/>
      <c r="BL718" s="55">
        <v>725</v>
      </c>
      <c r="BW718" s="55">
        <v>21</v>
      </c>
    </row>
    <row r="719" spans="1:75" ht="27.75" customHeight="1">
      <c r="A719" s="1" t="s">
        <v>1451</v>
      </c>
      <c r="B719" s="2" t="s">
        <v>116</v>
      </c>
      <c r="C719" s="2" t="s">
        <v>1452</v>
      </c>
      <c r="D719" s="147" t="s">
        <v>3785</v>
      </c>
      <c r="E719" s="148"/>
      <c r="F719" s="2" t="s">
        <v>1403</v>
      </c>
      <c r="G719" s="55">
        <v>2</v>
      </c>
      <c r="H719" s="56">
        <v>0</v>
      </c>
      <c r="I719" s="55">
        <f t="shared" si="138"/>
        <v>0</v>
      </c>
      <c r="J719" s="55">
        <v>0</v>
      </c>
      <c r="K719" s="55">
        <f t="shared" si="139"/>
        <v>0</v>
      </c>
      <c r="L719" s="57" t="s">
        <v>124</v>
      </c>
      <c r="Z719" s="55">
        <f t="shared" si="140"/>
        <v>0</v>
      </c>
      <c r="AB719" s="55">
        <f t="shared" si="141"/>
        <v>0</v>
      </c>
      <c r="AC719" s="55">
        <f t="shared" si="142"/>
        <v>0</v>
      </c>
      <c r="AD719" s="55">
        <f t="shared" si="143"/>
        <v>0</v>
      </c>
      <c r="AE719" s="55">
        <f t="shared" si="144"/>
        <v>0</v>
      </c>
      <c r="AF719" s="55">
        <f t="shared" si="145"/>
        <v>0</v>
      </c>
      <c r="AG719" s="55">
        <f t="shared" si="146"/>
        <v>0</v>
      </c>
      <c r="AH719" s="55">
        <f t="shared" si="147"/>
        <v>0</v>
      </c>
      <c r="AI719" s="34" t="s">
        <v>116</v>
      </c>
      <c r="AJ719" s="55">
        <f t="shared" si="148"/>
        <v>0</v>
      </c>
      <c r="AK719" s="55">
        <f t="shared" si="149"/>
        <v>0</v>
      </c>
      <c r="AL719" s="55">
        <f t="shared" si="150"/>
        <v>0</v>
      </c>
      <c r="AN719" s="55">
        <v>21</v>
      </c>
      <c r="AO719" s="55">
        <f t="shared" si="151"/>
        <v>0</v>
      </c>
      <c r="AP719" s="55">
        <f t="shared" si="152"/>
        <v>0</v>
      </c>
      <c r="AQ719" s="58" t="s">
        <v>125</v>
      </c>
      <c r="AV719" s="55">
        <f t="shared" si="153"/>
        <v>0</v>
      </c>
      <c r="AW719" s="55">
        <f t="shared" si="154"/>
        <v>0</v>
      </c>
      <c r="AX719" s="55">
        <f t="shared" si="155"/>
        <v>0</v>
      </c>
      <c r="AY719" s="58" t="s">
        <v>1450</v>
      </c>
      <c r="AZ719" s="58" t="s">
        <v>1313</v>
      </c>
      <c r="BA719" s="34" t="s">
        <v>128</v>
      </c>
      <c r="BC719" s="55">
        <f t="shared" si="156"/>
        <v>0</v>
      </c>
      <c r="BD719" s="55">
        <f t="shared" si="157"/>
        <v>0</v>
      </c>
      <c r="BE719" s="55">
        <v>0</v>
      </c>
      <c r="BF719" s="55">
        <f t="shared" si="158"/>
        <v>0</v>
      </c>
      <c r="BH719" s="55">
        <f t="shared" si="159"/>
        <v>0</v>
      </c>
      <c r="BI719" s="55">
        <f t="shared" si="160"/>
        <v>0</v>
      </c>
      <c r="BJ719" s="55">
        <f t="shared" si="161"/>
        <v>0</v>
      </c>
      <c r="BK719" s="55"/>
      <c r="BL719" s="55">
        <v>725</v>
      </c>
      <c r="BW719" s="55">
        <v>21</v>
      </c>
    </row>
    <row r="720" spans="1:75" ht="13.5" customHeight="1">
      <c r="A720" s="1" t="s">
        <v>1453</v>
      </c>
      <c r="B720" s="2" t="s">
        <v>116</v>
      </c>
      <c r="C720" s="2" t="s">
        <v>1454</v>
      </c>
      <c r="D720" s="147" t="s">
        <v>1455</v>
      </c>
      <c r="E720" s="148"/>
      <c r="F720" s="2" t="s">
        <v>1403</v>
      </c>
      <c r="G720" s="55">
        <v>4</v>
      </c>
      <c r="H720" s="56">
        <v>0</v>
      </c>
      <c r="I720" s="55">
        <f t="shared" si="138"/>
        <v>0</v>
      </c>
      <c r="J720" s="55">
        <v>0</v>
      </c>
      <c r="K720" s="55">
        <f t="shared" si="139"/>
        <v>0</v>
      </c>
      <c r="L720" s="57" t="s">
        <v>124</v>
      </c>
      <c r="Z720" s="55">
        <f t="shared" si="140"/>
        <v>0</v>
      </c>
      <c r="AB720" s="55">
        <f t="shared" si="141"/>
        <v>0</v>
      </c>
      <c r="AC720" s="55">
        <f t="shared" si="142"/>
        <v>0</v>
      </c>
      <c r="AD720" s="55">
        <f t="shared" si="143"/>
        <v>0</v>
      </c>
      <c r="AE720" s="55">
        <f t="shared" si="144"/>
        <v>0</v>
      </c>
      <c r="AF720" s="55">
        <f t="shared" si="145"/>
        <v>0</v>
      </c>
      <c r="AG720" s="55">
        <f t="shared" si="146"/>
        <v>0</v>
      </c>
      <c r="AH720" s="55">
        <f t="shared" si="147"/>
        <v>0</v>
      </c>
      <c r="AI720" s="34" t="s">
        <v>116</v>
      </c>
      <c r="AJ720" s="55">
        <f t="shared" si="148"/>
        <v>0</v>
      </c>
      <c r="AK720" s="55">
        <f t="shared" si="149"/>
        <v>0</v>
      </c>
      <c r="AL720" s="55">
        <f t="shared" si="150"/>
        <v>0</v>
      </c>
      <c r="AN720" s="55">
        <v>21</v>
      </c>
      <c r="AO720" s="55">
        <f t="shared" si="151"/>
        <v>0</v>
      </c>
      <c r="AP720" s="55">
        <f t="shared" si="152"/>
        <v>0</v>
      </c>
      <c r="AQ720" s="58" t="s">
        <v>125</v>
      </c>
      <c r="AV720" s="55">
        <f t="shared" si="153"/>
        <v>0</v>
      </c>
      <c r="AW720" s="55">
        <f t="shared" si="154"/>
        <v>0</v>
      </c>
      <c r="AX720" s="55">
        <f t="shared" si="155"/>
        <v>0</v>
      </c>
      <c r="AY720" s="58" t="s">
        <v>1450</v>
      </c>
      <c r="AZ720" s="58" t="s">
        <v>1313</v>
      </c>
      <c r="BA720" s="34" t="s">
        <v>128</v>
      </c>
      <c r="BC720" s="55">
        <f t="shared" si="156"/>
        <v>0</v>
      </c>
      <c r="BD720" s="55">
        <f t="shared" si="157"/>
        <v>0</v>
      </c>
      <c r="BE720" s="55">
        <v>0</v>
      </c>
      <c r="BF720" s="55">
        <f t="shared" si="158"/>
        <v>0</v>
      </c>
      <c r="BH720" s="55">
        <f t="shared" si="159"/>
        <v>0</v>
      </c>
      <c r="BI720" s="55">
        <f t="shared" si="160"/>
        <v>0</v>
      </c>
      <c r="BJ720" s="55">
        <f t="shared" si="161"/>
        <v>0</v>
      </c>
      <c r="BK720" s="55"/>
      <c r="BL720" s="55">
        <v>725</v>
      </c>
      <c r="BW720" s="55">
        <v>21</v>
      </c>
    </row>
    <row r="721" spans="1:75" ht="13.5" customHeight="1">
      <c r="A721" s="1" t="s">
        <v>1456</v>
      </c>
      <c r="B721" s="2" t="s">
        <v>116</v>
      </c>
      <c r="C721" s="2" t="s">
        <v>1457</v>
      </c>
      <c r="D721" s="147" t="s">
        <v>1458</v>
      </c>
      <c r="E721" s="148"/>
      <c r="F721" s="2" t="s">
        <v>1403</v>
      </c>
      <c r="G721" s="55">
        <v>1</v>
      </c>
      <c r="H721" s="56">
        <v>0</v>
      </c>
      <c r="I721" s="55">
        <f t="shared" si="138"/>
        <v>0</v>
      </c>
      <c r="J721" s="55">
        <v>0</v>
      </c>
      <c r="K721" s="55">
        <f t="shared" si="139"/>
        <v>0</v>
      </c>
      <c r="L721" s="57" t="s">
        <v>124</v>
      </c>
      <c r="Z721" s="55">
        <f t="shared" si="140"/>
        <v>0</v>
      </c>
      <c r="AB721" s="55">
        <f t="shared" si="141"/>
        <v>0</v>
      </c>
      <c r="AC721" s="55">
        <f t="shared" si="142"/>
        <v>0</v>
      </c>
      <c r="AD721" s="55">
        <f t="shared" si="143"/>
        <v>0</v>
      </c>
      <c r="AE721" s="55">
        <f t="shared" si="144"/>
        <v>0</v>
      </c>
      <c r="AF721" s="55">
        <f t="shared" si="145"/>
        <v>0</v>
      </c>
      <c r="AG721" s="55">
        <f t="shared" si="146"/>
        <v>0</v>
      </c>
      <c r="AH721" s="55">
        <f t="shared" si="147"/>
        <v>0</v>
      </c>
      <c r="AI721" s="34" t="s">
        <v>116</v>
      </c>
      <c r="AJ721" s="55">
        <f t="shared" si="148"/>
        <v>0</v>
      </c>
      <c r="AK721" s="55">
        <f t="shared" si="149"/>
        <v>0</v>
      </c>
      <c r="AL721" s="55">
        <f t="shared" si="150"/>
        <v>0</v>
      </c>
      <c r="AN721" s="55">
        <v>21</v>
      </c>
      <c r="AO721" s="55">
        <f t="shared" si="151"/>
        <v>0</v>
      </c>
      <c r="AP721" s="55">
        <f t="shared" si="152"/>
        <v>0</v>
      </c>
      <c r="AQ721" s="58" t="s">
        <v>125</v>
      </c>
      <c r="AV721" s="55">
        <f t="shared" si="153"/>
        <v>0</v>
      </c>
      <c r="AW721" s="55">
        <f t="shared" si="154"/>
        <v>0</v>
      </c>
      <c r="AX721" s="55">
        <f t="shared" si="155"/>
        <v>0</v>
      </c>
      <c r="AY721" s="58" t="s">
        <v>1450</v>
      </c>
      <c r="AZ721" s="58" t="s">
        <v>1313</v>
      </c>
      <c r="BA721" s="34" t="s">
        <v>128</v>
      </c>
      <c r="BC721" s="55">
        <f t="shared" si="156"/>
        <v>0</v>
      </c>
      <c r="BD721" s="55">
        <f t="shared" si="157"/>
        <v>0</v>
      </c>
      <c r="BE721" s="55">
        <v>0</v>
      </c>
      <c r="BF721" s="55">
        <f t="shared" si="158"/>
        <v>0</v>
      </c>
      <c r="BH721" s="55">
        <f t="shared" si="159"/>
        <v>0</v>
      </c>
      <c r="BI721" s="55">
        <f t="shared" si="160"/>
        <v>0</v>
      </c>
      <c r="BJ721" s="55">
        <f t="shared" si="161"/>
        <v>0</v>
      </c>
      <c r="BK721" s="55"/>
      <c r="BL721" s="55">
        <v>725</v>
      </c>
      <c r="BW721" s="55">
        <v>21</v>
      </c>
    </row>
    <row r="722" spans="1:75" ht="27" customHeight="1">
      <c r="A722" s="1" t="s">
        <v>1459</v>
      </c>
      <c r="B722" s="2" t="s">
        <v>116</v>
      </c>
      <c r="C722" s="2" t="s">
        <v>1460</v>
      </c>
      <c r="D722" s="147" t="s">
        <v>1461</v>
      </c>
      <c r="E722" s="148"/>
      <c r="F722" s="2" t="s">
        <v>1403</v>
      </c>
      <c r="G722" s="55">
        <v>1</v>
      </c>
      <c r="H722" s="56">
        <v>0</v>
      </c>
      <c r="I722" s="55">
        <f t="shared" si="138"/>
        <v>0</v>
      </c>
      <c r="J722" s="55">
        <v>0</v>
      </c>
      <c r="K722" s="55">
        <f t="shared" si="139"/>
        <v>0</v>
      </c>
      <c r="L722" s="57" t="s">
        <v>124</v>
      </c>
      <c r="Z722" s="55">
        <f t="shared" si="140"/>
        <v>0</v>
      </c>
      <c r="AB722" s="55">
        <f t="shared" si="141"/>
        <v>0</v>
      </c>
      <c r="AC722" s="55">
        <f t="shared" si="142"/>
        <v>0</v>
      </c>
      <c r="AD722" s="55">
        <f t="shared" si="143"/>
        <v>0</v>
      </c>
      <c r="AE722" s="55">
        <f t="shared" si="144"/>
        <v>0</v>
      </c>
      <c r="AF722" s="55">
        <f t="shared" si="145"/>
        <v>0</v>
      </c>
      <c r="AG722" s="55">
        <f t="shared" si="146"/>
        <v>0</v>
      </c>
      <c r="AH722" s="55">
        <f t="shared" si="147"/>
        <v>0</v>
      </c>
      <c r="AI722" s="34" t="s">
        <v>116</v>
      </c>
      <c r="AJ722" s="55">
        <f t="shared" si="148"/>
        <v>0</v>
      </c>
      <c r="AK722" s="55">
        <f t="shared" si="149"/>
        <v>0</v>
      </c>
      <c r="AL722" s="55">
        <f t="shared" si="150"/>
        <v>0</v>
      </c>
      <c r="AN722" s="55">
        <v>21</v>
      </c>
      <c r="AO722" s="55">
        <f t="shared" si="151"/>
        <v>0</v>
      </c>
      <c r="AP722" s="55">
        <f t="shared" si="152"/>
        <v>0</v>
      </c>
      <c r="AQ722" s="58" t="s">
        <v>125</v>
      </c>
      <c r="AV722" s="55">
        <f t="shared" si="153"/>
        <v>0</v>
      </c>
      <c r="AW722" s="55">
        <f t="shared" si="154"/>
        <v>0</v>
      </c>
      <c r="AX722" s="55">
        <f t="shared" si="155"/>
        <v>0</v>
      </c>
      <c r="AY722" s="58" t="s">
        <v>1450</v>
      </c>
      <c r="AZ722" s="58" t="s">
        <v>1313</v>
      </c>
      <c r="BA722" s="34" t="s">
        <v>128</v>
      </c>
      <c r="BC722" s="55">
        <f t="shared" si="156"/>
        <v>0</v>
      </c>
      <c r="BD722" s="55">
        <f t="shared" si="157"/>
        <v>0</v>
      </c>
      <c r="BE722" s="55">
        <v>0</v>
      </c>
      <c r="BF722" s="55">
        <f t="shared" si="158"/>
        <v>0</v>
      </c>
      <c r="BH722" s="55">
        <f t="shared" si="159"/>
        <v>0</v>
      </c>
      <c r="BI722" s="55">
        <f t="shared" si="160"/>
        <v>0</v>
      </c>
      <c r="BJ722" s="55">
        <f t="shared" si="161"/>
        <v>0</v>
      </c>
      <c r="BK722" s="55"/>
      <c r="BL722" s="55">
        <v>725</v>
      </c>
      <c r="BW722" s="55">
        <v>21</v>
      </c>
    </row>
    <row r="723" spans="1:75" ht="13.5" customHeight="1">
      <c r="A723" s="1" t="s">
        <v>1462</v>
      </c>
      <c r="B723" s="2" t="s">
        <v>116</v>
      </c>
      <c r="C723" s="2" t="s">
        <v>1463</v>
      </c>
      <c r="D723" s="147" t="s">
        <v>1464</v>
      </c>
      <c r="E723" s="148"/>
      <c r="F723" s="2" t="s">
        <v>1403</v>
      </c>
      <c r="G723" s="55">
        <v>1</v>
      </c>
      <c r="H723" s="56">
        <v>0</v>
      </c>
      <c r="I723" s="55">
        <f t="shared" si="138"/>
        <v>0</v>
      </c>
      <c r="J723" s="55">
        <v>0</v>
      </c>
      <c r="K723" s="55">
        <f t="shared" si="139"/>
        <v>0</v>
      </c>
      <c r="L723" s="57" t="s">
        <v>124</v>
      </c>
      <c r="Z723" s="55">
        <f t="shared" si="140"/>
        <v>0</v>
      </c>
      <c r="AB723" s="55">
        <f t="shared" si="141"/>
        <v>0</v>
      </c>
      <c r="AC723" s="55">
        <f t="shared" si="142"/>
        <v>0</v>
      </c>
      <c r="AD723" s="55">
        <f t="shared" si="143"/>
        <v>0</v>
      </c>
      <c r="AE723" s="55">
        <f t="shared" si="144"/>
        <v>0</v>
      </c>
      <c r="AF723" s="55">
        <f t="shared" si="145"/>
        <v>0</v>
      </c>
      <c r="AG723" s="55">
        <f t="shared" si="146"/>
        <v>0</v>
      </c>
      <c r="AH723" s="55">
        <f t="shared" si="147"/>
        <v>0</v>
      </c>
      <c r="AI723" s="34" t="s">
        <v>116</v>
      </c>
      <c r="AJ723" s="55">
        <f t="shared" si="148"/>
        <v>0</v>
      </c>
      <c r="AK723" s="55">
        <f t="shared" si="149"/>
        <v>0</v>
      </c>
      <c r="AL723" s="55">
        <f t="shared" si="150"/>
        <v>0</v>
      </c>
      <c r="AN723" s="55">
        <v>21</v>
      </c>
      <c r="AO723" s="55">
        <f t="shared" si="151"/>
        <v>0</v>
      </c>
      <c r="AP723" s="55">
        <f t="shared" si="152"/>
        <v>0</v>
      </c>
      <c r="AQ723" s="58" t="s">
        <v>125</v>
      </c>
      <c r="AV723" s="55">
        <f t="shared" si="153"/>
        <v>0</v>
      </c>
      <c r="AW723" s="55">
        <f t="shared" si="154"/>
        <v>0</v>
      </c>
      <c r="AX723" s="55">
        <f t="shared" si="155"/>
        <v>0</v>
      </c>
      <c r="AY723" s="58" t="s">
        <v>1450</v>
      </c>
      <c r="AZ723" s="58" t="s">
        <v>1313</v>
      </c>
      <c r="BA723" s="34" t="s">
        <v>128</v>
      </c>
      <c r="BC723" s="55">
        <f t="shared" si="156"/>
        <v>0</v>
      </c>
      <c r="BD723" s="55">
        <f t="shared" si="157"/>
        <v>0</v>
      </c>
      <c r="BE723" s="55">
        <v>0</v>
      </c>
      <c r="BF723" s="55">
        <f t="shared" si="158"/>
        <v>0</v>
      </c>
      <c r="BH723" s="55">
        <f t="shared" si="159"/>
        <v>0</v>
      </c>
      <c r="BI723" s="55">
        <f t="shared" si="160"/>
        <v>0</v>
      </c>
      <c r="BJ723" s="55">
        <f t="shared" si="161"/>
        <v>0</v>
      </c>
      <c r="BK723" s="55"/>
      <c r="BL723" s="55">
        <v>725</v>
      </c>
      <c r="BW723" s="55">
        <v>21</v>
      </c>
    </row>
    <row r="724" spans="1:75" s="143" customFormat="1" ht="27.75" customHeight="1">
      <c r="A724" s="138" t="s">
        <v>1465</v>
      </c>
      <c r="B724" s="136" t="s">
        <v>116</v>
      </c>
      <c r="C724" s="136" t="s">
        <v>1466</v>
      </c>
      <c r="D724" s="147" t="s">
        <v>3786</v>
      </c>
      <c r="E724" s="147"/>
      <c r="F724" s="136" t="s">
        <v>1403</v>
      </c>
      <c r="G724" s="140">
        <v>1</v>
      </c>
      <c r="H724" s="141">
        <v>0</v>
      </c>
      <c r="I724" s="140">
        <f t="shared" si="138"/>
        <v>0</v>
      </c>
      <c r="J724" s="140">
        <v>0</v>
      </c>
      <c r="K724" s="140">
        <f t="shared" si="139"/>
        <v>0</v>
      </c>
      <c r="L724" s="142" t="s">
        <v>124</v>
      </c>
      <c r="Z724" s="140">
        <f t="shared" si="140"/>
        <v>0</v>
      </c>
      <c r="AB724" s="140">
        <f t="shared" si="141"/>
        <v>0</v>
      </c>
      <c r="AC724" s="140">
        <f t="shared" si="142"/>
        <v>0</v>
      </c>
      <c r="AD724" s="140">
        <f t="shared" si="143"/>
        <v>0</v>
      </c>
      <c r="AE724" s="140">
        <f t="shared" si="144"/>
        <v>0</v>
      </c>
      <c r="AF724" s="140">
        <f t="shared" si="145"/>
        <v>0</v>
      </c>
      <c r="AG724" s="140">
        <f t="shared" si="146"/>
        <v>0</v>
      </c>
      <c r="AH724" s="140">
        <f t="shared" si="147"/>
        <v>0</v>
      </c>
      <c r="AI724" s="144" t="s">
        <v>116</v>
      </c>
      <c r="AJ724" s="140">
        <f t="shared" si="148"/>
        <v>0</v>
      </c>
      <c r="AK724" s="140">
        <f t="shared" si="149"/>
        <v>0</v>
      </c>
      <c r="AL724" s="140">
        <f t="shared" si="150"/>
        <v>0</v>
      </c>
      <c r="AN724" s="140">
        <v>21</v>
      </c>
      <c r="AO724" s="140">
        <f t="shared" si="151"/>
        <v>0</v>
      </c>
      <c r="AP724" s="140">
        <f t="shared" si="152"/>
        <v>0</v>
      </c>
      <c r="AQ724" s="145" t="s">
        <v>125</v>
      </c>
      <c r="AV724" s="140">
        <f t="shared" si="153"/>
        <v>0</v>
      </c>
      <c r="AW724" s="140">
        <f t="shared" si="154"/>
        <v>0</v>
      </c>
      <c r="AX724" s="140">
        <f t="shared" si="155"/>
        <v>0</v>
      </c>
      <c r="AY724" s="145" t="s">
        <v>1450</v>
      </c>
      <c r="AZ724" s="145" t="s">
        <v>1313</v>
      </c>
      <c r="BA724" s="144" t="s">
        <v>128</v>
      </c>
      <c r="BC724" s="140">
        <f t="shared" si="156"/>
        <v>0</v>
      </c>
      <c r="BD724" s="140">
        <f t="shared" si="157"/>
        <v>0</v>
      </c>
      <c r="BE724" s="140">
        <v>0</v>
      </c>
      <c r="BF724" s="140">
        <f t="shared" si="158"/>
        <v>0</v>
      </c>
      <c r="BH724" s="140">
        <f t="shared" si="159"/>
        <v>0</v>
      </c>
      <c r="BI724" s="140">
        <f t="shared" si="160"/>
        <v>0</v>
      </c>
      <c r="BJ724" s="140">
        <f t="shared" si="161"/>
        <v>0</v>
      </c>
      <c r="BK724" s="140"/>
      <c r="BL724" s="140">
        <v>725</v>
      </c>
      <c r="BW724" s="140">
        <v>21</v>
      </c>
    </row>
    <row r="725" spans="1:75" s="143" customFormat="1" ht="26.25" customHeight="1">
      <c r="A725" s="138" t="s">
        <v>1467</v>
      </c>
      <c r="B725" s="136" t="s">
        <v>116</v>
      </c>
      <c r="C725" s="136" t="s">
        <v>1468</v>
      </c>
      <c r="D725" s="147" t="s">
        <v>3787</v>
      </c>
      <c r="E725" s="147"/>
      <c r="F725" s="136" t="s">
        <v>1403</v>
      </c>
      <c r="G725" s="140">
        <v>1</v>
      </c>
      <c r="H725" s="141">
        <v>0</v>
      </c>
      <c r="I725" s="140">
        <f t="shared" si="138"/>
        <v>0</v>
      </c>
      <c r="J725" s="140">
        <v>0</v>
      </c>
      <c r="K725" s="140">
        <f t="shared" si="139"/>
        <v>0</v>
      </c>
      <c r="L725" s="142" t="s">
        <v>124</v>
      </c>
      <c r="Z725" s="140">
        <f t="shared" si="140"/>
        <v>0</v>
      </c>
      <c r="AB725" s="140">
        <f t="shared" si="141"/>
        <v>0</v>
      </c>
      <c r="AC725" s="140">
        <f t="shared" si="142"/>
        <v>0</v>
      </c>
      <c r="AD725" s="140">
        <f t="shared" si="143"/>
        <v>0</v>
      </c>
      <c r="AE725" s="140">
        <f t="shared" si="144"/>
        <v>0</v>
      </c>
      <c r="AF725" s="140">
        <f t="shared" si="145"/>
        <v>0</v>
      </c>
      <c r="AG725" s="140">
        <f t="shared" si="146"/>
        <v>0</v>
      </c>
      <c r="AH725" s="140">
        <f t="shared" si="147"/>
        <v>0</v>
      </c>
      <c r="AI725" s="144" t="s">
        <v>116</v>
      </c>
      <c r="AJ725" s="140">
        <f t="shared" si="148"/>
        <v>0</v>
      </c>
      <c r="AK725" s="140">
        <f t="shared" si="149"/>
        <v>0</v>
      </c>
      <c r="AL725" s="140">
        <f t="shared" si="150"/>
        <v>0</v>
      </c>
      <c r="AN725" s="140">
        <v>21</v>
      </c>
      <c r="AO725" s="140">
        <f t="shared" si="151"/>
        <v>0</v>
      </c>
      <c r="AP725" s="140">
        <f t="shared" si="152"/>
        <v>0</v>
      </c>
      <c r="AQ725" s="145" t="s">
        <v>125</v>
      </c>
      <c r="AV725" s="140">
        <f t="shared" si="153"/>
        <v>0</v>
      </c>
      <c r="AW725" s="140">
        <f t="shared" si="154"/>
        <v>0</v>
      </c>
      <c r="AX725" s="140">
        <f t="shared" si="155"/>
        <v>0</v>
      </c>
      <c r="AY725" s="145" t="s">
        <v>1450</v>
      </c>
      <c r="AZ725" s="145" t="s">
        <v>1313</v>
      </c>
      <c r="BA725" s="144" t="s">
        <v>128</v>
      </c>
      <c r="BC725" s="140">
        <f t="shared" si="156"/>
        <v>0</v>
      </c>
      <c r="BD725" s="140">
        <f t="shared" si="157"/>
        <v>0</v>
      </c>
      <c r="BE725" s="140">
        <v>0</v>
      </c>
      <c r="BF725" s="140">
        <f t="shared" si="158"/>
        <v>0</v>
      </c>
      <c r="BH725" s="140">
        <f t="shared" si="159"/>
        <v>0</v>
      </c>
      <c r="BI725" s="140">
        <f t="shared" si="160"/>
        <v>0</v>
      </c>
      <c r="BJ725" s="140">
        <f t="shared" si="161"/>
        <v>0</v>
      </c>
      <c r="BK725" s="140"/>
      <c r="BL725" s="140">
        <v>725</v>
      </c>
      <c r="BW725" s="140">
        <v>21</v>
      </c>
    </row>
    <row r="726" spans="1:75" s="146" customFormat="1" ht="13.5" customHeight="1">
      <c r="A726" s="139" t="s">
        <v>1469</v>
      </c>
      <c r="B726" s="137" t="s">
        <v>116</v>
      </c>
      <c r="C726" s="137" t="s">
        <v>1470</v>
      </c>
      <c r="D726" s="148" t="s">
        <v>3788</v>
      </c>
      <c r="E726" s="148"/>
      <c r="F726" s="137" t="s">
        <v>1403</v>
      </c>
      <c r="G726" s="55">
        <v>4</v>
      </c>
      <c r="H726" s="56">
        <v>0</v>
      </c>
      <c r="I726" s="55">
        <f t="shared" si="138"/>
        <v>0</v>
      </c>
      <c r="J726" s="55">
        <v>0</v>
      </c>
      <c r="K726" s="55">
        <f t="shared" si="139"/>
        <v>0</v>
      </c>
      <c r="L726" s="57" t="s">
        <v>124</v>
      </c>
      <c r="Z726" s="55">
        <f t="shared" si="140"/>
        <v>0</v>
      </c>
      <c r="AB726" s="55">
        <f t="shared" si="141"/>
        <v>0</v>
      </c>
      <c r="AC726" s="55">
        <f t="shared" si="142"/>
        <v>0</v>
      </c>
      <c r="AD726" s="55">
        <f t="shared" si="143"/>
        <v>0</v>
      </c>
      <c r="AE726" s="55">
        <f t="shared" si="144"/>
        <v>0</v>
      </c>
      <c r="AF726" s="55">
        <f t="shared" si="145"/>
        <v>0</v>
      </c>
      <c r="AG726" s="55">
        <f t="shared" si="146"/>
        <v>0</v>
      </c>
      <c r="AH726" s="55">
        <f t="shared" si="147"/>
        <v>0</v>
      </c>
      <c r="AI726" s="34" t="s">
        <v>116</v>
      </c>
      <c r="AJ726" s="55">
        <f t="shared" si="148"/>
        <v>0</v>
      </c>
      <c r="AK726" s="55">
        <f t="shared" si="149"/>
        <v>0</v>
      </c>
      <c r="AL726" s="55">
        <f t="shared" si="150"/>
        <v>0</v>
      </c>
      <c r="AN726" s="55">
        <v>21</v>
      </c>
      <c r="AO726" s="55">
        <f t="shared" si="151"/>
        <v>0</v>
      </c>
      <c r="AP726" s="55">
        <f t="shared" si="152"/>
        <v>0</v>
      </c>
      <c r="AQ726" s="58" t="s">
        <v>125</v>
      </c>
      <c r="AV726" s="55">
        <f t="shared" si="153"/>
        <v>0</v>
      </c>
      <c r="AW726" s="55">
        <f t="shared" si="154"/>
        <v>0</v>
      </c>
      <c r="AX726" s="55">
        <f t="shared" si="155"/>
        <v>0</v>
      </c>
      <c r="AY726" s="58" t="s">
        <v>1450</v>
      </c>
      <c r="AZ726" s="58" t="s">
        <v>1313</v>
      </c>
      <c r="BA726" s="34" t="s">
        <v>128</v>
      </c>
      <c r="BC726" s="55">
        <f t="shared" si="156"/>
        <v>0</v>
      </c>
      <c r="BD726" s="55">
        <f t="shared" si="157"/>
        <v>0</v>
      </c>
      <c r="BE726" s="55">
        <v>0</v>
      </c>
      <c r="BF726" s="55">
        <f t="shared" si="158"/>
        <v>0</v>
      </c>
      <c r="BH726" s="55">
        <f t="shared" si="159"/>
        <v>0</v>
      </c>
      <c r="BI726" s="55">
        <f t="shared" si="160"/>
        <v>0</v>
      </c>
      <c r="BJ726" s="55">
        <f t="shared" si="161"/>
        <v>0</v>
      </c>
      <c r="BK726" s="55"/>
      <c r="BL726" s="55">
        <v>725</v>
      </c>
      <c r="BW726" s="55">
        <v>21</v>
      </c>
    </row>
    <row r="727" spans="1:75" ht="13.5" customHeight="1">
      <c r="A727" s="1" t="s">
        <v>1471</v>
      </c>
      <c r="B727" s="2" t="s">
        <v>116</v>
      </c>
      <c r="C727" s="2" t="s">
        <v>1472</v>
      </c>
      <c r="D727" s="147" t="s">
        <v>3789</v>
      </c>
      <c r="E727" s="148"/>
      <c r="F727" s="2" t="s">
        <v>1403</v>
      </c>
      <c r="G727" s="55">
        <v>1</v>
      </c>
      <c r="H727" s="56">
        <v>0</v>
      </c>
      <c r="I727" s="55">
        <f t="shared" si="138"/>
        <v>0</v>
      </c>
      <c r="J727" s="55">
        <v>0</v>
      </c>
      <c r="K727" s="55">
        <f t="shared" si="139"/>
        <v>0</v>
      </c>
      <c r="L727" s="57" t="s">
        <v>124</v>
      </c>
      <c r="Z727" s="55">
        <f t="shared" si="140"/>
        <v>0</v>
      </c>
      <c r="AB727" s="55">
        <f t="shared" si="141"/>
        <v>0</v>
      </c>
      <c r="AC727" s="55">
        <f t="shared" si="142"/>
        <v>0</v>
      </c>
      <c r="AD727" s="55">
        <f t="shared" si="143"/>
        <v>0</v>
      </c>
      <c r="AE727" s="55">
        <f t="shared" si="144"/>
        <v>0</v>
      </c>
      <c r="AF727" s="55">
        <f t="shared" si="145"/>
        <v>0</v>
      </c>
      <c r="AG727" s="55">
        <f t="shared" si="146"/>
        <v>0</v>
      </c>
      <c r="AH727" s="55">
        <f t="shared" si="147"/>
        <v>0</v>
      </c>
      <c r="AI727" s="34" t="s">
        <v>116</v>
      </c>
      <c r="AJ727" s="55">
        <f t="shared" si="148"/>
        <v>0</v>
      </c>
      <c r="AK727" s="55">
        <f t="shared" si="149"/>
        <v>0</v>
      </c>
      <c r="AL727" s="55">
        <f t="shared" si="150"/>
        <v>0</v>
      </c>
      <c r="AN727" s="55">
        <v>21</v>
      </c>
      <c r="AO727" s="55">
        <f t="shared" si="151"/>
        <v>0</v>
      </c>
      <c r="AP727" s="55">
        <f t="shared" si="152"/>
        <v>0</v>
      </c>
      <c r="AQ727" s="58" t="s">
        <v>125</v>
      </c>
      <c r="AV727" s="55">
        <f t="shared" si="153"/>
        <v>0</v>
      </c>
      <c r="AW727" s="55">
        <f t="shared" si="154"/>
        <v>0</v>
      </c>
      <c r="AX727" s="55">
        <f t="shared" si="155"/>
        <v>0</v>
      </c>
      <c r="AY727" s="58" t="s">
        <v>1450</v>
      </c>
      <c r="AZ727" s="58" t="s">
        <v>1313</v>
      </c>
      <c r="BA727" s="34" t="s">
        <v>128</v>
      </c>
      <c r="BC727" s="55">
        <f t="shared" si="156"/>
        <v>0</v>
      </c>
      <c r="BD727" s="55">
        <f t="shared" si="157"/>
        <v>0</v>
      </c>
      <c r="BE727" s="55">
        <v>0</v>
      </c>
      <c r="BF727" s="55">
        <f t="shared" si="158"/>
        <v>0</v>
      </c>
      <c r="BH727" s="55">
        <f t="shared" si="159"/>
        <v>0</v>
      </c>
      <c r="BI727" s="55">
        <f t="shared" si="160"/>
        <v>0</v>
      </c>
      <c r="BJ727" s="55">
        <f t="shared" si="161"/>
        <v>0</v>
      </c>
      <c r="BK727" s="55"/>
      <c r="BL727" s="55">
        <v>725</v>
      </c>
      <c r="BW727" s="55">
        <v>21</v>
      </c>
    </row>
    <row r="728" spans="1:75" ht="13.5" customHeight="1">
      <c r="A728" s="1" t="s">
        <v>1473</v>
      </c>
      <c r="B728" s="2" t="s">
        <v>116</v>
      </c>
      <c r="C728" s="2" t="s">
        <v>1474</v>
      </c>
      <c r="D728" s="147" t="s">
        <v>1475</v>
      </c>
      <c r="E728" s="148"/>
      <c r="F728" s="2" t="s">
        <v>374</v>
      </c>
      <c r="G728" s="55">
        <v>1</v>
      </c>
      <c r="H728" s="56">
        <v>0</v>
      </c>
      <c r="I728" s="55">
        <f t="shared" si="138"/>
        <v>0</v>
      </c>
      <c r="J728" s="55">
        <v>0</v>
      </c>
      <c r="K728" s="55">
        <f t="shared" si="139"/>
        <v>0</v>
      </c>
      <c r="L728" s="57" t="s">
        <v>124</v>
      </c>
      <c r="Z728" s="55">
        <f t="shared" si="140"/>
        <v>0</v>
      </c>
      <c r="AB728" s="55">
        <f t="shared" si="141"/>
        <v>0</v>
      </c>
      <c r="AC728" s="55">
        <f t="shared" si="142"/>
        <v>0</v>
      </c>
      <c r="AD728" s="55">
        <f t="shared" si="143"/>
        <v>0</v>
      </c>
      <c r="AE728" s="55">
        <f t="shared" si="144"/>
        <v>0</v>
      </c>
      <c r="AF728" s="55">
        <f t="shared" si="145"/>
        <v>0</v>
      </c>
      <c r="AG728" s="55">
        <f t="shared" si="146"/>
        <v>0</v>
      </c>
      <c r="AH728" s="55">
        <f t="shared" si="147"/>
        <v>0</v>
      </c>
      <c r="AI728" s="34" t="s">
        <v>116</v>
      </c>
      <c r="AJ728" s="55">
        <f t="shared" si="148"/>
        <v>0</v>
      </c>
      <c r="AK728" s="55">
        <f t="shared" si="149"/>
        <v>0</v>
      </c>
      <c r="AL728" s="55">
        <f t="shared" si="150"/>
        <v>0</v>
      </c>
      <c r="AN728" s="55">
        <v>21</v>
      </c>
      <c r="AO728" s="55">
        <f t="shared" si="151"/>
        <v>0</v>
      </c>
      <c r="AP728" s="55">
        <f t="shared" si="152"/>
        <v>0</v>
      </c>
      <c r="AQ728" s="58" t="s">
        <v>125</v>
      </c>
      <c r="AV728" s="55">
        <f t="shared" si="153"/>
        <v>0</v>
      </c>
      <c r="AW728" s="55">
        <f t="shared" si="154"/>
        <v>0</v>
      </c>
      <c r="AX728" s="55">
        <f t="shared" si="155"/>
        <v>0</v>
      </c>
      <c r="AY728" s="58" t="s">
        <v>1450</v>
      </c>
      <c r="AZ728" s="58" t="s">
        <v>1313</v>
      </c>
      <c r="BA728" s="34" t="s">
        <v>128</v>
      </c>
      <c r="BC728" s="55">
        <f t="shared" si="156"/>
        <v>0</v>
      </c>
      <c r="BD728" s="55">
        <f t="shared" si="157"/>
        <v>0</v>
      </c>
      <c r="BE728" s="55">
        <v>0</v>
      </c>
      <c r="BF728" s="55">
        <f t="shared" si="158"/>
        <v>0</v>
      </c>
      <c r="BH728" s="55">
        <f t="shared" si="159"/>
        <v>0</v>
      </c>
      <c r="BI728" s="55">
        <f t="shared" si="160"/>
        <v>0</v>
      </c>
      <c r="BJ728" s="55">
        <f t="shared" si="161"/>
        <v>0</v>
      </c>
      <c r="BK728" s="55"/>
      <c r="BL728" s="55">
        <v>725</v>
      </c>
      <c r="BW728" s="55">
        <v>21</v>
      </c>
    </row>
    <row r="729" spans="1:75" ht="13.5" customHeight="1">
      <c r="A729" s="1" t="s">
        <v>1476</v>
      </c>
      <c r="B729" s="2" t="s">
        <v>116</v>
      </c>
      <c r="C729" s="2" t="s">
        <v>1477</v>
      </c>
      <c r="D729" s="147" t="s">
        <v>1478</v>
      </c>
      <c r="E729" s="148"/>
      <c r="F729" s="2" t="s">
        <v>374</v>
      </c>
      <c r="G729" s="55">
        <v>1</v>
      </c>
      <c r="H729" s="56">
        <v>0</v>
      </c>
      <c r="I729" s="55">
        <f t="shared" si="138"/>
        <v>0</v>
      </c>
      <c r="J729" s="55">
        <v>0</v>
      </c>
      <c r="K729" s="55">
        <f t="shared" si="139"/>
        <v>0</v>
      </c>
      <c r="L729" s="57" t="s">
        <v>124</v>
      </c>
      <c r="Z729" s="55">
        <f t="shared" si="140"/>
        <v>0</v>
      </c>
      <c r="AB729" s="55">
        <f t="shared" si="141"/>
        <v>0</v>
      </c>
      <c r="AC729" s="55">
        <f t="shared" si="142"/>
        <v>0</v>
      </c>
      <c r="AD729" s="55">
        <f t="shared" si="143"/>
        <v>0</v>
      </c>
      <c r="AE729" s="55">
        <f t="shared" si="144"/>
        <v>0</v>
      </c>
      <c r="AF729" s="55">
        <f t="shared" si="145"/>
        <v>0</v>
      </c>
      <c r="AG729" s="55">
        <f t="shared" si="146"/>
        <v>0</v>
      </c>
      <c r="AH729" s="55">
        <f t="shared" si="147"/>
        <v>0</v>
      </c>
      <c r="AI729" s="34" t="s">
        <v>116</v>
      </c>
      <c r="AJ729" s="55">
        <f t="shared" si="148"/>
        <v>0</v>
      </c>
      <c r="AK729" s="55">
        <f t="shared" si="149"/>
        <v>0</v>
      </c>
      <c r="AL729" s="55">
        <f t="shared" si="150"/>
        <v>0</v>
      </c>
      <c r="AN729" s="55">
        <v>21</v>
      </c>
      <c r="AO729" s="55">
        <f t="shared" si="151"/>
        <v>0</v>
      </c>
      <c r="AP729" s="55">
        <f t="shared" si="152"/>
        <v>0</v>
      </c>
      <c r="AQ729" s="58" t="s">
        <v>125</v>
      </c>
      <c r="AV729" s="55">
        <f t="shared" si="153"/>
        <v>0</v>
      </c>
      <c r="AW729" s="55">
        <f t="shared" si="154"/>
        <v>0</v>
      </c>
      <c r="AX729" s="55">
        <f t="shared" si="155"/>
        <v>0</v>
      </c>
      <c r="AY729" s="58" t="s">
        <v>1450</v>
      </c>
      <c r="AZ729" s="58" t="s">
        <v>1313</v>
      </c>
      <c r="BA729" s="34" t="s">
        <v>128</v>
      </c>
      <c r="BC729" s="55">
        <f t="shared" si="156"/>
        <v>0</v>
      </c>
      <c r="BD729" s="55">
        <f t="shared" si="157"/>
        <v>0</v>
      </c>
      <c r="BE729" s="55">
        <v>0</v>
      </c>
      <c r="BF729" s="55">
        <f t="shared" si="158"/>
        <v>0</v>
      </c>
      <c r="BH729" s="55">
        <f t="shared" si="159"/>
        <v>0</v>
      </c>
      <c r="BI729" s="55">
        <f t="shared" si="160"/>
        <v>0</v>
      </c>
      <c r="BJ729" s="55">
        <f t="shared" si="161"/>
        <v>0</v>
      </c>
      <c r="BK729" s="55"/>
      <c r="BL729" s="55">
        <v>725</v>
      </c>
      <c r="BW729" s="55">
        <v>21</v>
      </c>
    </row>
    <row r="730" spans="1:75" ht="13.5" customHeight="1">
      <c r="A730" s="1" t="s">
        <v>1479</v>
      </c>
      <c r="B730" s="2" t="s">
        <v>116</v>
      </c>
      <c r="C730" s="2" t="s">
        <v>1480</v>
      </c>
      <c r="D730" s="147" t="s">
        <v>1481</v>
      </c>
      <c r="E730" s="148"/>
      <c r="F730" s="2" t="s">
        <v>374</v>
      </c>
      <c r="G730" s="55">
        <v>8</v>
      </c>
      <c r="H730" s="56">
        <v>0</v>
      </c>
      <c r="I730" s="55">
        <f t="shared" si="138"/>
        <v>0</v>
      </c>
      <c r="J730" s="55">
        <v>0</v>
      </c>
      <c r="K730" s="55">
        <f t="shared" si="139"/>
        <v>0</v>
      </c>
      <c r="L730" s="57" t="s">
        <v>124</v>
      </c>
      <c r="Z730" s="55">
        <f t="shared" si="140"/>
        <v>0</v>
      </c>
      <c r="AB730" s="55">
        <f t="shared" si="141"/>
        <v>0</v>
      </c>
      <c r="AC730" s="55">
        <f t="shared" si="142"/>
        <v>0</v>
      </c>
      <c r="AD730" s="55">
        <f t="shared" si="143"/>
        <v>0</v>
      </c>
      <c r="AE730" s="55">
        <f t="shared" si="144"/>
        <v>0</v>
      </c>
      <c r="AF730" s="55">
        <f t="shared" si="145"/>
        <v>0</v>
      </c>
      <c r="AG730" s="55">
        <f t="shared" si="146"/>
        <v>0</v>
      </c>
      <c r="AH730" s="55">
        <f t="shared" si="147"/>
        <v>0</v>
      </c>
      <c r="AI730" s="34" t="s">
        <v>116</v>
      </c>
      <c r="AJ730" s="55">
        <f t="shared" si="148"/>
        <v>0</v>
      </c>
      <c r="AK730" s="55">
        <f t="shared" si="149"/>
        <v>0</v>
      </c>
      <c r="AL730" s="55">
        <f t="shared" si="150"/>
        <v>0</v>
      </c>
      <c r="AN730" s="55">
        <v>21</v>
      </c>
      <c r="AO730" s="55">
        <f t="shared" si="151"/>
        <v>0</v>
      </c>
      <c r="AP730" s="55">
        <f t="shared" si="152"/>
        <v>0</v>
      </c>
      <c r="AQ730" s="58" t="s">
        <v>125</v>
      </c>
      <c r="AV730" s="55">
        <f t="shared" si="153"/>
        <v>0</v>
      </c>
      <c r="AW730" s="55">
        <f t="shared" si="154"/>
        <v>0</v>
      </c>
      <c r="AX730" s="55">
        <f t="shared" si="155"/>
        <v>0</v>
      </c>
      <c r="AY730" s="58" t="s">
        <v>1450</v>
      </c>
      <c r="AZ730" s="58" t="s">
        <v>1313</v>
      </c>
      <c r="BA730" s="34" t="s">
        <v>128</v>
      </c>
      <c r="BC730" s="55">
        <f t="shared" si="156"/>
        <v>0</v>
      </c>
      <c r="BD730" s="55">
        <f t="shared" si="157"/>
        <v>0</v>
      </c>
      <c r="BE730" s="55">
        <v>0</v>
      </c>
      <c r="BF730" s="55">
        <f t="shared" si="158"/>
        <v>0</v>
      </c>
      <c r="BH730" s="55">
        <f t="shared" si="159"/>
        <v>0</v>
      </c>
      <c r="BI730" s="55">
        <f t="shared" si="160"/>
        <v>0</v>
      </c>
      <c r="BJ730" s="55">
        <f t="shared" si="161"/>
        <v>0</v>
      </c>
      <c r="BK730" s="55"/>
      <c r="BL730" s="55">
        <v>725</v>
      </c>
      <c r="BW730" s="55">
        <v>21</v>
      </c>
    </row>
    <row r="731" spans="1:75" ht="13.5" customHeight="1">
      <c r="A731" s="1" t="s">
        <v>1482</v>
      </c>
      <c r="B731" s="2" t="s">
        <v>116</v>
      </c>
      <c r="C731" s="2" t="s">
        <v>1483</v>
      </c>
      <c r="D731" s="147" t="s">
        <v>1484</v>
      </c>
      <c r="E731" s="148"/>
      <c r="F731" s="2" t="s">
        <v>939</v>
      </c>
      <c r="G731" s="55">
        <v>0.23</v>
      </c>
      <c r="H731" s="56">
        <v>0</v>
      </c>
      <c r="I731" s="55">
        <f t="shared" si="138"/>
        <v>0</v>
      </c>
      <c r="J731" s="55">
        <v>0</v>
      </c>
      <c r="K731" s="55">
        <f t="shared" si="139"/>
        <v>0</v>
      </c>
      <c r="L731" s="57" t="s">
        <v>124</v>
      </c>
      <c r="Z731" s="55">
        <f t="shared" si="140"/>
        <v>0</v>
      </c>
      <c r="AB731" s="55">
        <f t="shared" si="141"/>
        <v>0</v>
      </c>
      <c r="AC731" s="55">
        <f t="shared" si="142"/>
        <v>0</v>
      </c>
      <c r="AD731" s="55">
        <f t="shared" si="143"/>
        <v>0</v>
      </c>
      <c r="AE731" s="55">
        <f t="shared" si="144"/>
        <v>0</v>
      </c>
      <c r="AF731" s="55">
        <f t="shared" si="145"/>
        <v>0</v>
      </c>
      <c r="AG731" s="55">
        <f t="shared" si="146"/>
        <v>0</v>
      </c>
      <c r="AH731" s="55">
        <f t="shared" si="147"/>
        <v>0</v>
      </c>
      <c r="AI731" s="34" t="s">
        <v>116</v>
      </c>
      <c r="AJ731" s="55">
        <f t="shared" si="148"/>
        <v>0</v>
      </c>
      <c r="AK731" s="55">
        <f t="shared" si="149"/>
        <v>0</v>
      </c>
      <c r="AL731" s="55">
        <f t="shared" si="150"/>
        <v>0</v>
      </c>
      <c r="AN731" s="55">
        <v>21</v>
      </c>
      <c r="AO731" s="55">
        <f t="shared" si="151"/>
        <v>0</v>
      </c>
      <c r="AP731" s="55">
        <f t="shared" si="152"/>
        <v>0</v>
      </c>
      <c r="AQ731" s="58" t="s">
        <v>139</v>
      </c>
      <c r="AV731" s="55">
        <f t="shared" si="153"/>
        <v>0</v>
      </c>
      <c r="AW731" s="55">
        <f t="shared" si="154"/>
        <v>0</v>
      </c>
      <c r="AX731" s="55">
        <f t="shared" si="155"/>
        <v>0</v>
      </c>
      <c r="AY731" s="58" t="s">
        <v>1450</v>
      </c>
      <c r="AZ731" s="58" t="s">
        <v>1313</v>
      </c>
      <c r="BA731" s="34" t="s">
        <v>128</v>
      </c>
      <c r="BC731" s="55">
        <f t="shared" si="156"/>
        <v>0</v>
      </c>
      <c r="BD731" s="55">
        <f t="shared" si="157"/>
        <v>0</v>
      </c>
      <c r="BE731" s="55">
        <v>0</v>
      </c>
      <c r="BF731" s="55">
        <f t="shared" si="158"/>
        <v>0</v>
      </c>
      <c r="BH731" s="55">
        <f t="shared" si="159"/>
        <v>0</v>
      </c>
      <c r="BI731" s="55">
        <f t="shared" si="160"/>
        <v>0</v>
      </c>
      <c r="BJ731" s="55">
        <f t="shared" si="161"/>
        <v>0</v>
      </c>
      <c r="BK731" s="55"/>
      <c r="BL731" s="55">
        <v>725</v>
      </c>
      <c r="BW731" s="55">
        <v>21</v>
      </c>
    </row>
    <row r="732" spans="1:47" ht="14.4">
      <c r="A732" s="50" t="s">
        <v>4</v>
      </c>
      <c r="B732" s="51" t="s">
        <v>116</v>
      </c>
      <c r="C732" s="51" t="s">
        <v>1485</v>
      </c>
      <c r="D732" s="222" t="s">
        <v>1486</v>
      </c>
      <c r="E732" s="223"/>
      <c r="F732" s="52" t="s">
        <v>79</v>
      </c>
      <c r="G732" s="52" t="s">
        <v>79</v>
      </c>
      <c r="H732" s="53" t="s">
        <v>79</v>
      </c>
      <c r="I732" s="27">
        <f>SUM(I733:I744)</f>
        <v>0</v>
      </c>
      <c r="J732" s="34" t="s">
        <v>4</v>
      </c>
      <c r="K732" s="27">
        <f>SUM(K733:K744)</f>
        <v>0.15999999999999998</v>
      </c>
      <c r="L732" s="54" t="s">
        <v>4</v>
      </c>
      <c r="AI732" s="34" t="s">
        <v>116</v>
      </c>
      <c r="AS732" s="27">
        <f>SUM(AJ733:AJ744)</f>
        <v>0</v>
      </c>
      <c r="AT732" s="27">
        <f>SUM(AK733:AK744)</f>
        <v>0</v>
      </c>
      <c r="AU732" s="27">
        <f>SUM(AL733:AL744)</f>
        <v>0</v>
      </c>
    </row>
    <row r="733" spans="1:75" ht="13.5" customHeight="1">
      <c r="A733" s="1" t="s">
        <v>1487</v>
      </c>
      <c r="B733" s="2" t="s">
        <v>116</v>
      </c>
      <c r="C733" s="2" t="s">
        <v>1488</v>
      </c>
      <c r="D733" s="147" t="s">
        <v>1489</v>
      </c>
      <c r="E733" s="148"/>
      <c r="F733" s="2" t="s">
        <v>1403</v>
      </c>
      <c r="G733" s="55">
        <v>4</v>
      </c>
      <c r="H733" s="56">
        <v>0</v>
      </c>
      <c r="I733" s="55">
        <f>G733*H733</f>
        <v>0</v>
      </c>
      <c r="J733" s="55">
        <v>0.01</v>
      </c>
      <c r="K733" s="55">
        <f>G733*J733</f>
        <v>0.04</v>
      </c>
      <c r="L733" s="57" t="s">
        <v>785</v>
      </c>
      <c r="Z733" s="55">
        <f>IF(AQ733="5",BJ733,0)</f>
        <v>0</v>
      </c>
      <c r="AB733" s="55">
        <f>IF(AQ733="1",BH733,0)</f>
        <v>0</v>
      </c>
      <c r="AC733" s="55">
        <f>IF(AQ733="1",BI733,0)</f>
        <v>0</v>
      </c>
      <c r="AD733" s="55">
        <f>IF(AQ733="7",BH733,0)</f>
        <v>0</v>
      </c>
      <c r="AE733" s="55">
        <f>IF(AQ733="7",BI733,0)</f>
        <v>0</v>
      </c>
      <c r="AF733" s="55">
        <f>IF(AQ733="2",BH733,0)</f>
        <v>0</v>
      </c>
      <c r="AG733" s="55">
        <f>IF(AQ733="2",BI733,0)</f>
        <v>0</v>
      </c>
      <c r="AH733" s="55">
        <f>IF(AQ733="0",BJ733,0)</f>
        <v>0</v>
      </c>
      <c r="AI733" s="34" t="s">
        <v>116</v>
      </c>
      <c r="AJ733" s="55">
        <f>IF(AN733=0,I733,0)</f>
        <v>0</v>
      </c>
      <c r="AK733" s="55">
        <f>IF(AN733=12,I733,0)</f>
        <v>0</v>
      </c>
      <c r="AL733" s="55">
        <f>IF(AN733=21,I733,0)</f>
        <v>0</v>
      </c>
      <c r="AN733" s="55">
        <v>21</v>
      </c>
      <c r="AO733" s="55">
        <f>H733*0.863092269</f>
        <v>0</v>
      </c>
      <c r="AP733" s="55">
        <f>H733*(1-0.863092269)</f>
        <v>0</v>
      </c>
      <c r="AQ733" s="58" t="s">
        <v>125</v>
      </c>
      <c r="AV733" s="55">
        <f>AW733+AX733</f>
        <v>0</v>
      </c>
      <c r="AW733" s="55">
        <f>G733*AO733</f>
        <v>0</v>
      </c>
      <c r="AX733" s="55">
        <f>G733*AP733</f>
        <v>0</v>
      </c>
      <c r="AY733" s="58" t="s">
        <v>1490</v>
      </c>
      <c r="AZ733" s="58" t="s">
        <v>1313</v>
      </c>
      <c r="BA733" s="34" t="s">
        <v>128</v>
      </c>
      <c r="BC733" s="55">
        <f>AW733+AX733</f>
        <v>0</v>
      </c>
      <c r="BD733" s="55">
        <f>H733/(100-BE733)*100</f>
        <v>0</v>
      </c>
      <c r="BE733" s="55">
        <v>0</v>
      </c>
      <c r="BF733" s="55">
        <f>K733</f>
        <v>0.04</v>
      </c>
      <c r="BH733" s="55">
        <f>G733*AO733</f>
        <v>0</v>
      </c>
      <c r="BI733" s="55">
        <f>G733*AP733</f>
        <v>0</v>
      </c>
      <c r="BJ733" s="55">
        <f>G733*H733</f>
        <v>0</v>
      </c>
      <c r="BK733" s="55"/>
      <c r="BL733" s="55">
        <v>726</v>
      </c>
      <c r="BW733" s="55">
        <v>21</v>
      </c>
    </row>
    <row r="734" spans="1:12" ht="14.4">
      <c r="A734" s="59"/>
      <c r="D734" s="60" t="s">
        <v>136</v>
      </c>
      <c r="E734" s="60" t="s">
        <v>4</v>
      </c>
      <c r="G734" s="68">
        <v>4</v>
      </c>
      <c r="L734" s="69"/>
    </row>
    <row r="735" spans="1:75" ht="13.5" customHeight="1">
      <c r="A735" s="1" t="s">
        <v>1491</v>
      </c>
      <c r="B735" s="2" t="s">
        <v>116</v>
      </c>
      <c r="C735" s="2" t="s">
        <v>1492</v>
      </c>
      <c r="D735" s="147" t="s">
        <v>1493</v>
      </c>
      <c r="E735" s="148"/>
      <c r="F735" s="2" t="s">
        <v>1403</v>
      </c>
      <c r="G735" s="55">
        <v>2</v>
      </c>
      <c r="H735" s="56">
        <v>0</v>
      </c>
      <c r="I735" s="55">
        <f>G735*H735</f>
        <v>0</v>
      </c>
      <c r="J735" s="55">
        <v>0.014</v>
      </c>
      <c r="K735" s="55">
        <f>G735*J735</f>
        <v>0.028</v>
      </c>
      <c r="L735" s="57" t="s">
        <v>785</v>
      </c>
      <c r="Z735" s="55">
        <f>IF(AQ735="5",BJ735,0)</f>
        <v>0</v>
      </c>
      <c r="AB735" s="55">
        <f>IF(AQ735="1",BH735,0)</f>
        <v>0</v>
      </c>
      <c r="AC735" s="55">
        <f>IF(AQ735="1",BI735,0)</f>
        <v>0</v>
      </c>
      <c r="AD735" s="55">
        <f>IF(AQ735="7",BH735,0)</f>
        <v>0</v>
      </c>
      <c r="AE735" s="55">
        <f>IF(AQ735="7",BI735,0)</f>
        <v>0</v>
      </c>
      <c r="AF735" s="55">
        <f>IF(AQ735="2",BH735,0)</f>
        <v>0</v>
      </c>
      <c r="AG735" s="55">
        <f>IF(AQ735="2",BI735,0)</f>
        <v>0</v>
      </c>
      <c r="AH735" s="55">
        <f>IF(AQ735="0",BJ735,0)</f>
        <v>0</v>
      </c>
      <c r="AI735" s="34" t="s">
        <v>116</v>
      </c>
      <c r="AJ735" s="55">
        <f>IF(AN735=0,I735,0)</f>
        <v>0</v>
      </c>
      <c r="AK735" s="55">
        <f>IF(AN735=12,I735,0)</f>
        <v>0</v>
      </c>
      <c r="AL735" s="55">
        <f>IF(AN735=21,I735,0)</f>
        <v>0</v>
      </c>
      <c r="AN735" s="55">
        <v>21</v>
      </c>
      <c r="AO735" s="55">
        <f>H735*0.910785192</f>
        <v>0</v>
      </c>
      <c r="AP735" s="55">
        <f>H735*(1-0.910785192)</f>
        <v>0</v>
      </c>
      <c r="AQ735" s="58" t="s">
        <v>125</v>
      </c>
      <c r="AV735" s="55">
        <f>AW735+AX735</f>
        <v>0</v>
      </c>
      <c r="AW735" s="55">
        <f>G735*AO735</f>
        <v>0</v>
      </c>
      <c r="AX735" s="55">
        <f>G735*AP735</f>
        <v>0</v>
      </c>
      <c r="AY735" s="58" t="s">
        <v>1490</v>
      </c>
      <c r="AZ735" s="58" t="s">
        <v>1313</v>
      </c>
      <c r="BA735" s="34" t="s">
        <v>128</v>
      </c>
      <c r="BC735" s="55">
        <f>AW735+AX735</f>
        <v>0</v>
      </c>
      <c r="BD735" s="55">
        <f>H735/(100-BE735)*100</f>
        <v>0</v>
      </c>
      <c r="BE735" s="55">
        <v>0</v>
      </c>
      <c r="BF735" s="55">
        <f>K735</f>
        <v>0.028</v>
      </c>
      <c r="BH735" s="55">
        <f>G735*AO735</f>
        <v>0</v>
      </c>
      <c r="BI735" s="55">
        <f>G735*AP735</f>
        <v>0</v>
      </c>
      <c r="BJ735" s="55">
        <f>G735*H735</f>
        <v>0</v>
      </c>
      <c r="BK735" s="55"/>
      <c r="BL735" s="55">
        <v>726</v>
      </c>
      <c r="BW735" s="55">
        <v>21</v>
      </c>
    </row>
    <row r="736" spans="1:12" ht="13.5" customHeight="1">
      <c r="A736" s="59"/>
      <c r="D736" s="218" t="s">
        <v>1494</v>
      </c>
      <c r="E736" s="219"/>
      <c r="F736" s="219"/>
      <c r="G736" s="219"/>
      <c r="H736" s="220"/>
      <c r="I736" s="219"/>
      <c r="J736" s="219"/>
      <c r="K736" s="219"/>
      <c r="L736" s="221"/>
    </row>
    <row r="737" spans="1:12" ht="14.4">
      <c r="A737" s="59"/>
      <c r="D737" s="60" t="s">
        <v>130</v>
      </c>
      <c r="E737" s="60" t="s">
        <v>4</v>
      </c>
      <c r="G737" s="68">
        <v>2</v>
      </c>
      <c r="L737" s="69"/>
    </row>
    <row r="738" spans="1:75" ht="13.5" customHeight="1">
      <c r="A738" s="1" t="s">
        <v>1495</v>
      </c>
      <c r="B738" s="2" t="s">
        <v>116</v>
      </c>
      <c r="C738" s="2" t="s">
        <v>1496</v>
      </c>
      <c r="D738" s="147" t="s">
        <v>1497</v>
      </c>
      <c r="E738" s="148"/>
      <c r="F738" s="2" t="s">
        <v>1403</v>
      </c>
      <c r="G738" s="55">
        <v>1</v>
      </c>
      <c r="H738" s="56">
        <v>0</v>
      </c>
      <c r="I738" s="55">
        <f>G738*H738</f>
        <v>0</v>
      </c>
      <c r="J738" s="55">
        <v>0.012</v>
      </c>
      <c r="K738" s="55">
        <f>G738*J738</f>
        <v>0.012</v>
      </c>
      <c r="L738" s="57" t="s">
        <v>785</v>
      </c>
      <c r="Z738" s="55">
        <f>IF(AQ738="5",BJ738,0)</f>
        <v>0</v>
      </c>
      <c r="AB738" s="55">
        <f>IF(AQ738="1",BH738,0)</f>
        <v>0</v>
      </c>
      <c r="AC738" s="55">
        <f>IF(AQ738="1",BI738,0)</f>
        <v>0</v>
      </c>
      <c r="AD738" s="55">
        <f>IF(AQ738="7",BH738,0)</f>
        <v>0</v>
      </c>
      <c r="AE738" s="55">
        <f>IF(AQ738="7",BI738,0)</f>
        <v>0</v>
      </c>
      <c r="AF738" s="55">
        <f>IF(AQ738="2",BH738,0)</f>
        <v>0</v>
      </c>
      <c r="AG738" s="55">
        <f>IF(AQ738="2",BI738,0)</f>
        <v>0</v>
      </c>
      <c r="AH738" s="55">
        <f>IF(AQ738="0",BJ738,0)</f>
        <v>0</v>
      </c>
      <c r="AI738" s="34" t="s">
        <v>116</v>
      </c>
      <c r="AJ738" s="55">
        <f>IF(AN738=0,I738,0)</f>
        <v>0</v>
      </c>
      <c r="AK738" s="55">
        <f>IF(AN738=12,I738,0)</f>
        <v>0</v>
      </c>
      <c r="AL738" s="55">
        <f>IF(AN738=21,I738,0)</f>
        <v>0</v>
      </c>
      <c r="AN738" s="55">
        <v>21</v>
      </c>
      <c r="AO738" s="55">
        <f>H738*0.884759446</f>
        <v>0</v>
      </c>
      <c r="AP738" s="55">
        <f>H738*(1-0.884759446)</f>
        <v>0</v>
      </c>
      <c r="AQ738" s="58" t="s">
        <v>125</v>
      </c>
      <c r="AV738" s="55">
        <f>AW738+AX738</f>
        <v>0</v>
      </c>
      <c r="AW738" s="55">
        <f>G738*AO738</f>
        <v>0</v>
      </c>
      <c r="AX738" s="55">
        <f>G738*AP738</f>
        <v>0</v>
      </c>
      <c r="AY738" s="58" t="s">
        <v>1490</v>
      </c>
      <c r="AZ738" s="58" t="s">
        <v>1313</v>
      </c>
      <c r="BA738" s="34" t="s">
        <v>128</v>
      </c>
      <c r="BC738" s="55">
        <f>AW738+AX738</f>
        <v>0</v>
      </c>
      <c r="BD738" s="55">
        <f>H738/(100-BE738)*100</f>
        <v>0</v>
      </c>
      <c r="BE738" s="55">
        <v>0</v>
      </c>
      <c r="BF738" s="55">
        <f>K738</f>
        <v>0.012</v>
      </c>
      <c r="BH738" s="55">
        <f>G738*AO738</f>
        <v>0</v>
      </c>
      <c r="BI738" s="55">
        <f>G738*AP738</f>
        <v>0</v>
      </c>
      <c r="BJ738" s="55">
        <f>G738*H738</f>
        <v>0</v>
      </c>
      <c r="BK738" s="55"/>
      <c r="BL738" s="55">
        <v>726</v>
      </c>
      <c r="BW738" s="55">
        <v>21</v>
      </c>
    </row>
    <row r="739" spans="1:12" ht="14.4">
      <c r="A739" s="59"/>
      <c r="D739" s="60" t="s">
        <v>120</v>
      </c>
      <c r="E739" s="60" t="s">
        <v>4</v>
      </c>
      <c r="G739" s="68">
        <v>1</v>
      </c>
      <c r="L739" s="69"/>
    </row>
    <row r="740" spans="1:75" ht="13.5" customHeight="1">
      <c r="A740" s="1" t="s">
        <v>1498</v>
      </c>
      <c r="B740" s="2" t="s">
        <v>116</v>
      </c>
      <c r="C740" s="2" t="s">
        <v>1499</v>
      </c>
      <c r="D740" s="147" t="s">
        <v>1500</v>
      </c>
      <c r="E740" s="148"/>
      <c r="F740" s="2" t="s">
        <v>1403</v>
      </c>
      <c r="G740" s="55">
        <v>1</v>
      </c>
      <c r="H740" s="56">
        <v>0</v>
      </c>
      <c r="I740" s="55">
        <f>G740*H740</f>
        <v>0</v>
      </c>
      <c r="J740" s="55">
        <v>0.008</v>
      </c>
      <c r="K740" s="55">
        <f>G740*J740</f>
        <v>0.008</v>
      </c>
      <c r="L740" s="57" t="s">
        <v>785</v>
      </c>
      <c r="Z740" s="55">
        <f>IF(AQ740="5",BJ740,0)</f>
        <v>0</v>
      </c>
      <c r="AB740" s="55">
        <f>IF(AQ740="1",BH740,0)</f>
        <v>0</v>
      </c>
      <c r="AC740" s="55">
        <f>IF(AQ740="1",BI740,0)</f>
        <v>0</v>
      </c>
      <c r="AD740" s="55">
        <f>IF(AQ740="7",BH740,0)</f>
        <v>0</v>
      </c>
      <c r="AE740" s="55">
        <f>IF(AQ740="7",BI740,0)</f>
        <v>0</v>
      </c>
      <c r="AF740" s="55">
        <f>IF(AQ740="2",BH740,0)</f>
        <v>0</v>
      </c>
      <c r="AG740" s="55">
        <f>IF(AQ740="2",BI740,0)</f>
        <v>0</v>
      </c>
      <c r="AH740" s="55">
        <f>IF(AQ740="0",BJ740,0)</f>
        <v>0</v>
      </c>
      <c r="AI740" s="34" t="s">
        <v>116</v>
      </c>
      <c r="AJ740" s="55">
        <f>IF(AN740=0,I740,0)</f>
        <v>0</v>
      </c>
      <c r="AK740" s="55">
        <f>IF(AN740=12,I740,0)</f>
        <v>0</v>
      </c>
      <c r="AL740" s="55">
        <f>IF(AN740=21,I740,0)</f>
        <v>0</v>
      </c>
      <c r="AN740" s="55">
        <v>21</v>
      </c>
      <c r="AO740" s="55">
        <f>H740*0.857402597</f>
        <v>0</v>
      </c>
      <c r="AP740" s="55">
        <f>H740*(1-0.857402597)</f>
        <v>0</v>
      </c>
      <c r="AQ740" s="58" t="s">
        <v>125</v>
      </c>
      <c r="AV740" s="55">
        <f>AW740+AX740</f>
        <v>0</v>
      </c>
      <c r="AW740" s="55">
        <f>G740*AO740</f>
        <v>0</v>
      </c>
      <c r="AX740" s="55">
        <f>G740*AP740</f>
        <v>0</v>
      </c>
      <c r="AY740" s="58" t="s">
        <v>1490</v>
      </c>
      <c r="AZ740" s="58" t="s">
        <v>1313</v>
      </c>
      <c r="BA740" s="34" t="s">
        <v>128</v>
      </c>
      <c r="BC740" s="55">
        <f>AW740+AX740</f>
        <v>0</v>
      </c>
      <c r="BD740" s="55">
        <f>H740/(100-BE740)*100</f>
        <v>0</v>
      </c>
      <c r="BE740" s="55">
        <v>0</v>
      </c>
      <c r="BF740" s="55">
        <f>K740</f>
        <v>0.008</v>
      </c>
      <c r="BH740" s="55">
        <f>G740*AO740</f>
        <v>0</v>
      </c>
      <c r="BI740" s="55">
        <f>G740*AP740</f>
        <v>0</v>
      </c>
      <c r="BJ740" s="55">
        <f>G740*H740</f>
        <v>0</v>
      </c>
      <c r="BK740" s="55"/>
      <c r="BL740" s="55">
        <v>726</v>
      </c>
      <c r="BW740" s="55">
        <v>21</v>
      </c>
    </row>
    <row r="741" spans="1:12" ht="14.4">
      <c r="A741" s="59"/>
      <c r="D741" s="60" t="s">
        <v>120</v>
      </c>
      <c r="E741" s="60" t="s">
        <v>4</v>
      </c>
      <c r="G741" s="68">
        <v>1</v>
      </c>
      <c r="L741" s="69"/>
    </row>
    <row r="742" spans="1:75" ht="13.5" customHeight="1">
      <c r="A742" s="1" t="s">
        <v>1501</v>
      </c>
      <c r="B742" s="2" t="s">
        <v>116</v>
      </c>
      <c r="C742" s="2" t="s">
        <v>1502</v>
      </c>
      <c r="D742" s="147" t="s">
        <v>1503</v>
      </c>
      <c r="E742" s="148"/>
      <c r="F742" s="2" t="s">
        <v>1403</v>
      </c>
      <c r="G742" s="55">
        <v>4</v>
      </c>
      <c r="H742" s="56">
        <v>0</v>
      </c>
      <c r="I742" s="55">
        <f>G742*H742</f>
        <v>0</v>
      </c>
      <c r="J742" s="55">
        <v>0.018</v>
      </c>
      <c r="K742" s="55">
        <f>G742*J742</f>
        <v>0.072</v>
      </c>
      <c r="L742" s="57" t="s">
        <v>785</v>
      </c>
      <c r="Z742" s="55">
        <f>IF(AQ742="5",BJ742,0)</f>
        <v>0</v>
      </c>
      <c r="AB742" s="55">
        <f>IF(AQ742="1",BH742,0)</f>
        <v>0</v>
      </c>
      <c r="AC742" s="55">
        <f>IF(AQ742="1",BI742,0)</f>
        <v>0</v>
      </c>
      <c r="AD742" s="55">
        <f>IF(AQ742="7",BH742,0)</f>
        <v>0</v>
      </c>
      <c r="AE742" s="55">
        <f>IF(AQ742="7",BI742,0)</f>
        <v>0</v>
      </c>
      <c r="AF742" s="55">
        <f>IF(AQ742="2",BH742,0)</f>
        <v>0</v>
      </c>
      <c r="AG742" s="55">
        <f>IF(AQ742="2",BI742,0)</f>
        <v>0</v>
      </c>
      <c r="AH742" s="55">
        <f>IF(AQ742="0",BJ742,0)</f>
        <v>0</v>
      </c>
      <c r="AI742" s="34" t="s">
        <v>116</v>
      </c>
      <c r="AJ742" s="55">
        <f>IF(AN742=0,I742,0)</f>
        <v>0</v>
      </c>
      <c r="AK742" s="55">
        <f>IF(AN742=12,I742,0)</f>
        <v>0</v>
      </c>
      <c r="AL742" s="55">
        <f>IF(AN742=21,I742,0)</f>
        <v>0</v>
      </c>
      <c r="AN742" s="55">
        <v>21</v>
      </c>
      <c r="AO742" s="55">
        <f>H742*0.932654852</f>
        <v>0</v>
      </c>
      <c r="AP742" s="55">
        <f>H742*(1-0.932654852)</f>
        <v>0</v>
      </c>
      <c r="AQ742" s="58" t="s">
        <v>125</v>
      </c>
      <c r="AV742" s="55">
        <f>AW742+AX742</f>
        <v>0</v>
      </c>
      <c r="AW742" s="55">
        <f>G742*AO742</f>
        <v>0</v>
      </c>
      <c r="AX742" s="55">
        <f>G742*AP742</f>
        <v>0</v>
      </c>
      <c r="AY742" s="58" t="s">
        <v>1490</v>
      </c>
      <c r="AZ742" s="58" t="s">
        <v>1313</v>
      </c>
      <c r="BA742" s="34" t="s">
        <v>128</v>
      </c>
      <c r="BC742" s="55">
        <f>AW742+AX742</f>
        <v>0</v>
      </c>
      <c r="BD742" s="55">
        <f>H742/(100-BE742)*100</f>
        <v>0</v>
      </c>
      <c r="BE742" s="55">
        <v>0</v>
      </c>
      <c r="BF742" s="55">
        <f>K742</f>
        <v>0.072</v>
      </c>
      <c r="BH742" s="55">
        <f>G742*AO742</f>
        <v>0</v>
      </c>
      <c r="BI742" s="55">
        <f>G742*AP742</f>
        <v>0</v>
      </c>
      <c r="BJ742" s="55">
        <f>G742*H742</f>
        <v>0</v>
      </c>
      <c r="BK742" s="55"/>
      <c r="BL742" s="55">
        <v>726</v>
      </c>
      <c r="BW742" s="55">
        <v>21</v>
      </c>
    </row>
    <row r="743" spans="1:12" ht="14.4">
      <c r="A743" s="59"/>
      <c r="D743" s="60" t="s">
        <v>136</v>
      </c>
      <c r="E743" s="60" t="s">
        <v>4</v>
      </c>
      <c r="G743" s="68">
        <v>4</v>
      </c>
      <c r="L743" s="69"/>
    </row>
    <row r="744" spans="1:75" ht="13.5" customHeight="1">
      <c r="A744" s="1" t="s">
        <v>1504</v>
      </c>
      <c r="B744" s="2" t="s">
        <v>116</v>
      </c>
      <c r="C744" s="2" t="s">
        <v>1505</v>
      </c>
      <c r="D744" s="147" t="s">
        <v>1506</v>
      </c>
      <c r="E744" s="148"/>
      <c r="F744" s="2" t="s">
        <v>939</v>
      </c>
      <c r="G744" s="55">
        <v>0.16</v>
      </c>
      <c r="H744" s="56">
        <v>0</v>
      </c>
      <c r="I744" s="55">
        <f>G744*H744</f>
        <v>0</v>
      </c>
      <c r="J744" s="55">
        <v>0</v>
      </c>
      <c r="K744" s="55">
        <f>G744*J744</f>
        <v>0</v>
      </c>
      <c r="L744" s="57" t="s">
        <v>785</v>
      </c>
      <c r="Z744" s="55">
        <f>IF(AQ744="5",BJ744,0)</f>
        <v>0</v>
      </c>
      <c r="AB744" s="55">
        <f>IF(AQ744="1",BH744,0)</f>
        <v>0</v>
      </c>
      <c r="AC744" s="55">
        <f>IF(AQ744="1",BI744,0)</f>
        <v>0</v>
      </c>
      <c r="AD744" s="55">
        <f>IF(AQ744="7",BH744,0)</f>
        <v>0</v>
      </c>
      <c r="AE744" s="55">
        <f>IF(AQ744="7",BI744,0)</f>
        <v>0</v>
      </c>
      <c r="AF744" s="55">
        <f>IF(AQ744="2",BH744,0)</f>
        <v>0</v>
      </c>
      <c r="AG744" s="55">
        <f>IF(AQ744="2",BI744,0)</f>
        <v>0</v>
      </c>
      <c r="AH744" s="55">
        <f>IF(AQ744="0",BJ744,0)</f>
        <v>0</v>
      </c>
      <c r="AI744" s="34" t="s">
        <v>116</v>
      </c>
      <c r="AJ744" s="55">
        <f>IF(AN744=0,I744,0)</f>
        <v>0</v>
      </c>
      <c r="AK744" s="55">
        <f>IF(AN744=12,I744,0)</f>
        <v>0</v>
      </c>
      <c r="AL744" s="55">
        <f>IF(AN744=21,I744,0)</f>
        <v>0</v>
      </c>
      <c r="AN744" s="55">
        <v>21</v>
      </c>
      <c r="AO744" s="55">
        <f>H744*0</f>
        <v>0</v>
      </c>
      <c r="AP744" s="55">
        <f>H744*(1-0)</f>
        <v>0</v>
      </c>
      <c r="AQ744" s="58" t="s">
        <v>139</v>
      </c>
      <c r="AV744" s="55">
        <f>AW744+AX744</f>
        <v>0</v>
      </c>
      <c r="AW744" s="55">
        <f>G744*AO744</f>
        <v>0</v>
      </c>
      <c r="AX744" s="55">
        <f>G744*AP744</f>
        <v>0</v>
      </c>
      <c r="AY744" s="58" t="s">
        <v>1490</v>
      </c>
      <c r="AZ744" s="58" t="s">
        <v>1313</v>
      </c>
      <c r="BA744" s="34" t="s">
        <v>128</v>
      </c>
      <c r="BB744" s="67">
        <v>100052</v>
      </c>
      <c r="BC744" s="55">
        <f>AW744+AX744</f>
        <v>0</v>
      </c>
      <c r="BD744" s="55">
        <f>H744/(100-BE744)*100</f>
        <v>0</v>
      </c>
      <c r="BE744" s="55">
        <v>0</v>
      </c>
      <c r="BF744" s="55">
        <f>K744</f>
        <v>0</v>
      </c>
      <c r="BH744" s="55">
        <f>G744*AO744</f>
        <v>0</v>
      </c>
      <c r="BI744" s="55">
        <f>G744*AP744</f>
        <v>0</v>
      </c>
      <c r="BJ744" s="55">
        <f>G744*H744</f>
        <v>0</v>
      </c>
      <c r="BK744" s="55"/>
      <c r="BL744" s="55">
        <v>726</v>
      </c>
      <c r="BW744" s="55">
        <v>21</v>
      </c>
    </row>
    <row r="745" spans="1:12" ht="14.4">
      <c r="A745" s="59"/>
      <c r="D745" s="60" t="s">
        <v>1507</v>
      </c>
      <c r="E745" s="60" t="s">
        <v>4</v>
      </c>
      <c r="G745" s="68">
        <v>0.16</v>
      </c>
      <c r="L745" s="69"/>
    </row>
    <row r="746" spans="1:47" ht="14.4">
      <c r="A746" s="50" t="s">
        <v>4</v>
      </c>
      <c r="B746" s="51" t="s">
        <v>116</v>
      </c>
      <c r="C746" s="51" t="s">
        <v>1508</v>
      </c>
      <c r="D746" s="222" t="s">
        <v>370</v>
      </c>
      <c r="E746" s="223"/>
      <c r="F746" s="52" t="s">
        <v>79</v>
      </c>
      <c r="G746" s="52" t="s">
        <v>79</v>
      </c>
      <c r="H746" s="53" t="s">
        <v>79</v>
      </c>
      <c r="I746" s="27">
        <f>SUM(I747:I751)</f>
        <v>0</v>
      </c>
      <c r="J746" s="34" t="s">
        <v>4</v>
      </c>
      <c r="K746" s="27">
        <f>SUM(K747:K751)</f>
        <v>0.003</v>
      </c>
      <c r="L746" s="54" t="s">
        <v>4</v>
      </c>
      <c r="AI746" s="34" t="s">
        <v>116</v>
      </c>
      <c r="AS746" s="27">
        <f>SUM(AJ747:AJ751)</f>
        <v>0</v>
      </c>
      <c r="AT746" s="27">
        <f>SUM(AK747:AK751)</f>
        <v>0</v>
      </c>
      <c r="AU746" s="27">
        <f>SUM(AL747:AL751)</f>
        <v>0</v>
      </c>
    </row>
    <row r="747" spans="1:75" ht="13.5" customHeight="1">
      <c r="A747" s="1" t="s">
        <v>1509</v>
      </c>
      <c r="B747" s="2" t="s">
        <v>116</v>
      </c>
      <c r="C747" s="2" t="s">
        <v>1510</v>
      </c>
      <c r="D747" s="147" t="s">
        <v>1511</v>
      </c>
      <c r="E747" s="148"/>
      <c r="F747" s="2" t="s">
        <v>374</v>
      </c>
      <c r="G747" s="55">
        <v>0</v>
      </c>
      <c r="H747" s="56">
        <v>0</v>
      </c>
      <c r="I747" s="55">
        <f>G747*H747</f>
        <v>0</v>
      </c>
      <c r="J747" s="55">
        <v>0</v>
      </c>
      <c r="K747" s="55">
        <f>G747*J747</f>
        <v>0</v>
      </c>
      <c r="L747" s="57" t="s">
        <v>785</v>
      </c>
      <c r="Z747" s="55">
        <f>IF(AQ747="5",BJ747,0)</f>
        <v>0</v>
      </c>
      <c r="AB747" s="55">
        <f>IF(AQ747="1",BH747,0)</f>
        <v>0</v>
      </c>
      <c r="AC747" s="55">
        <f>IF(AQ747="1",BI747,0)</f>
        <v>0</v>
      </c>
      <c r="AD747" s="55">
        <f>IF(AQ747="7",BH747,0)</f>
        <v>0</v>
      </c>
      <c r="AE747" s="55">
        <f>IF(AQ747="7",BI747,0)</f>
        <v>0</v>
      </c>
      <c r="AF747" s="55">
        <f>IF(AQ747="2",BH747,0)</f>
        <v>0</v>
      </c>
      <c r="AG747" s="55">
        <f>IF(AQ747="2",BI747,0)</f>
        <v>0</v>
      </c>
      <c r="AH747" s="55">
        <f>IF(AQ747="0",BJ747,0)</f>
        <v>0</v>
      </c>
      <c r="AI747" s="34" t="s">
        <v>116</v>
      </c>
      <c r="AJ747" s="55">
        <f>IF(AN747=0,I747,0)</f>
        <v>0</v>
      </c>
      <c r="AK747" s="55">
        <f>IF(AN747=12,I747,0)</f>
        <v>0</v>
      </c>
      <c r="AL747" s="55">
        <f>IF(AN747=21,I747,0)</f>
        <v>0</v>
      </c>
      <c r="AN747" s="55">
        <v>21</v>
      </c>
      <c r="AO747" s="55">
        <f>H747*0</f>
        <v>0</v>
      </c>
      <c r="AP747" s="55">
        <f>H747*(1-0)</f>
        <v>0</v>
      </c>
      <c r="AQ747" s="58" t="s">
        <v>125</v>
      </c>
      <c r="AV747" s="55">
        <f>AW747+AX747</f>
        <v>0</v>
      </c>
      <c r="AW747" s="55">
        <f>G747*AO747</f>
        <v>0</v>
      </c>
      <c r="AX747" s="55">
        <f>G747*AP747</f>
        <v>0</v>
      </c>
      <c r="AY747" s="58" t="s">
        <v>1512</v>
      </c>
      <c r="AZ747" s="58" t="s">
        <v>1313</v>
      </c>
      <c r="BA747" s="34" t="s">
        <v>128</v>
      </c>
      <c r="BC747" s="55">
        <f>AW747+AX747</f>
        <v>0</v>
      </c>
      <c r="BD747" s="55">
        <f>H747/(100-BE747)*100</f>
        <v>0</v>
      </c>
      <c r="BE747" s="55">
        <v>0</v>
      </c>
      <c r="BF747" s="55">
        <f>K747</f>
        <v>0</v>
      </c>
      <c r="BH747" s="55">
        <f>G747*AO747</f>
        <v>0</v>
      </c>
      <c r="BI747" s="55">
        <f>G747*AP747</f>
        <v>0</v>
      </c>
      <c r="BJ747" s="55">
        <f>G747*H747</f>
        <v>0</v>
      </c>
      <c r="BK747" s="55"/>
      <c r="BL747" s="55">
        <v>728</v>
      </c>
      <c r="BW747" s="55">
        <v>21</v>
      </c>
    </row>
    <row r="748" spans="1:12" ht="13.5" customHeight="1">
      <c r="A748" s="59"/>
      <c r="D748" s="218" t="s">
        <v>1513</v>
      </c>
      <c r="E748" s="219"/>
      <c r="F748" s="219"/>
      <c r="G748" s="219"/>
      <c r="H748" s="220"/>
      <c r="I748" s="219"/>
      <c r="J748" s="219"/>
      <c r="K748" s="219"/>
      <c r="L748" s="221"/>
    </row>
    <row r="749" spans="1:75" ht="27" customHeight="1">
      <c r="A749" s="61" t="s">
        <v>1514</v>
      </c>
      <c r="B749" s="62" t="s">
        <v>116</v>
      </c>
      <c r="C749" s="62" t="s">
        <v>1515</v>
      </c>
      <c r="D749" s="224" t="s">
        <v>1516</v>
      </c>
      <c r="E749" s="225"/>
      <c r="F749" s="62" t="s">
        <v>374</v>
      </c>
      <c r="G749" s="63">
        <v>1</v>
      </c>
      <c r="H749" s="64">
        <v>0</v>
      </c>
      <c r="I749" s="63">
        <f>G749*H749</f>
        <v>0</v>
      </c>
      <c r="J749" s="63">
        <v>0.003</v>
      </c>
      <c r="K749" s="63">
        <f>G749*J749</f>
        <v>0.003</v>
      </c>
      <c r="L749" s="65" t="s">
        <v>124</v>
      </c>
      <c r="Z749" s="55">
        <f>IF(AQ749="5",BJ749,0)</f>
        <v>0</v>
      </c>
      <c r="AB749" s="55">
        <f>IF(AQ749="1",BH749,0)</f>
        <v>0</v>
      </c>
      <c r="AC749" s="55">
        <f>IF(AQ749="1",BI749,0)</f>
        <v>0</v>
      </c>
      <c r="AD749" s="55">
        <f>IF(AQ749="7",BH749,0)</f>
        <v>0</v>
      </c>
      <c r="AE749" s="55">
        <f>IF(AQ749="7",BI749,0)</f>
        <v>0</v>
      </c>
      <c r="AF749" s="55">
        <f>IF(AQ749="2",BH749,0)</f>
        <v>0</v>
      </c>
      <c r="AG749" s="55">
        <f>IF(AQ749="2",BI749,0)</f>
        <v>0</v>
      </c>
      <c r="AH749" s="55">
        <f>IF(AQ749="0",BJ749,0)</f>
        <v>0</v>
      </c>
      <c r="AI749" s="34" t="s">
        <v>116</v>
      </c>
      <c r="AJ749" s="63">
        <f>IF(AN749=0,I749,0)</f>
        <v>0</v>
      </c>
      <c r="AK749" s="63">
        <f>IF(AN749=12,I749,0)</f>
        <v>0</v>
      </c>
      <c r="AL749" s="63">
        <f>IF(AN749=21,I749,0)</f>
        <v>0</v>
      </c>
      <c r="AN749" s="55">
        <v>21</v>
      </c>
      <c r="AO749" s="55">
        <f>H749*1</f>
        <v>0</v>
      </c>
      <c r="AP749" s="55">
        <f>H749*(1-1)</f>
        <v>0</v>
      </c>
      <c r="AQ749" s="66" t="s">
        <v>125</v>
      </c>
      <c r="AV749" s="55">
        <f>AW749+AX749</f>
        <v>0</v>
      </c>
      <c r="AW749" s="55">
        <f>G749*AO749</f>
        <v>0</v>
      </c>
      <c r="AX749" s="55">
        <f>G749*AP749</f>
        <v>0</v>
      </c>
      <c r="AY749" s="58" t="s">
        <v>1512</v>
      </c>
      <c r="AZ749" s="58" t="s">
        <v>1313</v>
      </c>
      <c r="BA749" s="34" t="s">
        <v>128</v>
      </c>
      <c r="BC749" s="55">
        <f>AW749+AX749</f>
        <v>0</v>
      </c>
      <c r="BD749" s="55">
        <f>H749/(100-BE749)*100</f>
        <v>0</v>
      </c>
      <c r="BE749" s="55">
        <v>0</v>
      </c>
      <c r="BF749" s="55">
        <f>K749</f>
        <v>0.003</v>
      </c>
      <c r="BH749" s="63">
        <f>G749*AO749</f>
        <v>0</v>
      </c>
      <c r="BI749" s="63">
        <f>G749*AP749</f>
        <v>0</v>
      </c>
      <c r="BJ749" s="63">
        <f>G749*H749</f>
        <v>0</v>
      </c>
      <c r="BK749" s="63"/>
      <c r="BL749" s="55">
        <v>728</v>
      </c>
      <c r="BW749" s="55">
        <v>21</v>
      </c>
    </row>
    <row r="750" spans="1:12" ht="14.4">
      <c r="A750" s="59"/>
      <c r="D750" s="60" t="s">
        <v>120</v>
      </c>
      <c r="E750" s="60" t="s">
        <v>4</v>
      </c>
      <c r="G750" s="68">
        <v>1</v>
      </c>
      <c r="L750" s="69"/>
    </row>
    <row r="751" spans="1:75" ht="13.5" customHeight="1">
      <c r="A751" s="1" t="s">
        <v>1517</v>
      </c>
      <c r="B751" s="2" t="s">
        <v>116</v>
      </c>
      <c r="C751" s="2" t="s">
        <v>1518</v>
      </c>
      <c r="D751" s="147" t="s">
        <v>1519</v>
      </c>
      <c r="E751" s="148"/>
      <c r="F751" s="2" t="s">
        <v>939</v>
      </c>
      <c r="G751" s="55">
        <v>0.01</v>
      </c>
      <c r="H751" s="56">
        <v>0</v>
      </c>
      <c r="I751" s="55">
        <f>G751*H751</f>
        <v>0</v>
      </c>
      <c r="J751" s="55">
        <v>0</v>
      </c>
      <c r="K751" s="55">
        <f>G751*J751</f>
        <v>0</v>
      </c>
      <c r="L751" s="57" t="s">
        <v>785</v>
      </c>
      <c r="Z751" s="55">
        <f>IF(AQ751="5",BJ751,0)</f>
        <v>0</v>
      </c>
      <c r="AB751" s="55">
        <f>IF(AQ751="1",BH751,0)</f>
        <v>0</v>
      </c>
      <c r="AC751" s="55">
        <f>IF(AQ751="1",BI751,0)</f>
        <v>0</v>
      </c>
      <c r="AD751" s="55">
        <f>IF(AQ751="7",BH751,0)</f>
        <v>0</v>
      </c>
      <c r="AE751" s="55">
        <f>IF(AQ751="7",BI751,0)</f>
        <v>0</v>
      </c>
      <c r="AF751" s="55">
        <f>IF(AQ751="2",BH751,0)</f>
        <v>0</v>
      </c>
      <c r="AG751" s="55">
        <f>IF(AQ751="2",BI751,0)</f>
        <v>0</v>
      </c>
      <c r="AH751" s="55">
        <f>IF(AQ751="0",BJ751,0)</f>
        <v>0</v>
      </c>
      <c r="AI751" s="34" t="s">
        <v>116</v>
      </c>
      <c r="AJ751" s="55">
        <f>IF(AN751=0,I751,0)</f>
        <v>0</v>
      </c>
      <c r="AK751" s="55">
        <f>IF(AN751=12,I751,0)</f>
        <v>0</v>
      </c>
      <c r="AL751" s="55">
        <f>IF(AN751=21,I751,0)</f>
        <v>0</v>
      </c>
      <c r="AN751" s="55">
        <v>21</v>
      </c>
      <c r="AO751" s="55">
        <f>H751*0</f>
        <v>0</v>
      </c>
      <c r="AP751" s="55">
        <f>H751*(1-0)</f>
        <v>0</v>
      </c>
      <c r="AQ751" s="58" t="s">
        <v>139</v>
      </c>
      <c r="AV751" s="55">
        <f>AW751+AX751</f>
        <v>0</v>
      </c>
      <c r="AW751" s="55">
        <f>G751*AO751</f>
        <v>0</v>
      </c>
      <c r="AX751" s="55">
        <f>G751*AP751</f>
        <v>0</v>
      </c>
      <c r="AY751" s="58" t="s">
        <v>1512</v>
      </c>
      <c r="AZ751" s="58" t="s">
        <v>1313</v>
      </c>
      <c r="BA751" s="34" t="s">
        <v>128</v>
      </c>
      <c r="BB751" s="67">
        <v>100051</v>
      </c>
      <c r="BC751" s="55">
        <f>AW751+AX751</f>
        <v>0</v>
      </c>
      <c r="BD751" s="55">
        <f>H751/(100-BE751)*100</f>
        <v>0</v>
      </c>
      <c r="BE751" s="55">
        <v>0</v>
      </c>
      <c r="BF751" s="55">
        <f>K751</f>
        <v>0</v>
      </c>
      <c r="BH751" s="55">
        <f>G751*AO751</f>
        <v>0</v>
      </c>
      <c r="BI751" s="55">
        <f>G751*AP751</f>
        <v>0</v>
      </c>
      <c r="BJ751" s="55">
        <f>G751*H751</f>
        <v>0</v>
      </c>
      <c r="BK751" s="55"/>
      <c r="BL751" s="55">
        <v>728</v>
      </c>
      <c r="BW751" s="55">
        <v>21</v>
      </c>
    </row>
    <row r="752" spans="1:12" ht="14.4">
      <c r="A752" s="59"/>
      <c r="D752" s="60" t="s">
        <v>1520</v>
      </c>
      <c r="E752" s="60" t="s">
        <v>4</v>
      </c>
      <c r="G752" s="68">
        <v>0.01</v>
      </c>
      <c r="L752" s="69"/>
    </row>
    <row r="753" spans="1:47" ht="14.4">
      <c r="A753" s="50" t="s">
        <v>4</v>
      </c>
      <c r="B753" s="51" t="s">
        <v>116</v>
      </c>
      <c r="C753" s="51" t="s">
        <v>1521</v>
      </c>
      <c r="D753" s="222" t="s">
        <v>1522</v>
      </c>
      <c r="E753" s="223"/>
      <c r="F753" s="52" t="s">
        <v>79</v>
      </c>
      <c r="G753" s="52" t="s">
        <v>79</v>
      </c>
      <c r="H753" s="53" t="s">
        <v>79</v>
      </c>
      <c r="I753" s="27">
        <f>SUM(I754:I756)</f>
        <v>0</v>
      </c>
      <c r="J753" s="34" t="s">
        <v>4</v>
      </c>
      <c r="K753" s="27">
        <f>SUM(K754:K756)</f>
        <v>0</v>
      </c>
      <c r="L753" s="54" t="s">
        <v>4</v>
      </c>
      <c r="AI753" s="34" t="s">
        <v>116</v>
      </c>
      <c r="AS753" s="27">
        <f>SUM(AJ754:AJ756)</f>
        <v>0</v>
      </c>
      <c r="AT753" s="27">
        <f>SUM(AK754:AK756)</f>
        <v>0</v>
      </c>
      <c r="AU753" s="27">
        <f>SUM(AL754:AL756)</f>
        <v>0</v>
      </c>
    </row>
    <row r="754" spans="1:75" ht="13.5" customHeight="1">
      <c r="A754" s="1" t="s">
        <v>1523</v>
      </c>
      <c r="B754" s="2" t="s">
        <v>116</v>
      </c>
      <c r="C754" s="2" t="s">
        <v>1524</v>
      </c>
      <c r="D754" s="147" t="s">
        <v>1525</v>
      </c>
      <c r="E754" s="148"/>
      <c r="F754" s="2" t="s">
        <v>360</v>
      </c>
      <c r="G754" s="55">
        <v>36</v>
      </c>
      <c r="H754" s="56">
        <v>0</v>
      </c>
      <c r="I754" s="55">
        <f>G754*H754</f>
        <v>0</v>
      </c>
      <c r="J754" s="55">
        <v>0</v>
      </c>
      <c r="K754" s="55">
        <f>G754*J754</f>
        <v>0</v>
      </c>
      <c r="L754" s="57" t="s">
        <v>124</v>
      </c>
      <c r="Z754" s="55">
        <f>IF(AQ754="5",BJ754,0)</f>
        <v>0</v>
      </c>
      <c r="AB754" s="55">
        <f>IF(AQ754="1",BH754,0)</f>
        <v>0</v>
      </c>
      <c r="AC754" s="55">
        <f>IF(AQ754="1",BI754,0)</f>
        <v>0</v>
      </c>
      <c r="AD754" s="55">
        <f>IF(AQ754="7",BH754,0)</f>
        <v>0</v>
      </c>
      <c r="AE754" s="55">
        <f>IF(AQ754="7",BI754,0)</f>
        <v>0</v>
      </c>
      <c r="AF754" s="55">
        <f>IF(AQ754="2",BH754,0)</f>
        <v>0</v>
      </c>
      <c r="AG754" s="55">
        <f>IF(AQ754="2",BI754,0)</f>
        <v>0</v>
      </c>
      <c r="AH754" s="55">
        <f>IF(AQ754="0",BJ754,0)</f>
        <v>0</v>
      </c>
      <c r="AI754" s="34" t="s">
        <v>116</v>
      </c>
      <c r="AJ754" s="55">
        <f>IF(AN754=0,I754,0)</f>
        <v>0</v>
      </c>
      <c r="AK754" s="55">
        <f>IF(AN754=12,I754,0)</f>
        <v>0</v>
      </c>
      <c r="AL754" s="55">
        <f>IF(AN754=21,I754,0)</f>
        <v>0</v>
      </c>
      <c r="AN754" s="55">
        <v>21</v>
      </c>
      <c r="AO754" s="55">
        <f>H754*0</f>
        <v>0</v>
      </c>
      <c r="AP754" s="55">
        <f>H754*(1-0)</f>
        <v>0</v>
      </c>
      <c r="AQ754" s="58" t="s">
        <v>125</v>
      </c>
      <c r="AV754" s="55">
        <f>AW754+AX754</f>
        <v>0</v>
      </c>
      <c r="AW754" s="55">
        <f>G754*AO754</f>
        <v>0</v>
      </c>
      <c r="AX754" s="55">
        <f>G754*AP754</f>
        <v>0</v>
      </c>
      <c r="AY754" s="58" t="s">
        <v>1526</v>
      </c>
      <c r="AZ754" s="58" t="s">
        <v>1527</v>
      </c>
      <c r="BA754" s="34" t="s">
        <v>128</v>
      </c>
      <c r="BC754" s="55">
        <f>AW754+AX754</f>
        <v>0</v>
      </c>
      <c r="BD754" s="55">
        <f>H754/(100-BE754)*100</f>
        <v>0</v>
      </c>
      <c r="BE754" s="55">
        <v>0</v>
      </c>
      <c r="BF754" s="55">
        <f>K754</f>
        <v>0</v>
      </c>
      <c r="BH754" s="55">
        <f>G754*AO754</f>
        <v>0</v>
      </c>
      <c r="BI754" s="55">
        <f>G754*AP754</f>
        <v>0</v>
      </c>
      <c r="BJ754" s="55">
        <f>G754*H754</f>
        <v>0</v>
      </c>
      <c r="BK754" s="55"/>
      <c r="BL754" s="55">
        <v>730</v>
      </c>
      <c r="BW754" s="55">
        <v>21</v>
      </c>
    </row>
    <row r="755" spans="1:75" ht="13.5" customHeight="1">
      <c r="A755" s="1" t="s">
        <v>1528</v>
      </c>
      <c r="B755" s="2" t="s">
        <v>116</v>
      </c>
      <c r="C755" s="2" t="s">
        <v>364</v>
      </c>
      <c r="D755" s="147" t="s">
        <v>365</v>
      </c>
      <c r="E755" s="148"/>
      <c r="F755" s="2" t="s">
        <v>360</v>
      </c>
      <c r="G755" s="55">
        <v>12</v>
      </c>
      <c r="H755" s="56">
        <v>0</v>
      </c>
      <c r="I755" s="55">
        <f>G755*H755</f>
        <v>0</v>
      </c>
      <c r="J755" s="55">
        <v>0</v>
      </c>
      <c r="K755" s="55">
        <f>G755*J755</f>
        <v>0</v>
      </c>
      <c r="L755" s="57" t="s">
        <v>124</v>
      </c>
      <c r="Z755" s="55">
        <f>IF(AQ755="5",BJ755,0)</f>
        <v>0</v>
      </c>
      <c r="AB755" s="55">
        <f>IF(AQ755="1",BH755,0)</f>
        <v>0</v>
      </c>
      <c r="AC755" s="55">
        <f>IF(AQ755="1",BI755,0)</f>
        <v>0</v>
      </c>
      <c r="AD755" s="55">
        <f>IF(AQ755="7",BH755,0)</f>
        <v>0</v>
      </c>
      <c r="AE755" s="55">
        <f>IF(AQ755="7",BI755,0)</f>
        <v>0</v>
      </c>
      <c r="AF755" s="55">
        <f>IF(AQ755="2",BH755,0)</f>
        <v>0</v>
      </c>
      <c r="AG755" s="55">
        <f>IF(AQ755="2",BI755,0)</f>
        <v>0</v>
      </c>
      <c r="AH755" s="55">
        <f>IF(AQ755="0",BJ755,0)</f>
        <v>0</v>
      </c>
      <c r="AI755" s="34" t="s">
        <v>116</v>
      </c>
      <c r="AJ755" s="55">
        <f>IF(AN755=0,I755,0)</f>
        <v>0</v>
      </c>
      <c r="AK755" s="55">
        <f>IF(AN755=12,I755,0)</f>
        <v>0</v>
      </c>
      <c r="AL755" s="55">
        <f>IF(AN755=21,I755,0)</f>
        <v>0</v>
      </c>
      <c r="AN755" s="55">
        <v>21</v>
      </c>
      <c r="AO755" s="55">
        <f>H755*0</f>
        <v>0</v>
      </c>
      <c r="AP755" s="55">
        <f>H755*(1-0)</f>
        <v>0</v>
      </c>
      <c r="AQ755" s="58" t="s">
        <v>125</v>
      </c>
      <c r="AV755" s="55">
        <f>AW755+AX755</f>
        <v>0</v>
      </c>
      <c r="AW755" s="55">
        <f>G755*AO755</f>
        <v>0</v>
      </c>
      <c r="AX755" s="55">
        <f>G755*AP755</f>
        <v>0</v>
      </c>
      <c r="AY755" s="58" t="s">
        <v>1526</v>
      </c>
      <c r="AZ755" s="58" t="s">
        <v>1527</v>
      </c>
      <c r="BA755" s="34" t="s">
        <v>128</v>
      </c>
      <c r="BC755" s="55">
        <f>AW755+AX755</f>
        <v>0</v>
      </c>
      <c r="BD755" s="55">
        <f>H755/(100-BE755)*100</f>
        <v>0</v>
      </c>
      <c r="BE755" s="55">
        <v>0</v>
      </c>
      <c r="BF755" s="55">
        <f>K755</f>
        <v>0</v>
      </c>
      <c r="BH755" s="55">
        <f>G755*AO755</f>
        <v>0</v>
      </c>
      <c r="BI755" s="55">
        <f>G755*AP755</f>
        <v>0</v>
      </c>
      <c r="BJ755" s="55">
        <f>G755*H755</f>
        <v>0</v>
      </c>
      <c r="BK755" s="55"/>
      <c r="BL755" s="55">
        <v>730</v>
      </c>
      <c r="BW755" s="55">
        <v>21</v>
      </c>
    </row>
    <row r="756" spans="1:75" ht="13.5" customHeight="1">
      <c r="A756" s="1" t="s">
        <v>1529</v>
      </c>
      <c r="B756" s="2" t="s">
        <v>116</v>
      </c>
      <c r="C756" s="2" t="s">
        <v>1530</v>
      </c>
      <c r="D756" s="147" t="s">
        <v>1531</v>
      </c>
      <c r="E756" s="148"/>
      <c r="F756" s="2" t="s">
        <v>360</v>
      </c>
      <c r="G756" s="55">
        <v>24</v>
      </c>
      <c r="H756" s="56">
        <v>0</v>
      </c>
      <c r="I756" s="55">
        <f>G756*H756</f>
        <v>0</v>
      </c>
      <c r="J756" s="55">
        <v>0</v>
      </c>
      <c r="K756" s="55">
        <f>G756*J756</f>
        <v>0</v>
      </c>
      <c r="L756" s="57" t="s">
        <v>124</v>
      </c>
      <c r="Z756" s="55">
        <f>IF(AQ756="5",BJ756,0)</f>
        <v>0</v>
      </c>
      <c r="AB756" s="55">
        <f>IF(AQ756="1",BH756,0)</f>
        <v>0</v>
      </c>
      <c r="AC756" s="55">
        <f>IF(AQ756="1",BI756,0)</f>
        <v>0</v>
      </c>
      <c r="AD756" s="55">
        <f>IF(AQ756="7",BH756,0)</f>
        <v>0</v>
      </c>
      <c r="AE756" s="55">
        <f>IF(AQ756="7",BI756,0)</f>
        <v>0</v>
      </c>
      <c r="AF756" s="55">
        <f>IF(AQ756="2",BH756,0)</f>
        <v>0</v>
      </c>
      <c r="AG756" s="55">
        <f>IF(AQ756="2",BI756,0)</f>
        <v>0</v>
      </c>
      <c r="AH756" s="55">
        <f>IF(AQ756="0",BJ756,0)</f>
        <v>0</v>
      </c>
      <c r="AI756" s="34" t="s">
        <v>116</v>
      </c>
      <c r="AJ756" s="55">
        <f>IF(AN756=0,I756,0)</f>
        <v>0</v>
      </c>
      <c r="AK756" s="55">
        <f>IF(AN756=12,I756,0)</f>
        <v>0</v>
      </c>
      <c r="AL756" s="55">
        <f>IF(AN756=21,I756,0)</f>
        <v>0</v>
      </c>
      <c r="AN756" s="55">
        <v>21</v>
      </c>
      <c r="AO756" s="55">
        <f>H756*0</f>
        <v>0</v>
      </c>
      <c r="AP756" s="55">
        <f>H756*(1-0)</f>
        <v>0</v>
      </c>
      <c r="AQ756" s="58" t="s">
        <v>125</v>
      </c>
      <c r="AV756" s="55">
        <f>AW756+AX756</f>
        <v>0</v>
      </c>
      <c r="AW756" s="55">
        <f>G756*AO756</f>
        <v>0</v>
      </c>
      <c r="AX756" s="55">
        <f>G756*AP756</f>
        <v>0</v>
      </c>
      <c r="AY756" s="58" t="s">
        <v>1526</v>
      </c>
      <c r="AZ756" s="58" t="s">
        <v>1527</v>
      </c>
      <c r="BA756" s="34" t="s">
        <v>128</v>
      </c>
      <c r="BC756" s="55">
        <f>AW756+AX756</f>
        <v>0</v>
      </c>
      <c r="BD756" s="55">
        <f>H756/(100-BE756)*100</f>
        <v>0</v>
      </c>
      <c r="BE756" s="55">
        <v>0</v>
      </c>
      <c r="BF756" s="55">
        <f>K756</f>
        <v>0</v>
      </c>
      <c r="BH756" s="55">
        <f>G756*AO756</f>
        <v>0</v>
      </c>
      <c r="BI756" s="55">
        <f>G756*AP756</f>
        <v>0</v>
      </c>
      <c r="BJ756" s="55">
        <f>G756*H756</f>
        <v>0</v>
      </c>
      <c r="BK756" s="55"/>
      <c r="BL756" s="55">
        <v>730</v>
      </c>
      <c r="BW756" s="55">
        <v>21</v>
      </c>
    </row>
    <row r="757" spans="1:47" ht="14.4">
      <c r="A757" s="50" t="s">
        <v>4</v>
      </c>
      <c r="B757" s="51" t="s">
        <v>116</v>
      </c>
      <c r="C757" s="51" t="s">
        <v>1532</v>
      </c>
      <c r="D757" s="222" t="s">
        <v>1533</v>
      </c>
      <c r="E757" s="223"/>
      <c r="F757" s="52" t="s">
        <v>79</v>
      </c>
      <c r="G757" s="52" t="s">
        <v>79</v>
      </c>
      <c r="H757" s="53" t="s">
        <v>79</v>
      </c>
      <c r="I757" s="27">
        <f>SUM(I758:I765)</f>
        <v>0</v>
      </c>
      <c r="J757" s="34" t="s">
        <v>4</v>
      </c>
      <c r="K757" s="27">
        <f>SUM(K758:K765)</f>
        <v>0.00288</v>
      </c>
      <c r="L757" s="54" t="s">
        <v>4</v>
      </c>
      <c r="AI757" s="34" t="s">
        <v>116</v>
      </c>
      <c r="AS757" s="27">
        <f>SUM(AJ758:AJ765)</f>
        <v>0</v>
      </c>
      <c r="AT757" s="27">
        <f>SUM(AK758:AK765)</f>
        <v>0</v>
      </c>
      <c r="AU757" s="27">
        <f>SUM(AL758:AL765)</f>
        <v>0</v>
      </c>
    </row>
    <row r="758" spans="1:75" ht="13.5" customHeight="1">
      <c r="A758" s="1" t="s">
        <v>1534</v>
      </c>
      <c r="B758" s="2" t="s">
        <v>116</v>
      </c>
      <c r="C758" s="2" t="s">
        <v>1535</v>
      </c>
      <c r="D758" s="147" t="s">
        <v>1536</v>
      </c>
      <c r="E758" s="148"/>
      <c r="F758" s="2" t="s">
        <v>374</v>
      </c>
      <c r="G758" s="55">
        <v>1</v>
      </c>
      <c r="H758" s="56">
        <v>0</v>
      </c>
      <c r="I758" s="55">
        <f aca="true" t="shared" si="162" ref="I758:I765">G758*H758</f>
        <v>0</v>
      </c>
      <c r="J758" s="55">
        <v>0.00144</v>
      </c>
      <c r="K758" s="55">
        <f aca="true" t="shared" si="163" ref="K758:K765">G758*J758</f>
        <v>0.00144</v>
      </c>
      <c r="L758" s="57" t="s">
        <v>124</v>
      </c>
      <c r="Z758" s="55">
        <f aca="true" t="shared" si="164" ref="Z758:Z765">IF(AQ758="5",BJ758,0)</f>
        <v>0</v>
      </c>
      <c r="AB758" s="55">
        <f aca="true" t="shared" si="165" ref="AB758:AB765">IF(AQ758="1",BH758,0)</f>
        <v>0</v>
      </c>
      <c r="AC758" s="55">
        <f aca="true" t="shared" si="166" ref="AC758:AC765">IF(AQ758="1",BI758,0)</f>
        <v>0</v>
      </c>
      <c r="AD758" s="55">
        <f aca="true" t="shared" si="167" ref="AD758:AD765">IF(AQ758="7",BH758,0)</f>
        <v>0</v>
      </c>
      <c r="AE758" s="55">
        <f aca="true" t="shared" si="168" ref="AE758:AE765">IF(AQ758="7",BI758,0)</f>
        <v>0</v>
      </c>
      <c r="AF758" s="55">
        <f aca="true" t="shared" si="169" ref="AF758:AF765">IF(AQ758="2",BH758,0)</f>
        <v>0</v>
      </c>
      <c r="AG758" s="55">
        <f aca="true" t="shared" si="170" ref="AG758:AG765">IF(AQ758="2",BI758,0)</f>
        <v>0</v>
      </c>
      <c r="AH758" s="55">
        <f aca="true" t="shared" si="171" ref="AH758:AH765">IF(AQ758="0",BJ758,0)</f>
        <v>0</v>
      </c>
      <c r="AI758" s="34" t="s">
        <v>116</v>
      </c>
      <c r="AJ758" s="55">
        <f aca="true" t="shared" si="172" ref="AJ758:AJ765">IF(AN758=0,I758,0)</f>
        <v>0</v>
      </c>
      <c r="AK758" s="55">
        <f aca="true" t="shared" si="173" ref="AK758:AK765">IF(AN758=12,I758,0)</f>
        <v>0</v>
      </c>
      <c r="AL758" s="55">
        <f aca="true" t="shared" si="174" ref="AL758:AL765">IF(AN758=21,I758,0)</f>
        <v>0</v>
      </c>
      <c r="AN758" s="55">
        <v>21</v>
      </c>
      <c r="AO758" s="55">
        <f>H758*0.928115016</f>
        <v>0</v>
      </c>
      <c r="AP758" s="55">
        <f>H758*(1-0.928115016)</f>
        <v>0</v>
      </c>
      <c r="AQ758" s="58" t="s">
        <v>125</v>
      </c>
      <c r="AV758" s="55">
        <f aca="true" t="shared" si="175" ref="AV758:AV765">AW758+AX758</f>
        <v>0</v>
      </c>
      <c r="AW758" s="55">
        <f aca="true" t="shared" si="176" ref="AW758:AW765">G758*AO758</f>
        <v>0</v>
      </c>
      <c r="AX758" s="55">
        <f aca="true" t="shared" si="177" ref="AX758:AX765">G758*AP758</f>
        <v>0</v>
      </c>
      <c r="AY758" s="58" t="s">
        <v>1537</v>
      </c>
      <c r="AZ758" s="58" t="s">
        <v>1527</v>
      </c>
      <c r="BA758" s="34" t="s">
        <v>128</v>
      </c>
      <c r="BC758" s="55">
        <f aca="true" t="shared" si="178" ref="BC758:BC765">AW758+AX758</f>
        <v>0</v>
      </c>
      <c r="BD758" s="55">
        <f aca="true" t="shared" si="179" ref="BD758:BD765">H758/(100-BE758)*100</f>
        <v>0</v>
      </c>
      <c r="BE758" s="55">
        <v>0</v>
      </c>
      <c r="BF758" s="55">
        <f aca="true" t="shared" si="180" ref="BF758:BF765">K758</f>
        <v>0.00144</v>
      </c>
      <c r="BH758" s="55">
        <f aca="true" t="shared" si="181" ref="BH758:BH765">G758*AO758</f>
        <v>0</v>
      </c>
      <c r="BI758" s="55">
        <f aca="true" t="shared" si="182" ref="BI758:BI765">G758*AP758</f>
        <v>0</v>
      </c>
      <c r="BJ758" s="55">
        <f aca="true" t="shared" si="183" ref="BJ758:BJ765">G758*H758</f>
        <v>0</v>
      </c>
      <c r="BK758" s="55"/>
      <c r="BL758" s="55">
        <v>732</v>
      </c>
      <c r="BW758" s="55">
        <v>21</v>
      </c>
    </row>
    <row r="759" spans="1:75" ht="13.5" customHeight="1">
      <c r="A759" s="1" t="s">
        <v>1538</v>
      </c>
      <c r="B759" s="2" t="s">
        <v>116</v>
      </c>
      <c r="C759" s="2" t="s">
        <v>1539</v>
      </c>
      <c r="D759" s="147" t="s">
        <v>1540</v>
      </c>
      <c r="E759" s="148"/>
      <c r="F759" s="2" t="s">
        <v>374</v>
      </c>
      <c r="G759" s="55">
        <v>1</v>
      </c>
      <c r="H759" s="56">
        <v>0</v>
      </c>
      <c r="I759" s="55">
        <f t="shared" si="162"/>
        <v>0</v>
      </c>
      <c r="J759" s="55">
        <v>0.00144</v>
      </c>
      <c r="K759" s="55">
        <f t="shared" si="163"/>
        <v>0.00144</v>
      </c>
      <c r="L759" s="57" t="s">
        <v>124</v>
      </c>
      <c r="Z759" s="55">
        <f t="shared" si="164"/>
        <v>0</v>
      </c>
      <c r="AB759" s="55">
        <f t="shared" si="165"/>
        <v>0</v>
      </c>
      <c r="AC759" s="55">
        <f t="shared" si="166"/>
        <v>0</v>
      </c>
      <c r="AD759" s="55">
        <f t="shared" si="167"/>
        <v>0</v>
      </c>
      <c r="AE759" s="55">
        <f t="shared" si="168"/>
        <v>0</v>
      </c>
      <c r="AF759" s="55">
        <f t="shared" si="169"/>
        <v>0</v>
      </c>
      <c r="AG759" s="55">
        <f t="shared" si="170"/>
        <v>0</v>
      </c>
      <c r="AH759" s="55">
        <f t="shared" si="171"/>
        <v>0</v>
      </c>
      <c r="AI759" s="34" t="s">
        <v>116</v>
      </c>
      <c r="AJ759" s="55">
        <f t="shared" si="172"/>
        <v>0</v>
      </c>
      <c r="AK759" s="55">
        <f t="shared" si="173"/>
        <v>0</v>
      </c>
      <c r="AL759" s="55">
        <f t="shared" si="174"/>
        <v>0</v>
      </c>
      <c r="AN759" s="55">
        <v>21</v>
      </c>
      <c r="AO759" s="55">
        <f>H759*1</f>
        <v>0</v>
      </c>
      <c r="AP759" s="55">
        <f>H759*(1-1)</f>
        <v>0</v>
      </c>
      <c r="AQ759" s="58" t="s">
        <v>125</v>
      </c>
      <c r="AV759" s="55">
        <f t="shared" si="175"/>
        <v>0</v>
      </c>
      <c r="AW759" s="55">
        <f t="shared" si="176"/>
        <v>0</v>
      </c>
      <c r="AX759" s="55">
        <f t="shared" si="177"/>
        <v>0</v>
      </c>
      <c r="AY759" s="58" t="s">
        <v>1537</v>
      </c>
      <c r="AZ759" s="58" t="s">
        <v>1527</v>
      </c>
      <c r="BA759" s="34" t="s">
        <v>128</v>
      </c>
      <c r="BC759" s="55">
        <f t="shared" si="178"/>
        <v>0</v>
      </c>
      <c r="BD759" s="55">
        <f t="shared" si="179"/>
        <v>0</v>
      </c>
      <c r="BE759" s="55">
        <v>0</v>
      </c>
      <c r="BF759" s="55">
        <f t="shared" si="180"/>
        <v>0.00144</v>
      </c>
      <c r="BH759" s="55">
        <f t="shared" si="181"/>
        <v>0</v>
      </c>
      <c r="BI759" s="55">
        <f t="shared" si="182"/>
        <v>0</v>
      </c>
      <c r="BJ759" s="55">
        <f t="shared" si="183"/>
        <v>0</v>
      </c>
      <c r="BK759" s="55"/>
      <c r="BL759" s="55">
        <v>732</v>
      </c>
      <c r="BW759" s="55">
        <v>21</v>
      </c>
    </row>
    <row r="760" spans="1:75" ht="27" customHeight="1">
      <c r="A760" s="1" t="s">
        <v>1541</v>
      </c>
      <c r="B760" s="2" t="s">
        <v>116</v>
      </c>
      <c r="C760" s="2" t="s">
        <v>1542</v>
      </c>
      <c r="D760" s="147" t="s">
        <v>1543</v>
      </c>
      <c r="E760" s="148"/>
      <c r="F760" s="2" t="s">
        <v>1403</v>
      </c>
      <c r="G760" s="55">
        <v>1</v>
      </c>
      <c r="H760" s="56">
        <v>0</v>
      </c>
      <c r="I760" s="55">
        <f t="shared" si="162"/>
        <v>0</v>
      </c>
      <c r="J760" s="55">
        <v>0</v>
      </c>
      <c r="K760" s="55">
        <f t="shared" si="163"/>
        <v>0</v>
      </c>
      <c r="L760" s="57" t="s">
        <v>124</v>
      </c>
      <c r="Z760" s="55">
        <f t="shared" si="164"/>
        <v>0</v>
      </c>
      <c r="AB760" s="55">
        <f t="shared" si="165"/>
        <v>0</v>
      </c>
      <c r="AC760" s="55">
        <f t="shared" si="166"/>
        <v>0</v>
      </c>
      <c r="AD760" s="55">
        <f t="shared" si="167"/>
        <v>0</v>
      </c>
      <c r="AE760" s="55">
        <f t="shared" si="168"/>
        <v>0</v>
      </c>
      <c r="AF760" s="55">
        <f t="shared" si="169"/>
        <v>0</v>
      </c>
      <c r="AG760" s="55">
        <f t="shared" si="170"/>
        <v>0</v>
      </c>
      <c r="AH760" s="55">
        <f t="shared" si="171"/>
        <v>0</v>
      </c>
      <c r="AI760" s="34" t="s">
        <v>116</v>
      </c>
      <c r="AJ760" s="55">
        <f t="shared" si="172"/>
        <v>0</v>
      </c>
      <c r="AK760" s="55">
        <f t="shared" si="173"/>
        <v>0</v>
      </c>
      <c r="AL760" s="55">
        <f t="shared" si="174"/>
        <v>0</v>
      </c>
      <c r="AN760" s="55">
        <v>21</v>
      </c>
      <c r="AO760" s="55">
        <f aca="true" t="shared" si="184" ref="AO760:AO765">H760*0</f>
        <v>0</v>
      </c>
      <c r="AP760" s="55">
        <f aca="true" t="shared" si="185" ref="AP760:AP765">H760*(1-0)</f>
        <v>0</v>
      </c>
      <c r="AQ760" s="58" t="s">
        <v>125</v>
      </c>
      <c r="AV760" s="55">
        <f t="shared" si="175"/>
        <v>0</v>
      </c>
      <c r="AW760" s="55">
        <f t="shared" si="176"/>
        <v>0</v>
      </c>
      <c r="AX760" s="55">
        <f t="shared" si="177"/>
        <v>0</v>
      </c>
      <c r="AY760" s="58" t="s">
        <v>1537</v>
      </c>
      <c r="AZ760" s="58" t="s">
        <v>1527</v>
      </c>
      <c r="BA760" s="34" t="s">
        <v>128</v>
      </c>
      <c r="BC760" s="55">
        <f t="shared" si="178"/>
        <v>0</v>
      </c>
      <c r="BD760" s="55">
        <f t="shared" si="179"/>
        <v>0</v>
      </c>
      <c r="BE760" s="55">
        <v>0</v>
      </c>
      <c r="BF760" s="55">
        <f t="shared" si="180"/>
        <v>0</v>
      </c>
      <c r="BH760" s="55">
        <f t="shared" si="181"/>
        <v>0</v>
      </c>
      <c r="BI760" s="55">
        <f t="shared" si="182"/>
        <v>0</v>
      </c>
      <c r="BJ760" s="55">
        <f t="shared" si="183"/>
        <v>0</v>
      </c>
      <c r="BK760" s="55"/>
      <c r="BL760" s="55">
        <v>732</v>
      </c>
      <c r="BW760" s="55">
        <v>21</v>
      </c>
    </row>
    <row r="761" spans="1:75" ht="27" customHeight="1">
      <c r="A761" s="1" t="s">
        <v>1544</v>
      </c>
      <c r="B761" s="2" t="s">
        <v>116</v>
      </c>
      <c r="C761" s="2" t="s">
        <v>1545</v>
      </c>
      <c r="D761" s="147" t="s">
        <v>1546</v>
      </c>
      <c r="E761" s="148"/>
      <c r="F761" s="2" t="s">
        <v>1403</v>
      </c>
      <c r="G761" s="55">
        <v>1</v>
      </c>
      <c r="H761" s="56">
        <v>0</v>
      </c>
      <c r="I761" s="55">
        <f t="shared" si="162"/>
        <v>0</v>
      </c>
      <c r="J761" s="55">
        <v>0</v>
      </c>
      <c r="K761" s="55">
        <f t="shared" si="163"/>
        <v>0</v>
      </c>
      <c r="L761" s="57" t="s">
        <v>124</v>
      </c>
      <c r="Z761" s="55">
        <f t="shared" si="164"/>
        <v>0</v>
      </c>
      <c r="AB761" s="55">
        <f t="shared" si="165"/>
        <v>0</v>
      </c>
      <c r="AC761" s="55">
        <f t="shared" si="166"/>
        <v>0</v>
      </c>
      <c r="AD761" s="55">
        <f t="shared" si="167"/>
        <v>0</v>
      </c>
      <c r="AE761" s="55">
        <f t="shared" si="168"/>
        <v>0</v>
      </c>
      <c r="AF761" s="55">
        <f t="shared" si="169"/>
        <v>0</v>
      </c>
      <c r="AG761" s="55">
        <f t="shared" si="170"/>
        <v>0</v>
      </c>
      <c r="AH761" s="55">
        <f t="shared" si="171"/>
        <v>0</v>
      </c>
      <c r="AI761" s="34" t="s">
        <v>116</v>
      </c>
      <c r="AJ761" s="55">
        <f t="shared" si="172"/>
        <v>0</v>
      </c>
      <c r="AK761" s="55">
        <f t="shared" si="173"/>
        <v>0</v>
      </c>
      <c r="AL761" s="55">
        <f t="shared" si="174"/>
        <v>0</v>
      </c>
      <c r="AN761" s="55">
        <v>21</v>
      </c>
      <c r="AO761" s="55">
        <f t="shared" si="184"/>
        <v>0</v>
      </c>
      <c r="AP761" s="55">
        <f t="shared" si="185"/>
        <v>0</v>
      </c>
      <c r="AQ761" s="58" t="s">
        <v>125</v>
      </c>
      <c r="AV761" s="55">
        <f t="shared" si="175"/>
        <v>0</v>
      </c>
      <c r="AW761" s="55">
        <f t="shared" si="176"/>
        <v>0</v>
      </c>
      <c r="AX761" s="55">
        <f t="shared" si="177"/>
        <v>0</v>
      </c>
      <c r="AY761" s="58" t="s">
        <v>1537</v>
      </c>
      <c r="AZ761" s="58" t="s">
        <v>1527</v>
      </c>
      <c r="BA761" s="34" t="s">
        <v>128</v>
      </c>
      <c r="BC761" s="55">
        <f t="shared" si="178"/>
        <v>0</v>
      </c>
      <c r="BD761" s="55">
        <f t="shared" si="179"/>
        <v>0</v>
      </c>
      <c r="BE761" s="55">
        <v>0</v>
      </c>
      <c r="BF761" s="55">
        <f t="shared" si="180"/>
        <v>0</v>
      </c>
      <c r="BH761" s="55">
        <f t="shared" si="181"/>
        <v>0</v>
      </c>
      <c r="BI761" s="55">
        <f t="shared" si="182"/>
        <v>0</v>
      </c>
      <c r="BJ761" s="55">
        <f t="shared" si="183"/>
        <v>0</v>
      </c>
      <c r="BK761" s="55"/>
      <c r="BL761" s="55">
        <v>732</v>
      </c>
      <c r="BW761" s="55">
        <v>21</v>
      </c>
    </row>
    <row r="762" spans="1:75" ht="13.5" customHeight="1">
      <c r="A762" s="1" t="s">
        <v>1547</v>
      </c>
      <c r="B762" s="2" t="s">
        <v>116</v>
      </c>
      <c r="C762" s="2" t="s">
        <v>1548</v>
      </c>
      <c r="D762" s="147" t="s">
        <v>1549</v>
      </c>
      <c r="E762" s="148"/>
      <c r="F762" s="2" t="s">
        <v>374</v>
      </c>
      <c r="G762" s="55">
        <v>1</v>
      </c>
      <c r="H762" s="56">
        <v>0</v>
      </c>
      <c r="I762" s="55">
        <f t="shared" si="162"/>
        <v>0</v>
      </c>
      <c r="J762" s="55">
        <v>0</v>
      </c>
      <c r="K762" s="55">
        <f t="shared" si="163"/>
        <v>0</v>
      </c>
      <c r="L762" s="57" t="s">
        <v>124</v>
      </c>
      <c r="Z762" s="55">
        <f t="shared" si="164"/>
        <v>0</v>
      </c>
      <c r="AB762" s="55">
        <f t="shared" si="165"/>
        <v>0</v>
      </c>
      <c r="AC762" s="55">
        <f t="shared" si="166"/>
        <v>0</v>
      </c>
      <c r="AD762" s="55">
        <f t="shared" si="167"/>
        <v>0</v>
      </c>
      <c r="AE762" s="55">
        <f t="shared" si="168"/>
        <v>0</v>
      </c>
      <c r="AF762" s="55">
        <f t="shared" si="169"/>
        <v>0</v>
      </c>
      <c r="AG762" s="55">
        <f t="shared" si="170"/>
        <v>0</v>
      </c>
      <c r="AH762" s="55">
        <f t="shared" si="171"/>
        <v>0</v>
      </c>
      <c r="AI762" s="34" t="s">
        <v>116</v>
      </c>
      <c r="AJ762" s="55">
        <f t="shared" si="172"/>
        <v>0</v>
      </c>
      <c r="AK762" s="55">
        <f t="shared" si="173"/>
        <v>0</v>
      </c>
      <c r="AL762" s="55">
        <f t="shared" si="174"/>
        <v>0</v>
      </c>
      <c r="AN762" s="55">
        <v>21</v>
      </c>
      <c r="AO762" s="55">
        <f t="shared" si="184"/>
        <v>0</v>
      </c>
      <c r="AP762" s="55">
        <f t="shared" si="185"/>
        <v>0</v>
      </c>
      <c r="AQ762" s="58" t="s">
        <v>125</v>
      </c>
      <c r="AV762" s="55">
        <f t="shared" si="175"/>
        <v>0</v>
      </c>
      <c r="AW762" s="55">
        <f t="shared" si="176"/>
        <v>0</v>
      </c>
      <c r="AX762" s="55">
        <f t="shared" si="177"/>
        <v>0</v>
      </c>
      <c r="AY762" s="58" t="s">
        <v>1537</v>
      </c>
      <c r="AZ762" s="58" t="s">
        <v>1527</v>
      </c>
      <c r="BA762" s="34" t="s">
        <v>128</v>
      </c>
      <c r="BC762" s="55">
        <f t="shared" si="178"/>
        <v>0</v>
      </c>
      <c r="BD762" s="55">
        <f t="shared" si="179"/>
        <v>0</v>
      </c>
      <c r="BE762" s="55">
        <v>0</v>
      </c>
      <c r="BF762" s="55">
        <f t="shared" si="180"/>
        <v>0</v>
      </c>
      <c r="BH762" s="55">
        <f t="shared" si="181"/>
        <v>0</v>
      </c>
      <c r="BI762" s="55">
        <f t="shared" si="182"/>
        <v>0</v>
      </c>
      <c r="BJ762" s="55">
        <f t="shared" si="183"/>
        <v>0</v>
      </c>
      <c r="BK762" s="55"/>
      <c r="BL762" s="55">
        <v>732</v>
      </c>
      <c r="BW762" s="55">
        <v>21</v>
      </c>
    </row>
    <row r="763" spans="1:75" ht="27" customHeight="1">
      <c r="A763" s="1" t="s">
        <v>1550</v>
      </c>
      <c r="B763" s="2" t="s">
        <v>116</v>
      </c>
      <c r="C763" s="2" t="s">
        <v>1551</v>
      </c>
      <c r="D763" s="147" t="s">
        <v>1552</v>
      </c>
      <c r="E763" s="148"/>
      <c r="F763" s="2" t="s">
        <v>1403</v>
      </c>
      <c r="G763" s="55">
        <v>2</v>
      </c>
      <c r="H763" s="56">
        <v>0</v>
      </c>
      <c r="I763" s="55">
        <f t="shared" si="162"/>
        <v>0</v>
      </c>
      <c r="J763" s="55">
        <v>0</v>
      </c>
      <c r="K763" s="55">
        <f t="shared" si="163"/>
        <v>0</v>
      </c>
      <c r="L763" s="57" t="s">
        <v>124</v>
      </c>
      <c r="Z763" s="55">
        <f t="shared" si="164"/>
        <v>0</v>
      </c>
      <c r="AB763" s="55">
        <f t="shared" si="165"/>
        <v>0</v>
      </c>
      <c r="AC763" s="55">
        <f t="shared" si="166"/>
        <v>0</v>
      </c>
      <c r="AD763" s="55">
        <f t="shared" si="167"/>
        <v>0</v>
      </c>
      <c r="AE763" s="55">
        <f t="shared" si="168"/>
        <v>0</v>
      </c>
      <c r="AF763" s="55">
        <f t="shared" si="169"/>
        <v>0</v>
      </c>
      <c r="AG763" s="55">
        <f t="shared" si="170"/>
        <v>0</v>
      </c>
      <c r="AH763" s="55">
        <f t="shared" si="171"/>
        <v>0</v>
      </c>
      <c r="AI763" s="34" t="s">
        <v>116</v>
      </c>
      <c r="AJ763" s="55">
        <f t="shared" si="172"/>
        <v>0</v>
      </c>
      <c r="AK763" s="55">
        <f t="shared" si="173"/>
        <v>0</v>
      </c>
      <c r="AL763" s="55">
        <f t="shared" si="174"/>
        <v>0</v>
      </c>
      <c r="AN763" s="55">
        <v>21</v>
      </c>
      <c r="AO763" s="55">
        <f t="shared" si="184"/>
        <v>0</v>
      </c>
      <c r="AP763" s="55">
        <f t="shared" si="185"/>
        <v>0</v>
      </c>
      <c r="AQ763" s="58" t="s">
        <v>125</v>
      </c>
      <c r="AV763" s="55">
        <f t="shared" si="175"/>
        <v>0</v>
      </c>
      <c r="AW763" s="55">
        <f t="shared" si="176"/>
        <v>0</v>
      </c>
      <c r="AX763" s="55">
        <f t="shared" si="177"/>
        <v>0</v>
      </c>
      <c r="AY763" s="58" t="s">
        <v>1537</v>
      </c>
      <c r="AZ763" s="58" t="s">
        <v>1527</v>
      </c>
      <c r="BA763" s="34" t="s">
        <v>128</v>
      </c>
      <c r="BC763" s="55">
        <f t="shared" si="178"/>
        <v>0</v>
      </c>
      <c r="BD763" s="55">
        <f t="shared" si="179"/>
        <v>0</v>
      </c>
      <c r="BE763" s="55">
        <v>0</v>
      </c>
      <c r="BF763" s="55">
        <f t="shared" si="180"/>
        <v>0</v>
      </c>
      <c r="BH763" s="55">
        <f t="shared" si="181"/>
        <v>0</v>
      </c>
      <c r="BI763" s="55">
        <f t="shared" si="182"/>
        <v>0</v>
      </c>
      <c r="BJ763" s="55">
        <f t="shared" si="183"/>
        <v>0</v>
      </c>
      <c r="BK763" s="55"/>
      <c r="BL763" s="55">
        <v>732</v>
      </c>
      <c r="BW763" s="55">
        <v>21</v>
      </c>
    </row>
    <row r="764" spans="1:75" ht="27" customHeight="1">
      <c r="A764" s="1" t="s">
        <v>1553</v>
      </c>
      <c r="B764" s="2" t="s">
        <v>116</v>
      </c>
      <c r="C764" s="2" t="s">
        <v>1554</v>
      </c>
      <c r="D764" s="147" t="s">
        <v>1555</v>
      </c>
      <c r="E764" s="148"/>
      <c r="F764" s="2" t="s">
        <v>1403</v>
      </c>
      <c r="G764" s="55">
        <v>1</v>
      </c>
      <c r="H764" s="56">
        <v>0</v>
      </c>
      <c r="I764" s="55">
        <f t="shared" si="162"/>
        <v>0</v>
      </c>
      <c r="J764" s="55">
        <v>0</v>
      </c>
      <c r="K764" s="55">
        <f t="shared" si="163"/>
        <v>0</v>
      </c>
      <c r="L764" s="57" t="s">
        <v>124</v>
      </c>
      <c r="Z764" s="55">
        <f t="shared" si="164"/>
        <v>0</v>
      </c>
      <c r="AB764" s="55">
        <f t="shared" si="165"/>
        <v>0</v>
      </c>
      <c r="AC764" s="55">
        <f t="shared" si="166"/>
        <v>0</v>
      </c>
      <c r="AD764" s="55">
        <f t="shared" si="167"/>
        <v>0</v>
      </c>
      <c r="AE764" s="55">
        <f t="shared" si="168"/>
        <v>0</v>
      </c>
      <c r="AF764" s="55">
        <f t="shared" si="169"/>
        <v>0</v>
      </c>
      <c r="AG764" s="55">
        <f t="shared" si="170"/>
        <v>0</v>
      </c>
      <c r="AH764" s="55">
        <f t="shared" si="171"/>
        <v>0</v>
      </c>
      <c r="AI764" s="34" t="s">
        <v>116</v>
      </c>
      <c r="AJ764" s="55">
        <f t="shared" si="172"/>
        <v>0</v>
      </c>
      <c r="AK764" s="55">
        <f t="shared" si="173"/>
        <v>0</v>
      </c>
      <c r="AL764" s="55">
        <f t="shared" si="174"/>
        <v>0</v>
      </c>
      <c r="AN764" s="55">
        <v>21</v>
      </c>
      <c r="AO764" s="55">
        <f t="shared" si="184"/>
        <v>0</v>
      </c>
      <c r="AP764" s="55">
        <f t="shared" si="185"/>
        <v>0</v>
      </c>
      <c r="AQ764" s="58" t="s">
        <v>125</v>
      </c>
      <c r="AV764" s="55">
        <f t="shared" si="175"/>
        <v>0</v>
      </c>
      <c r="AW764" s="55">
        <f t="shared" si="176"/>
        <v>0</v>
      </c>
      <c r="AX764" s="55">
        <f t="shared" si="177"/>
        <v>0</v>
      </c>
      <c r="AY764" s="58" t="s">
        <v>1537</v>
      </c>
      <c r="AZ764" s="58" t="s">
        <v>1527</v>
      </c>
      <c r="BA764" s="34" t="s">
        <v>128</v>
      </c>
      <c r="BC764" s="55">
        <f t="shared" si="178"/>
        <v>0</v>
      </c>
      <c r="BD764" s="55">
        <f t="shared" si="179"/>
        <v>0</v>
      </c>
      <c r="BE764" s="55">
        <v>0</v>
      </c>
      <c r="BF764" s="55">
        <f t="shared" si="180"/>
        <v>0</v>
      </c>
      <c r="BH764" s="55">
        <f t="shared" si="181"/>
        <v>0</v>
      </c>
      <c r="BI764" s="55">
        <f t="shared" si="182"/>
        <v>0</v>
      </c>
      <c r="BJ764" s="55">
        <f t="shared" si="183"/>
        <v>0</v>
      </c>
      <c r="BK764" s="55"/>
      <c r="BL764" s="55">
        <v>732</v>
      </c>
      <c r="BW764" s="55">
        <v>21</v>
      </c>
    </row>
    <row r="765" spans="1:75" ht="13.5" customHeight="1">
      <c r="A765" s="1" t="s">
        <v>1556</v>
      </c>
      <c r="B765" s="2" t="s">
        <v>116</v>
      </c>
      <c r="C765" s="2" t="s">
        <v>1557</v>
      </c>
      <c r="D765" s="147" t="s">
        <v>1558</v>
      </c>
      <c r="E765" s="148"/>
      <c r="F765" s="2" t="s">
        <v>939</v>
      </c>
      <c r="G765" s="55">
        <v>0.03</v>
      </c>
      <c r="H765" s="56">
        <v>0</v>
      </c>
      <c r="I765" s="55">
        <f t="shared" si="162"/>
        <v>0</v>
      </c>
      <c r="J765" s="55">
        <v>0</v>
      </c>
      <c r="K765" s="55">
        <f t="shared" si="163"/>
        <v>0</v>
      </c>
      <c r="L765" s="57" t="s">
        <v>124</v>
      </c>
      <c r="Z765" s="55">
        <f t="shared" si="164"/>
        <v>0</v>
      </c>
      <c r="AB765" s="55">
        <f t="shared" si="165"/>
        <v>0</v>
      </c>
      <c r="AC765" s="55">
        <f t="shared" si="166"/>
        <v>0</v>
      </c>
      <c r="AD765" s="55">
        <f t="shared" si="167"/>
        <v>0</v>
      </c>
      <c r="AE765" s="55">
        <f t="shared" si="168"/>
        <v>0</v>
      </c>
      <c r="AF765" s="55">
        <f t="shared" si="169"/>
        <v>0</v>
      </c>
      <c r="AG765" s="55">
        <f t="shared" si="170"/>
        <v>0</v>
      </c>
      <c r="AH765" s="55">
        <f t="shared" si="171"/>
        <v>0</v>
      </c>
      <c r="AI765" s="34" t="s">
        <v>116</v>
      </c>
      <c r="AJ765" s="55">
        <f t="shared" si="172"/>
        <v>0</v>
      </c>
      <c r="AK765" s="55">
        <f t="shared" si="173"/>
        <v>0</v>
      </c>
      <c r="AL765" s="55">
        <f t="shared" si="174"/>
        <v>0</v>
      </c>
      <c r="AN765" s="55">
        <v>21</v>
      </c>
      <c r="AO765" s="55">
        <f t="shared" si="184"/>
        <v>0</v>
      </c>
      <c r="AP765" s="55">
        <f t="shared" si="185"/>
        <v>0</v>
      </c>
      <c r="AQ765" s="58" t="s">
        <v>139</v>
      </c>
      <c r="AV765" s="55">
        <f t="shared" si="175"/>
        <v>0</v>
      </c>
      <c r="AW765" s="55">
        <f t="shared" si="176"/>
        <v>0</v>
      </c>
      <c r="AX765" s="55">
        <f t="shared" si="177"/>
        <v>0</v>
      </c>
      <c r="AY765" s="58" t="s">
        <v>1537</v>
      </c>
      <c r="AZ765" s="58" t="s">
        <v>1527</v>
      </c>
      <c r="BA765" s="34" t="s">
        <v>128</v>
      </c>
      <c r="BC765" s="55">
        <f t="shared" si="178"/>
        <v>0</v>
      </c>
      <c r="BD765" s="55">
        <f t="shared" si="179"/>
        <v>0</v>
      </c>
      <c r="BE765" s="55">
        <v>0</v>
      </c>
      <c r="BF765" s="55">
        <f t="shared" si="180"/>
        <v>0</v>
      </c>
      <c r="BH765" s="55">
        <f t="shared" si="181"/>
        <v>0</v>
      </c>
      <c r="BI765" s="55">
        <f t="shared" si="182"/>
        <v>0</v>
      </c>
      <c r="BJ765" s="55">
        <f t="shared" si="183"/>
        <v>0</v>
      </c>
      <c r="BK765" s="55"/>
      <c r="BL765" s="55">
        <v>732</v>
      </c>
      <c r="BW765" s="55">
        <v>21</v>
      </c>
    </row>
    <row r="766" spans="1:47" ht="14.4">
      <c r="A766" s="50" t="s">
        <v>4</v>
      </c>
      <c r="B766" s="51" t="s">
        <v>116</v>
      </c>
      <c r="C766" s="51" t="s">
        <v>1559</v>
      </c>
      <c r="D766" s="222" t="s">
        <v>1560</v>
      </c>
      <c r="E766" s="223"/>
      <c r="F766" s="52" t="s">
        <v>79</v>
      </c>
      <c r="G766" s="52" t="s">
        <v>79</v>
      </c>
      <c r="H766" s="53" t="s">
        <v>79</v>
      </c>
      <c r="I766" s="27">
        <f>SUM(I767:I775)</f>
        <v>0</v>
      </c>
      <c r="J766" s="34" t="s">
        <v>4</v>
      </c>
      <c r="K766" s="27">
        <f>SUM(K767:K775)</f>
        <v>0</v>
      </c>
      <c r="L766" s="54" t="s">
        <v>4</v>
      </c>
      <c r="AI766" s="34" t="s">
        <v>116</v>
      </c>
      <c r="AS766" s="27">
        <f>SUM(AJ767:AJ775)</f>
        <v>0</v>
      </c>
      <c r="AT766" s="27">
        <f>SUM(AK767:AK775)</f>
        <v>0</v>
      </c>
      <c r="AU766" s="27">
        <f>SUM(AL767:AL775)</f>
        <v>0</v>
      </c>
    </row>
    <row r="767" spans="1:75" ht="13.5" customHeight="1">
      <c r="A767" s="1" t="s">
        <v>1561</v>
      </c>
      <c r="B767" s="2" t="s">
        <v>116</v>
      </c>
      <c r="C767" s="2" t="s">
        <v>1562</v>
      </c>
      <c r="D767" s="147" t="s">
        <v>1563</v>
      </c>
      <c r="E767" s="148"/>
      <c r="F767" s="2" t="s">
        <v>174</v>
      </c>
      <c r="G767" s="55">
        <v>100</v>
      </c>
      <c r="H767" s="56">
        <v>0</v>
      </c>
      <c r="I767" s="55">
        <f aca="true" t="shared" si="186" ref="I767:I775">G767*H767</f>
        <v>0</v>
      </c>
      <c r="J767" s="55">
        <v>0</v>
      </c>
      <c r="K767" s="55">
        <f aca="true" t="shared" si="187" ref="K767:K775">G767*J767</f>
        <v>0</v>
      </c>
      <c r="L767" s="57" t="s">
        <v>124</v>
      </c>
      <c r="Z767" s="55">
        <f aca="true" t="shared" si="188" ref="Z767:Z775">IF(AQ767="5",BJ767,0)</f>
        <v>0</v>
      </c>
      <c r="AB767" s="55">
        <f aca="true" t="shared" si="189" ref="AB767:AB775">IF(AQ767="1",BH767,0)</f>
        <v>0</v>
      </c>
      <c r="AC767" s="55">
        <f aca="true" t="shared" si="190" ref="AC767:AC775">IF(AQ767="1",BI767,0)</f>
        <v>0</v>
      </c>
      <c r="AD767" s="55">
        <f aca="true" t="shared" si="191" ref="AD767:AD775">IF(AQ767="7",BH767,0)</f>
        <v>0</v>
      </c>
      <c r="AE767" s="55">
        <f aca="true" t="shared" si="192" ref="AE767:AE775">IF(AQ767="7",BI767,0)</f>
        <v>0</v>
      </c>
      <c r="AF767" s="55">
        <f aca="true" t="shared" si="193" ref="AF767:AF775">IF(AQ767="2",BH767,0)</f>
        <v>0</v>
      </c>
      <c r="AG767" s="55">
        <f aca="true" t="shared" si="194" ref="AG767:AG775">IF(AQ767="2",BI767,0)</f>
        <v>0</v>
      </c>
      <c r="AH767" s="55">
        <f aca="true" t="shared" si="195" ref="AH767:AH775">IF(AQ767="0",BJ767,0)</f>
        <v>0</v>
      </c>
      <c r="AI767" s="34" t="s">
        <v>116</v>
      </c>
      <c r="AJ767" s="55">
        <f aca="true" t="shared" si="196" ref="AJ767:AJ775">IF(AN767=0,I767,0)</f>
        <v>0</v>
      </c>
      <c r="AK767" s="55">
        <f aca="true" t="shared" si="197" ref="AK767:AK775">IF(AN767=12,I767,0)</f>
        <v>0</v>
      </c>
      <c r="AL767" s="55">
        <f aca="true" t="shared" si="198" ref="AL767:AL775">IF(AN767=21,I767,0)</f>
        <v>0</v>
      </c>
      <c r="AN767" s="55">
        <v>21</v>
      </c>
      <c r="AO767" s="55">
        <f aca="true" t="shared" si="199" ref="AO767:AO775">H767*0</f>
        <v>0</v>
      </c>
      <c r="AP767" s="55">
        <f aca="true" t="shared" si="200" ref="AP767:AP775">H767*(1-0)</f>
        <v>0</v>
      </c>
      <c r="AQ767" s="58" t="s">
        <v>125</v>
      </c>
      <c r="AV767" s="55">
        <f aca="true" t="shared" si="201" ref="AV767:AV775">AW767+AX767</f>
        <v>0</v>
      </c>
      <c r="AW767" s="55">
        <f aca="true" t="shared" si="202" ref="AW767:AW775">G767*AO767</f>
        <v>0</v>
      </c>
      <c r="AX767" s="55">
        <f aca="true" t="shared" si="203" ref="AX767:AX775">G767*AP767</f>
        <v>0</v>
      </c>
      <c r="AY767" s="58" t="s">
        <v>1564</v>
      </c>
      <c r="AZ767" s="58" t="s">
        <v>1527</v>
      </c>
      <c r="BA767" s="34" t="s">
        <v>128</v>
      </c>
      <c r="BC767" s="55">
        <f aca="true" t="shared" si="204" ref="BC767:BC775">AW767+AX767</f>
        <v>0</v>
      </c>
      <c r="BD767" s="55">
        <f aca="true" t="shared" si="205" ref="BD767:BD775">H767/(100-BE767)*100</f>
        <v>0</v>
      </c>
      <c r="BE767" s="55">
        <v>0</v>
      </c>
      <c r="BF767" s="55">
        <f aca="true" t="shared" si="206" ref="BF767:BF775">K767</f>
        <v>0</v>
      </c>
      <c r="BH767" s="55">
        <f aca="true" t="shared" si="207" ref="BH767:BH775">G767*AO767</f>
        <v>0</v>
      </c>
      <c r="BI767" s="55">
        <f aca="true" t="shared" si="208" ref="BI767:BI775">G767*AP767</f>
        <v>0</v>
      </c>
      <c r="BJ767" s="55">
        <f aca="true" t="shared" si="209" ref="BJ767:BJ775">G767*H767</f>
        <v>0</v>
      </c>
      <c r="BK767" s="55"/>
      <c r="BL767" s="55">
        <v>733</v>
      </c>
      <c r="BW767" s="55">
        <v>21</v>
      </c>
    </row>
    <row r="768" spans="1:75" ht="13.5" customHeight="1">
      <c r="A768" s="1" t="s">
        <v>1565</v>
      </c>
      <c r="B768" s="2" t="s">
        <v>116</v>
      </c>
      <c r="C768" s="2" t="s">
        <v>1566</v>
      </c>
      <c r="D768" s="147" t="s">
        <v>1567</v>
      </c>
      <c r="E768" s="148"/>
      <c r="F768" s="2" t="s">
        <v>174</v>
      </c>
      <c r="G768" s="55">
        <v>40</v>
      </c>
      <c r="H768" s="56">
        <v>0</v>
      </c>
      <c r="I768" s="55">
        <f t="shared" si="186"/>
        <v>0</v>
      </c>
      <c r="J768" s="55">
        <v>0</v>
      </c>
      <c r="K768" s="55">
        <f t="shared" si="187"/>
        <v>0</v>
      </c>
      <c r="L768" s="57" t="s">
        <v>124</v>
      </c>
      <c r="Z768" s="55">
        <f t="shared" si="188"/>
        <v>0</v>
      </c>
      <c r="AB768" s="55">
        <f t="shared" si="189"/>
        <v>0</v>
      </c>
      <c r="AC768" s="55">
        <f t="shared" si="190"/>
        <v>0</v>
      </c>
      <c r="AD768" s="55">
        <f t="shared" si="191"/>
        <v>0</v>
      </c>
      <c r="AE768" s="55">
        <f t="shared" si="192"/>
        <v>0</v>
      </c>
      <c r="AF768" s="55">
        <f t="shared" si="193"/>
        <v>0</v>
      </c>
      <c r="AG768" s="55">
        <f t="shared" si="194"/>
        <v>0</v>
      </c>
      <c r="AH768" s="55">
        <f t="shared" si="195"/>
        <v>0</v>
      </c>
      <c r="AI768" s="34" t="s">
        <v>116</v>
      </c>
      <c r="AJ768" s="55">
        <f t="shared" si="196"/>
        <v>0</v>
      </c>
      <c r="AK768" s="55">
        <f t="shared" si="197"/>
        <v>0</v>
      </c>
      <c r="AL768" s="55">
        <f t="shared" si="198"/>
        <v>0</v>
      </c>
      <c r="AN768" s="55">
        <v>21</v>
      </c>
      <c r="AO768" s="55">
        <f t="shared" si="199"/>
        <v>0</v>
      </c>
      <c r="AP768" s="55">
        <f t="shared" si="200"/>
        <v>0</v>
      </c>
      <c r="AQ768" s="58" t="s">
        <v>125</v>
      </c>
      <c r="AV768" s="55">
        <f t="shared" si="201"/>
        <v>0</v>
      </c>
      <c r="AW768" s="55">
        <f t="shared" si="202"/>
        <v>0</v>
      </c>
      <c r="AX768" s="55">
        <f t="shared" si="203"/>
        <v>0</v>
      </c>
      <c r="AY768" s="58" t="s">
        <v>1564</v>
      </c>
      <c r="AZ768" s="58" t="s">
        <v>1527</v>
      </c>
      <c r="BA768" s="34" t="s">
        <v>128</v>
      </c>
      <c r="BC768" s="55">
        <f t="shared" si="204"/>
        <v>0</v>
      </c>
      <c r="BD768" s="55">
        <f t="shared" si="205"/>
        <v>0</v>
      </c>
      <c r="BE768" s="55">
        <v>0</v>
      </c>
      <c r="BF768" s="55">
        <f t="shared" si="206"/>
        <v>0</v>
      </c>
      <c r="BH768" s="55">
        <f t="shared" si="207"/>
        <v>0</v>
      </c>
      <c r="BI768" s="55">
        <f t="shared" si="208"/>
        <v>0</v>
      </c>
      <c r="BJ768" s="55">
        <f t="shared" si="209"/>
        <v>0</v>
      </c>
      <c r="BK768" s="55"/>
      <c r="BL768" s="55">
        <v>733</v>
      </c>
      <c r="BW768" s="55">
        <v>21</v>
      </c>
    </row>
    <row r="769" spans="1:75" ht="13.5" customHeight="1">
      <c r="A769" s="1" t="s">
        <v>1568</v>
      </c>
      <c r="B769" s="2" t="s">
        <v>116</v>
      </c>
      <c r="C769" s="2" t="s">
        <v>1569</v>
      </c>
      <c r="D769" s="147" t="s">
        <v>1570</v>
      </c>
      <c r="E769" s="148"/>
      <c r="F769" s="2" t="s">
        <v>174</v>
      </c>
      <c r="G769" s="55">
        <v>60</v>
      </c>
      <c r="H769" s="56">
        <v>0</v>
      </c>
      <c r="I769" s="55">
        <f t="shared" si="186"/>
        <v>0</v>
      </c>
      <c r="J769" s="55">
        <v>0</v>
      </c>
      <c r="K769" s="55">
        <f t="shared" si="187"/>
        <v>0</v>
      </c>
      <c r="L769" s="57" t="s">
        <v>124</v>
      </c>
      <c r="Z769" s="55">
        <f t="shared" si="188"/>
        <v>0</v>
      </c>
      <c r="AB769" s="55">
        <f t="shared" si="189"/>
        <v>0</v>
      </c>
      <c r="AC769" s="55">
        <f t="shared" si="190"/>
        <v>0</v>
      </c>
      <c r="AD769" s="55">
        <f t="shared" si="191"/>
        <v>0</v>
      </c>
      <c r="AE769" s="55">
        <f t="shared" si="192"/>
        <v>0</v>
      </c>
      <c r="AF769" s="55">
        <f t="shared" si="193"/>
        <v>0</v>
      </c>
      <c r="AG769" s="55">
        <f t="shared" si="194"/>
        <v>0</v>
      </c>
      <c r="AH769" s="55">
        <f t="shared" si="195"/>
        <v>0</v>
      </c>
      <c r="AI769" s="34" t="s">
        <v>116</v>
      </c>
      <c r="AJ769" s="55">
        <f t="shared" si="196"/>
        <v>0</v>
      </c>
      <c r="AK769" s="55">
        <f t="shared" si="197"/>
        <v>0</v>
      </c>
      <c r="AL769" s="55">
        <f t="shared" si="198"/>
        <v>0</v>
      </c>
      <c r="AN769" s="55">
        <v>21</v>
      </c>
      <c r="AO769" s="55">
        <f t="shared" si="199"/>
        <v>0</v>
      </c>
      <c r="AP769" s="55">
        <f t="shared" si="200"/>
        <v>0</v>
      </c>
      <c r="AQ769" s="58" t="s">
        <v>125</v>
      </c>
      <c r="AV769" s="55">
        <f t="shared" si="201"/>
        <v>0</v>
      </c>
      <c r="AW769" s="55">
        <f t="shared" si="202"/>
        <v>0</v>
      </c>
      <c r="AX769" s="55">
        <f t="shared" si="203"/>
        <v>0</v>
      </c>
      <c r="AY769" s="58" t="s">
        <v>1564</v>
      </c>
      <c r="AZ769" s="58" t="s">
        <v>1527</v>
      </c>
      <c r="BA769" s="34" t="s">
        <v>128</v>
      </c>
      <c r="BC769" s="55">
        <f t="shared" si="204"/>
        <v>0</v>
      </c>
      <c r="BD769" s="55">
        <f t="shared" si="205"/>
        <v>0</v>
      </c>
      <c r="BE769" s="55">
        <v>0</v>
      </c>
      <c r="BF769" s="55">
        <f t="shared" si="206"/>
        <v>0</v>
      </c>
      <c r="BH769" s="55">
        <f t="shared" si="207"/>
        <v>0</v>
      </c>
      <c r="BI769" s="55">
        <f t="shared" si="208"/>
        <v>0</v>
      </c>
      <c r="BJ769" s="55">
        <f t="shared" si="209"/>
        <v>0</v>
      </c>
      <c r="BK769" s="55"/>
      <c r="BL769" s="55">
        <v>733</v>
      </c>
      <c r="BW769" s="55">
        <v>21</v>
      </c>
    </row>
    <row r="770" spans="1:75" ht="13.5" customHeight="1">
      <c r="A770" s="1" t="s">
        <v>1571</v>
      </c>
      <c r="B770" s="2" t="s">
        <v>116</v>
      </c>
      <c r="C770" s="2" t="s">
        <v>1572</v>
      </c>
      <c r="D770" s="147" t="s">
        <v>1573</v>
      </c>
      <c r="E770" s="148"/>
      <c r="F770" s="2" t="s">
        <v>174</v>
      </c>
      <c r="G770" s="55">
        <v>40</v>
      </c>
      <c r="H770" s="56">
        <v>0</v>
      </c>
      <c r="I770" s="55">
        <f t="shared" si="186"/>
        <v>0</v>
      </c>
      <c r="J770" s="55">
        <v>0</v>
      </c>
      <c r="K770" s="55">
        <f t="shared" si="187"/>
        <v>0</v>
      </c>
      <c r="L770" s="57" t="s">
        <v>124</v>
      </c>
      <c r="Z770" s="55">
        <f t="shared" si="188"/>
        <v>0</v>
      </c>
      <c r="AB770" s="55">
        <f t="shared" si="189"/>
        <v>0</v>
      </c>
      <c r="AC770" s="55">
        <f t="shared" si="190"/>
        <v>0</v>
      </c>
      <c r="AD770" s="55">
        <f t="shared" si="191"/>
        <v>0</v>
      </c>
      <c r="AE770" s="55">
        <f t="shared" si="192"/>
        <v>0</v>
      </c>
      <c r="AF770" s="55">
        <f t="shared" si="193"/>
        <v>0</v>
      </c>
      <c r="AG770" s="55">
        <f t="shared" si="194"/>
        <v>0</v>
      </c>
      <c r="AH770" s="55">
        <f t="shared" si="195"/>
        <v>0</v>
      </c>
      <c r="AI770" s="34" t="s">
        <v>116</v>
      </c>
      <c r="AJ770" s="55">
        <f t="shared" si="196"/>
        <v>0</v>
      </c>
      <c r="AK770" s="55">
        <f t="shared" si="197"/>
        <v>0</v>
      </c>
      <c r="AL770" s="55">
        <f t="shared" si="198"/>
        <v>0</v>
      </c>
      <c r="AN770" s="55">
        <v>21</v>
      </c>
      <c r="AO770" s="55">
        <f t="shared" si="199"/>
        <v>0</v>
      </c>
      <c r="AP770" s="55">
        <f t="shared" si="200"/>
        <v>0</v>
      </c>
      <c r="AQ770" s="58" t="s">
        <v>125</v>
      </c>
      <c r="AV770" s="55">
        <f t="shared" si="201"/>
        <v>0</v>
      </c>
      <c r="AW770" s="55">
        <f t="shared" si="202"/>
        <v>0</v>
      </c>
      <c r="AX770" s="55">
        <f t="shared" si="203"/>
        <v>0</v>
      </c>
      <c r="AY770" s="58" t="s">
        <v>1564</v>
      </c>
      <c r="AZ770" s="58" t="s">
        <v>1527</v>
      </c>
      <c r="BA770" s="34" t="s">
        <v>128</v>
      </c>
      <c r="BC770" s="55">
        <f t="shared" si="204"/>
        <v>0</v>
      </c>
      <c r="BD770" s="55">
        <f t="shared" si="205"/>
        <v>0</v>
      </c>
      <c r="BE770" s="55">
        <v>0</v>
      </c>
      <c r="BF770" s="55">
        <f t="shared" si="206"/>
        <v>0</v>
      </c>
      <c r="BH770" s="55">
        <f t="shared" si="207"/>
        <v>0</v>
      </c>
      <c r="BI770" s="55">
        <f t="shared" si="208"/>
        <v>0</v>
      </c>
      <c r="BJ770" s="55">
        <f t="shared" si="209"/>
        <v>0</v>
      </c>
      <c r="BK770" s="55"/>
      <c r="BL770" s="55">
        <v>733</v>
      </c>
      <c r="BW770" s="55">
        <v>21</v>
      </c>
    </row>
    <row r="771" spans="1:75" ht="13.5" customHeight="1">
      <c r="A771" s="1" t="s">
        <v>1574</v>
      </c>
      <c r="B771" s="2" t="s">
        <v>116</v>
      </c>
      <c r="C771" s="2" t="s">
        <v>1575</v>
      </c>
      <c r="D771" s="147" t="s">
        <v>1576</v>
      </c>
      <c r="E771" s="148"/>
      <c r="F771" s="2" t="s">
        <v>174</v>
      </c>
      <c r="G771" s="55">
        <v>50</v>
      </c>
      <c r="H771" s="56">
        <v>0</v>
      </c>
      <c r="I771" s="55">
        <f t="shared" si="186"/>
        <v>0</v>
      </c>
      <c r="J771" s="55">
        <v>0</v>
      </c>
      <c r="K771" s="55">
        <f t="shared" si="187"/>
        <v>0</v>
      </c>
      <c r="L771" s="57" t="s">
        <v>124</v>
      </c>
      <c r="Z771" s="55">
        <f t="shared" si="188"/>
        <v>0</v>
      </c>
      <c r="AB771" s="55">
        <f t="shared" si="189"/>
        <v>0</v>
      </c>
      <c r="AC771" s="55">
        <f t="shared" si="190"/>
        <v>0</v>
      </c>
      <c r="AD771" s="55">
        <f t="shared" si="191"/>
        <v>0</v>
      </c>
      <c r="AE771" s="55">
        <f t="shared" si="192"/>
        <v>0</v>
      </c>
      <c r="AF771" s="55">
        <f t="shared" si="193"/>
        <v>0</v>
      </c>
      <c r="AG771" s="55">
        <f t="shared" si="194"/>
        <v>0</v>
      </c>
      <c r="AH771" s="55">
        <f t="shared" si="195"/>
        <v>0</v>
      </c>
      <c r="AI771" s="34" t="s">
        <v>116</v>
      </c>
      <c r="AJ771" s="55">
        <f t="shared" si="196"/>
        <v>0</v>
      </c>
      <c r="AK771" s="55">
        <f t="shared" si="197"/>
        <v>0</v>
      </c>
      <c r="AL771" s="55">
        <f t="shared" si="198"/>
        <v>0</v>
      </c>
      <c r="AN771" s="55">
        <v>21</v>
      </c>
      <c r="AO771" s="55">
        <f t="shared" si="199"/>
        <v>0</v>
      </c>
      <c r="AP771" s="55">
        <f t="shared" si="200"/>
        <v>0</v>
      </c>
      <c r="AQ771" s="58" t="s">
        <v>125</v>
      </c>
      <c r="AV771" s="55">
        <f t="shared" si="201"/>
        <v>0</v>
      </c>
      <c r="AW771" s="55">
        <f t="shared" si="202"/>
        <v>0</v>
      </c>
      <c r="AX771" s="55">
        <f t="shared" si="203"/>
        <v>0</v>
      </c>
      <c r="AY771" s="58" t="s">
        <v>1564</v>
      </c>
      <c r="AZ771" s="58" t="s">
        <v>1527</v>
      </c>
      <c r="BA771" s="34" t="s">
        <v>128</v>
      </c>
      <c r="BC771" s="55">
        <f t="shared" si="204"/>
        <v>0</v>
      </c>
      <c r="BD771" s="55">
        <f t="shared" si="205"/>
        <v>0</v>
      </c>
      <c r="BE771" s="55">
        <v>0</v>
      </c>
      <c r="BF771" s="55">
        <f t="shared" si="206"/>
        <v>0</v>
      </c>
      <c r="BH771" s="55">
        <f t="shared" si="207"/>
        <v>0</v>
      </c>
      <c r="BI771" s="55">
        <f t="shared" si="208"/>
        <v>0</v>
      </c>
      <c r="BJ771" s="55">
        <f t="shared" si="209"/>
        <v>0</v>
      </c>
      <c r="BK771" s="55"/>
      <c r="BL771" s="55">
        <v>733</v>
      </c>
      <c r="BW771" s="55">
        <v>21</v>
      </c>
    </row>
    <row r="772" spans="1:75" ht="13.5" customHeight="1">
      <c r="A772" s="1" t="s">
        <v>1577</v>
      </c>
      <c r="B772" s="2" t="s">
        <v>116</v>
      </c>
      <c r="C772" s="2" t="s">
        <v>1578</v>
      </c>
      <c r="D772" s="147" t="s">
        <v>1579</v>
      </c>
      <c r="E772" s="148"/>
      <c r="F772" s="2" t="s">
        <v>174</v>
      </c>
      <c r="G772" s="55">
        <v>20</v>
      </c>
      <c r="H772" s="56">
        <v>0</v>
      </c>
      <c r="I772" s="55">
        <f t="shared" si="186"/>
        <v>0</v>
      </c>
      <c r="J772" s="55">
        <v>0</v>
      </c>
      <c r="K772" s="55">
        <f t="shared" si="187"/>
        <v>0</v>
      </c>
      <c r="L772" s="57" t="s">
        <v>124</v>
      </c>
      <c r="Z772" s="55">
        <f t="shared" si="188"/>
        <v>0</v>
      </c>
      <c r="AB772" s="55">
        <f t="shared" si="189"/>
        <v>0</v>
      </c>
      <c r="AC772" s="55">
        <f t="shared" si="190"/>
        <v>0</v>
      </c>
      <c r="AD772" s="55">
        <f t="shared" si="191"/>
        <v>0</v>
      </c>
      <c r="AE772" s="55">
        <f t="shared" si="192"/>
        <v>0</v>
      </c>
      <c r="AF772" s="55">
        <f t="shared" si="193"/>
        <v>0</v>
      </c>
      <c r="AG772" s="55">
        <f t="shared" si="194"/>
        <v>0</v>
      </c>
      <c r="AH772" s="55">
        <f t="shared" si="195"/>
        <v>0</v>
      </c>
      <c r="AI772" s="34" t="s">
        <v>116</v>
      </c>
      <c r="AJ772" s="55">
        <f t="shared" si="196"/>
        <v>0</v>
      </c>
      <c r="AK772" s="55">
        <f t="shared" si="197"/>
        <v>0</v>
      </c>
      <c r="AL772" s="55">
        <f t="shared" si="198"/>
        <v>0</v>
      </c>
      <c r="AN772" s="55">
        <v>21</v>
      </c>
      <c r="AO772" s="55">
        <f t="shared" si="199"/>
        <v>0</v>
      </c>
      <c r="AP772" s="55">
        <f t="shared" si="200"/>
        <v>0</v>
      </c>
      <c r="AQ772" s="58" t="s">
        <v>125</v>
      </c>
      <c r="AV772" s="55">
        <f t="shared" si="201"/>
        <v>0</v>
      </c>
      <c r="AW772" s="55">
        <f t="shared" si="202"/>
        <v>0</v>
      </c>
      <c r="AX772" s="55">
        <f t="shared" si="203"/>
        <v>0</v>
      </c>
      <c r="AY772" s="58" t="s">
        <v>1564</v>
      </c>
      <c r="AZ772" s="58" t="s">
        <v>1527</v>
      </c>
      <c r="BA772" s="34" t="s">
        <v>128</v>
      </c>
      <c r="BC772" s="55">
        <f t="shared" si="204"/>
        <v>0</v>
      </c>
      <c r="BD772" s="55">
        <f t="shared" si="205"/>
        <v>0</v>
      </c>
      <c r="BE772" s="55">
        <v>0</v>
      </c>
      <c r="BF772" s="55">
        <f t="shared" si="206"/>
        <v>0</v>
      </c>
      <c r="BH772" s="55">
        <f t="shared" si="207"/>
        <v>0</v>
      </c>
      <c r="BI772" s="55">
        <f t="shared" si="208"/>
        <v>0</v>
      </c>
      <c r="BJ772" s="55">
        <f t="shared" si="209"/>
        <v>0</v>
      </c>
      <c r="BK772" s="55"/>
      <c r="BL772" s="55">
        <v>733</v>
      </c>
      <c r="BW772" s="55">
        <v>21</v>
      </c>
    </row>
    <row r="773" spans="1:75" ht="13.5" customHeight="1">
      <c r="A773" s="1" t="s">
        <v>1580</v>
      </c>
      <c r="B773" s="2" t="s">
        <v>116</v>
      </c>
      <c r="C773" s="2" t="s">
        <v>1581</v>
      </c>
      <c r="D773" s="147" t="s">
        <v>1582</v>
      </c>
      <c r="E773" s="148"/>
      <c r="F773" s="2" t="s">
        <v>174</v>
      </c>
      <c r="G773" s="55">
        <v>20</v>
      </c>
      <c r="H773" s="56">
        <v>0</v>
      </c>
      <c r="I773" s="55">
        <f t="shared" si="186"/>
        <v>0</v>
      </c>
      <c r="J773" s="55">
        <v>0</v>
      </c>
      <c r="K773" s="55">
        <f t="shared" si="187"/>
        <v>0</v>
      </c>
      <c r="L773" s="57" t="s">
        <v>124</v>
      </c>
      <c r="Z773" s="55">
        <f t="shared" si="188"/>
        <v>0</v>
      </c>
      <c r="AB773" s="55">
        <f t="shared" si="189"/>
        <v>0</v>
      </c>
      <c r="AC773" s="55">
        <f t="shared" si="190"/>
        <v>0</v>
      </c>
      <c r="AD773" s="55">
        <f t="shared" si="191"/>
        <v>0</v>
      </c>
      <c r="AE773" s="55">
        <f t="shared" si="192"/>
        <v>0</v>
      </c>
      <c r="AF773" s="55">
        <f t="shared" si="193"/>
        <v>0</v>
      </c>
      <c r="AG773" s="55">
        <f t="shared" si="194"/>
        <v>0</v>
      </c>
      <c r="AH773" s="55">
        <f t="shared" si="195"/>
        <v>0</v>
      </c>
      <c r="AI773" s="34" t="s">
        <v>116</v>
      </c>
      <c r="AJ773" s="55">
        <f t="shared" si="196"/>
        <v>0</v>
      </c>
      <c r="AK773" s="55">
        <f t="shared" si="197"/>
        <v>0</v>
      </c>
      <c r="AL773" s="55">
        <f t="shared" si="198"/>
        <v>0</v>
      </c>
      <c r="AN773" s="55">
        <v>21</v>
      </c>
      <c r="AO773" s="55">
        <f t="shared" si="199"/>
        <v>0</v>
      </c>
      <c r="AP773" s="55">
        <f t="shared" si="200"/>
        <v>0</v>
      </c>
      <c r="AQ773" s="58" t="s">
        <v>125</v>
      </c>
      <c r="AV773" s="55">
        <f t="shared" si="201"/>
        <v>0</v>
      </c>
      <c r="AW773" s="55">
        <f t="shared" si="202"/>
        <v>0</v>
      </c>
      <c r="AX773" s="55">
        <f t="shared" si="203"/>
        <v>0</v>
      </c>
      <c r="AY773" s="58" t="s">
        <v>1564</v>
      </c>
      <c r="AZ773" s="58" t="s">
        <v>1527</v>
      </c>
      <c r="BA773" s="34" t="s">
        <v>128</v>
      </c>
      <c r="BC773" s="55">
        <f t="shared" si="204"/>
        <v>0</v>
      </c>
      <c r="BD773" s="55">
        <f t="shared" si="205"/>
        <v>0</v>
      </c>
      <c r="BE773" s="55">
        <v>0</v>
      </c>
      <c r="BF773" s="55">
        <f t="shared" si="206"/>
        <v>0</v>
      </c>
      <c r="BH773" s="55">
        <f t="shared" si="207"/>
        <v>0</v>
      </c>
      <c r="BI773" s="55">
        <f t="shared" si="208"/>
        <v>0</v>
      </c>
      <c r="BJ773" s="55">
        <f t="shared" si="209"/>
        <v>0</v>
      </c>
      <c r="BK773" s="55"/>
      <c r="BL773" s="55">
        <v>733</v>
      </c>
      <c r="BW773" s="55">
        <v>21</v>
      </c>
    </row>
    <row r="774" spans="1:75" ht="13.5" customHeight="1">
      <c r="A774" s="1" t="s">
        <v>1583</v>
      </c>
      <c r="B774" s="2" t="s">
        <v>116</v>
      </c>
      <c r="C774" s="2" t="s">
        <v>1584</v>
      </c>
      <c r="D774" s="147" t="s">
        <v>1585</v>
      </c>
      <c r="E774" s="148"/>
      <c r="F774" s="2" t="s">
        <v>174</v>
      </c>
      <c r="G774" s="55">
        <v>290</v>
      </c>
      <c r="H774" s="56">
        <v>0</v>
      </c>
      <c r="I774" s="55">
        <f t="shared" si="186"/>
        <v>0</v>
      </c>
      <c r="J774" s="55">
        <v>0</v>
      </c>
      <c r="K774" s="55">
        <f t="shared" si="187"/>
        <v>0</v>
      </c>
      <c r="L774" s="57" t="s">
        <v>124</v>
      </c>
      <c r="Z774" s="55">
        <f t="shared" si="188"/>
        <v>0</v>
      </c>
      <c r="AB774" s="55">
        <f t="shared" si="189"/>
        <v>0</v>
      </c>
      <c r="AC774" s="55">
        <f t="shared" si="190"/>
        <v>0</v>
      </c>
      <c r="AD774" s="55">
        <f t="shared" si="191"/>
        <v>0</v>
      </c>
      <c r="AE774" s="55">
        <f t="shared" si="192"/>
        <v>0</v>
      </c>
      <c r="AF774" s="55">
        <f t="shared" si="193"/>
        <v>0</v>
      </c>
      <c r="AG774" s="55">
        <f t="shared" si="194"/>
        <v>0</v>
      </c>
      <c r="AH774" s="55">
        <f t="shared" si="195"/>
        <v>0</v>
      </c>
      <c r="AI774" s="34" t="s">
        <v>116</v>
      </c>
      <c r="AJ774" s="55">
        <f t="shared" si="196"/>
        <v>0</v>
      </c>
      <c r="AK774" s="55">
        <f t="shared" si="197"/>
        <v>0</v>
      </c>
      <c r="AL774" s="55">
        <f t="shared" si="198"/>
        <v>0</v>
      </c>
      <c r="AN774" s="55">
        <v>21</v>
      </c>
      <c r="AO774" s="55">
        <f t="shared" si="199"/>
        <v>0</v>
      </c>
      <c r="AP774" s="55">
        <f t="shared" si="200"/>
        <v>0</v>
      </c>
      <c r="AQ774" s="58" t="s">
        <v>125</v>
      </c>
      <c r="AV774" s="55">
        <f t="shared" si="201"/>
        <v>0</v>
      </c>
      <c r="AW774" s="55">
        <f t="shared" si="202"/>
        <v>0</v>
      </c>
      <c r="AX774" s="55">
        <f t="shared" si="203"/>
        <v>0</v>
      </c>
      <c r="AY774" s="58" t="s">
        <v>1564</v>
      </c>
      <c r="AZ774" s="58" t="s">
        <v>1527</v>
      </c>
      <c r="BA774" s="34" t="s">
        <v>128</v>
      </c>
      <c r="BC774" s="55">
        <f t="shared" si="204"/>
        <v>0</v>
      </c>
      <c r="BD774" s="55">
        <f t="shared" si="205"/>
        <v>0</v>
      </c>
      <c r="BE774" s="55">
        <v>0</v>
      </c>
      <c r="BF774" s="55">
        <f t="shared" si="206"/>
        <v>0</v>
      </c>
      <c r="BH774" s="55">
        <f t="shared" si="207"/>
        <v>0</v>
      </c>
      <c r="BI774" s="55">
        <f t="shared" si="208"/>
        <v>0</v>
      </c>
      <c r="BJ774" s="55">
        <f t="shared" si="209"/>
        <v>0</v>
      </c>
      <c r="BK774" s="55"/>
      <c r="BL774" s="55">
        <v>733</v>
      </c>
      <c r="BW774" s="55">
        <v>21</v>
      </c>
    </row>
    <row r="775" spans="1:75" ht="13.5" customHeight="1">
      <c r="A775" s="1" t="s">
        <v>1586</v>
      </c>
      <c r="B775" s="2" t="s">
        <v>116</v>
      </c>
      <c r="C775" s="2" t="s">
        <v>1587</v>
      </c>
      <c r="D775" s="147" t="s">
        <v>1588</v>
      </c>
      <c r="E775" s="148"/>
      <c r="F775" s="2" t="s">
        <v>939</v>
      </c>
      <c r="G775" s="55">
        <v>0.25</v>
      </c>
      <c r="H775" s="56">
        <v>0</v>
      </c>
      <c r="I775" s="55">
        <f t="shared" si="186"/>
        <v>0</v>
      </c>
      <c r="J775" s="55">
        <v>0</v>
      </c>
      <c r="K775" s="55">
        <f t="shared" si="187"/>
        <v>0</v>
      </c>
      <c r="L775" s="57" t="s">
        <v>124</v>
      </c>
      <c r="Z775" s="55">
        <f t="shared" si="188"/>
        <v>0</v>
      </c>
      <c r="AB775" s="55">
        <f t="shared" si="189"/>
        <v>0</v>
      </c>
      <c r="AC775" s="55">
        <f t="shared" si="190"/>
        <v>0</v>
      </c>
      <c r="AD775" s="55">
        <f t="shared" si="191"/>
        <v>0</v>
      </c>
      <c r="AE775" s="55">
        <f t="shared" si="192"/>
        <v>0</v>
      </c>
      <c r="AF775" s="55">
        <f t="shared" si="193"/>
        <v>0</v>
      </c>
      <c r="AG775" s="55">
        <f t="shared" si="194"/>
        <v>0</v>
      </c>
      <c r="AH775" s="55">
        <f t="shared" si="195"/>
        <v>0</v>
      </c>
      <c r="AI775" s="34" t="s">
        <v>116</v>
      </c>
      <c r="AJ775" s="55">
        <f t="shared" si="196"/>
        <v>0</v>
      </c>
      <c r="AK775" s="55">
        <f t="shared" si="197"/>
        <v>0</v>
      </c>
      <c r="AL775" s="55">
        <f t="shared" si="198"/>
        <v>0</v>
      </c>
      <c r="AN775" s="55">
        <v>21</v>
      </c>
      <c r="AO775" s="55">
        <f t="shared" si="199"/>
        <v>0</v>
      </c>
      <c r="AP775" s="55">
        <f t="shared" si="200"/>
        <v>0</v>
      </c>
      <c r="AQ775" s="58" t="s">
        <v>139</v>
      </c>
      <c r="AV775" s="55">
        <f t="shared" si="201"/>
        <v>0</v>
      </c>
      <c r="AW775" s="55">
        <f t="shared" si="202"/>
        <v>0</v>
      </c>
      <c r="AX775" s="55">
        <f t="shared" si="203"/>
        <v>0</v>
      </c>
      <c r="AY775" s="58" t="s">
        <v>1564</v>
      </c>
      <c r="AZ775" s="58" t="s">
        <v>1527</v>
      </c>
      <c r="BA775" s="34" t="s">
        <v>128</v>
      </c>
      <c r="BC775" s="55">
        <f t="shared" si="204"/>
        <v>0</v>
      </c>
      <c r="BD775" s="55">
        <f t="shared" si="205"/>
        <v>0</v>
      </c>
      <c r="BE775" s="55">
        <v>0</v>
      </c>
      <c r="BF775" s="55">
        <f t="shared" si="206"/>
        <v>0</v>
      </c>
      <c r="BH775" s="55">
        <f t="shared" si="207"/>
        <v>0</v>
      </c>
      <c r="BI775" s="55">
        <f t="shared" si="208"/>
        <v>0</v>
      </c>
      <c r="BJ775" s="55">
        <f t="shared" si="209"/>
        <v>0</v>
      </c>
      <c r="BK775" s="55"/>
      <c r="BL775" s="55">
        <v>733</v>
      </c>
      <c r="BW775" s="55">
        <v>21</v>
      </c>
    </row>
    <row r="776" spans="1:47" ht="14.4">
      <c r="A776" s="50" t="s">
        <v>4</v>
      </c>
      <c r="B776" s="51" t="s">
        <v>116</v>
      </c>
      <c r="C776" s="51" t="s">
        <v>1589</v>
      </c>
      <c r="D776" s="222" t="s">
        <v>1590</v>
      </c>
      <c r="E776" s="223"/>
      <c r="F776" s="52" t="s">
        <v>79</v>
      </c>
      <c r="G776" s="52" t="s">
        <v>79</v>
      </c>
      <c r="H776" s="53" t="s">
        <v>79</v>
      </c>
      <c r="I776" s="27">
        <f>SUM(I777:I790)</f>
        <v>0</v>
      </c>
      <c r="J776" s="34" t="s">
        <v>4</v>
      </c>
      <c r="K776" s="27">
        <f>SUM(K777:K790)</f>
        <v>0</v>
      </c>
      <c r="L776" s="54" t="s">
        <v>4</v>
      </c>
      <c r="AI776" s="34" t="s">
        <v>116</v>
      </c>
      <c r="AS776" s="27">
        <f>SUM(AJ777:AJ790)</f>
        <v>0</v>
      </c>
      <c r="AT776" s="27">
        <f>SUM(AK777:AK790)</f>
        <v>0</v>
      </c>
      <c r="AU776" s="27">
        <f>SUM(AL777:AL790)</f>
        <v>0</v>
      </c>
    </row>
    <row r="777" spans="1:75" ht="13.5" customHeight="1">
      <c r="A777" s="1" t="s">
        <v>1591</v>
      </c>
      <c r="B777" s="2" t="s">
        <v>116</v>
      </c>
      <c r="C777" s="2" t="s">
        <v>1592</v>
      </c>
      <c r="D777" s="147" t="s">
        <v>1593</v>
      </c>
      <c r="E777" s="148"/>
      <c r="F777" s="2" t="s">
        <v>374</v>
      </c>
      <c r="G777" s="55">
        <v>1</v>
      </c>
      <c r="H777" s="56">
        <v>0</v>
      </c>
      <c r="I777" s="55">
        <f aca="true" t="shared" si="210" ref="I777:I790">G777*H777</f>
        <v>0</v>
      </c>
      <c r="J777" s="55">
        <v>0</v>
      </c>
      <c r="K777" s="55">
        <f aca="true" t="shared" si="211" ref="K777:K790">G777*J777</f>
        <v>0</v>
      </c>
      <c r="L777" s="57" t="s">
        <v>124</v>
      </c>
      <c r="Z777" s="55">
        <f aca="true" t="shared" si="212" ref="Z777:Z790">IF(AQ777="5",BJ777,0)</f>
        <v>0</v>
      </c>
      <c r="AB777" s="55">
        <f aca="true" t="shared" si="213" ref="AB777:AB790">IF(AQ777="1",BH777,0)</f>
        <v>0</v>
      </c>
      <c r="AC777" s="55">
        <f aca="true" t="shared" si="214" ref="AC777:AC790">IF(AQ777="1",BI777,0)</f>
        <v>0</v>
      </c>
      <c r="AD777" s="55">
        <f aca="true" t="shared" si="215" ref="AD777:AD790">IF(AQ777="7",BH777,0)</f>
        <v>0</v>
      </c>
      <c r="AE777" s="55">
        <f aca="true" t="shared" si="216" ref="AE777:AE790">IF(AQ777="7",BI777,0)</f>
        <v>0</v>
      </c>
      <c r="AF777" s="55">
        <f aca="true" t="shared" si="217" ref="AF777:AF790">IF(AQ777="2",BH777,0)</f>
        <v>0</v>
      </c>
      <c r="AG777" s="55">
        <f aca="true" t="shared" si="218" ref="AG777:AG790">IF(AQ777="2",BI777,0)</f>
        <v>0</v>
      </c>
      <c r="AH777" s="55">
        <f aca="true" t="shared" si="219" ref="AH777:AH790">IF(AQ777="0",BJ777,0)</f>
        <v>0</v>
      </c>
      <c r="AI777" s="34" t="s">
        <v>116</v>
      </c>
      <c r="AJ777" s="55">
        <f aca="true" t="shared" si="220" ref="AJ777:AJ790">IF(AN777=0,I777,0)</f>
        <v>0</v>
      </c>
      <c r="AK777" s="55">
        <f aca="true" t="shared" si="221" ref="AK777:AK790">IF(AN777=12,I777,0)</f>
        <v>0</v>
      </c>
      <c r="AL777" s="55">
        <f aca="true" t="shared" si="222" ref="AL777:AL790">IF(AN777=21,I777,0)</f>
        <v>0</v>
      </c>
      <c r="AN777" s="55">
        <v>21</v>
      </c>
      <c r="AO777" s="55">
        <f aca="true" t="shared" si="223" ref="AO777:AO790">H777*0</f>
        <v>0</v>
      </c>
      <c r="AP777" s="55">
        <f aca="true" t="shared" si="224" ref="AP777:AP790">H777*(1-0)</f>
        <v>0</v>
      </c>
      <c r="AQ777" s="58" t="s">
        <v>125</v>
      </c>
      <c r="AV777" s="55">
        <f aca="true" t="shared" si="225" ref="AV777:AV790">AW777+AX777</f>
        <v>0</v>
      </c>
      <c r="AW777" s="55">
        <f aca="true" t="shared" si="226" ref="AW777:AW790">G777*AO777</f>
        <v>0</v>
      </c>
      <c r="AX777" s="55">
        <f aca="true" t="shared" si="227" ref="AX777:AX790">G777*AP777</f>
        <v>0</v>
      </c>
      <c r="AY777" s="58" t="s">
        <v>1594</v>
      </c>
      <c r="AZ777" s="58" t="s">
        <v>1527</v>
      </c>
      <c r="BA777" s="34" t="s">
        <v>128</v>
      </c>
      <c r="BC777" s="55">
        <f aca="true" t="shared" si="228" ref="BC777:BC790">AW777+AX777</f>
        <v>0</v>
      </c>
      <c r="BD777" s="55">
        <f aca="true" t="shared" si="229" ref="BD777:BD790">H777/(100-BE777)*100</f>
        <v>0</v>
      </c>
      <c r="BE777" s="55">
        <v>0</v>
      </c>
      <c r="BF777" s="55">
        <f aca="true" t="shared" si="230" ref="BF777:BF790">K777</f>
        <v>0</v>
      </c>
      <c r="BH777" s="55">
        <f aca="true" t="shared" si="231" ref="BH777:BH790">G777*AO777</f>
        <v>0</v>
      </c>
      <c r="BI777" s="55">
        <f aca="true" t="shared" si="232" ref="BI777:BI790">G777*AP777</f>
        <v>0</v>
      </c>
      <c r="BJ777" s="55">
        <f aca="true" t="shared" si="233" ref="BJ777:BJ790">G777*H777</f>
        <v>0</v>
      </c>
      <c r="BK777" s="55"/>
      <c r="BL777" s="55">
        <v>734</v>
      </c>
      <c r="BW777" s="55">
        <v>21</v>
      </c>
    </row>
    <row r="778" spans="1:75" ht="13.5" customHeight="1">
      <c r="A778" s="1" t="s">
        <v>1595</v>
      </c>
      <c r="B778" s="2" t="s">
        <v>116</v>
      </c>
      <c r="C778" s="2" t="s">
        <v>1596</v>
      </c>
      <c r="D778" s="147" t="s">
        <v>1597</v>
      </c>
      <c r="E778" s="148"/>
      <c r="F778" s="2" t="s">
        <v>374</v>
      </c>
      <c r="G778" s="55">
        <v>8</v>
      </c>
      <c r="H778" s="56">
        <v>0</v>
      </c>
      <c r="I778" s="55">
        <f t="shared" si="210"/>
        <v>0</v>
      </c>
      <c r="J778" s="55">
        <v>0</v>
      </c>
      <c r="K778" s="55">
        <f t="shared" si="211"/>
        <v>0</v>
      </c>
      <c r="L778" s="57" t="s">
        <v>124</v>
      </c>
      <c r="Z778" s="55">
        <f t="shared" si="212"/>
        <v>0</v>
      </c>
      <c r="AB778" s="55">
        <f t="shared" si="213"/>
        <v>0</v>
      </c>
      <c r="AC778" s="55">
        <f t="shared" si="214"/>
        <v>0</v>
      </c>
      <c r="AD778" s="55">
        <f t="shared" si="215"/>
        <v>0</v>
      </c>
      <c r="AE778" s="55">
        <f t="shared" si="216"/>
        <v>0</v>
      </c>
      <c r="AF778" s="55">
        <f t="shared" si="217"/>
        <v>0</v>
      </c>
      <c r="AG778" s="55">
        <f t="shared" si="218"/>
        <v>0</v>
      </c>
      <c r="AH778" s="55">
        <f t="shared" si="219"/>
        <v>0</v>
      </c>
      <c r="AI778" s="34" t="s">
        <v>116</v>
      </c>
      <c r="AJ778" s="55">
        <f t="shared" si="220"/>
        <v>0</v>
      </c>
      <c r="AK778" s="55">
        <f t="shared" si="221"/>
        <v>0</v>
      </c>
      <c r="AL778" s="55">
        <f t="shared" si="222"/>
        <v>0</v>
      </c>
      <c r="AN778" s="55">
        <v>21</v>
      </c>
      <c r="AO778" s="55">
        <f t="shared" si="223"/>
        <v>0</v>
      </c>
      <c r="AP778" s="55">
        <f t="shared" si="224"/>
        <v>0</v>
      </c>
      <c r="AQ778" s="58" t="s">
        <v>125</v>
      </c>
      <c r="AV778" s="55">
        <f t="shared" si="225"/>
        <v>0</v>
      </c>
      <c r="AW778" s="55">
        <f t="shared" si="226"/>
        <v>0</v>
      </c>
      <c r="AX778" s="55">
        <f t="shared" si="227"/>
        <v>0</v>
      </c>
      <c r="AY778" s="58" t="s">
        <v>1594</v>
      </c>
      <c r="AZ778" s="58" t="s">
        <v>1527</v>
      </c>
      <c r="BA778" s="34" t="s">
        <v>128</v>
      </c>
      <c r="BC778" s="55">
        <f t="shared" si="228"/>
        <v>0</v>
      </c>
      <c r="BD778" s="55">
        <f t="shared" si="229"/>
        <v>0</v>
      </c>
      <c r="BE778" s="55">
        <v>0</v>
      </c>
      <c r="BF778" s="55">
        <f t="shared" si="230"/>
        <v>0</v>
      </c>
      <c r="BH778" s="55">
        <f t="shared" si="231"/>
        <v>0</v>
      </c>
      <c r="BI778" s="55">
        <f t="shared" si="232"/>
        <v>0</v>
      </c>
      <c r="BJ778" s="55">
        <f t="shared" si="233"/>
        <v>0</v>
      </c>
      <c r="BK778" s="55"/>
      <c r="BL778" s="55">
        <v>734</v>
      </c>
      <c r="BW778" s="55">
        <v>21</v>
      </c>
    </row>
    <row r="779" spans="1:75" ht="13.5" customHeight="1">
      <c r="A779" s="1" t="s">
        <v>1598</v>
      </c>
      <c r="B779" s="2" t="s">
        <v>116</v>
      </c>
      <c r="C779" s="2" t="s">
        <v>1599</v>
      </c>
      <c r="D779" s="147" t="s">
        <v>1600</v>
      </c>
      <c r="E779" s="148"/>
      <c r="F779" s="2" t="s">
        <v>374</v>
      </c>
      <c r="G779" s="55">
        <v>20</v>
      </c>
      <c r="H779" s="56">
        <v>0</v>
      </c>
      <c r="I779" s="55">
        <f t="shared" si="210"/>
        <v>0</v>
      </c>
      <c r="J779" s="55">
        <v>0</v>
      </c>
      <c r="K779" s="55">
        <f t="shared" si="211"/>
        <v>0</v>
      </c>
      <c r="L779" s="57" t="s">
        <v>124</v>
      </c>
      <c r="Z779" s="55">
        <f t="shared" si="212"/>
        <v>0</v>
      </c>
      <c r="AB779" s="55">
        <f t="shared" si="213"/>
        <v>0</v>
      </c>
      <c r="AC779" s="55">
        <f t="shared" si="214"/>
        <v>0</v>
      </c>
      <c r="AD779" s="55">
        <f t="shared" si="215"/>
        <v>0</v>
      </c>
      <c r="AE779" s="55">
        <f t="shared" si="216"/>
        <v>0</v>
      </c>
      <c r="AF779" s="55">
        <f t="shared" si="217"/>
        <v>0</v>
      </c>
      <c r="AG779" s="55">
        <f t="shared" si="218"/>
        <v>0</v>
      </c>
      <c r="AH779" s="55">
        <f t="shared" si="219"/>
        <v>0</v>
      </c>
      <c r="AI779" s="34" t="s">
        <v>116</v>
      </c>
      <c r="AJ779" s="55">
        <f t="shared" si="220"/>
        <v>0</v>
      </c>
      <c r="AK779" s="55">
        <f t="shared" si="221"/>
        <v>0</v>
      </c>
      <c r="AL779" s="55">
        <f t="shared" si="222"/>
        <v>0</v>
      </c>
      <c r="AN779" s="55">
        <v>21</v>
      </c>
      <c r="AO779" s="55">
        <f t="shared" si="223"/>
        <v>0</v>
      </c>
      <c r="AP779" s="55">
        <f t="shared" si="224"/>
        <v>0</v>
      </c>
      <c r="AQ779" s="58" t="s">
        <v>125</v>
      </c>
      <c r="AV779" s="55">
        <f t="shared" si="225"/>
        <v>0</v>
      </c>
      <c r="AW779" s="55">
        <f t="shared" si="226"/>
        <v>0</v>
      </c>
      <c r="AX779" s="55">
        <f t="shared" si="227"/>
        <v>0</v>
      </c>
      <c r="AY779" s="58" t="s">
        <v>1594</v>
      </c>
      <c r="AZ779" s="58" t="s">
        <v>1527</v>
      </c>
      <c r="BA779" s="34" t="s">
        <v>128</v>
      </c>
      <c r="BC779" s="55">
        <f t="shared" si="228"/>
        <v>0</v>
      </c>
      <c r="BD779" s="55">
        <f t="shared" si="229"/>
        <v>0</v>
      </c>
      <c r="BE779" s="55">
        <v>0</v>
      </c>
      <c r="BF779" s="55">
        <f t="shared" si="230"/>
        <v>0</v>
      </c>
      <c r="BH779" s="55">
        <f t="shared" si="231"/>
        <v>0</v>
      </c>
      <c r="BI779" s="55">
        <f t="shared" si="232"/>
        <v>0</v>
      </c>
      <c r="BJ779" s="55">
        <f t="shared" si="233"/>
        <v>0</v>
      </c>
      <c r="BK779" s="55"/>
      <c r="BL779" s="55">
        <v>734</v>
      </c>
      <c r="BW779" s="55">
        <v>21</v>
      </c>
    </row>
    <row r="780" spans="1:75" ht="13.5" customHeight="1">
      <c r="A780" s="1" t="s">
        <v>1601</v>
      </c>
      <c r="B780" s="2" t="s">
        <v>116</v>
      </c>
      <c r="C780" s="2" t="s">
        <v>1602</v>
      </c>
      <c r="D780" s="147" t="s">
        <v>1603</v>
      </c>
      <c r="E780" s="148"/>
      <c r="F780" s="2" t="s">
        <v>374</v>
      </c>
      <c r="G780" s="55">
        <v>3</v>
      </c>
      <c r="H780" s="56">
        <v>0</v>
      </c>
      <c r="I780" s="55">
        <f t="shared" si="210"/>
        <v>0</v>
      </c>
      <c r="J780" s="55">
        <v>0</v>
      </c>
      <c r="K780" s="55">
        <f t="shared" si="211"/>
        <v>0</v>
      </c>
      <c r="L780" s="57" t="s">
        <v>124</v>
      </c>
      <c r="Z780" s="55">
        <f t="shared" si="212"/>
        <v>0</v>
      </c>
      <c r="AB780" s="55">
        <f t="shared" si="213"/>
        <v>0</v>
      </c>
      <c r="AC780" s="55">
        <f t="shared" si="214"/>
        <v>0</v>
      </c>
      <c r="AD780" s="55">
        <f t="shared" si="215"/>
        <v>0</v>
      </c>
      <c r="AE780" s="55">
        <f t="shared" si="216"/>
        <v>0</v>
      </c>
      <c r="AF780" s="55">
        <f t="shared" si="217"/>
        <v>0</v>
      </c>
      <c r="AG780" s="55">
        <f t="shared" si="218"/>
        <v>0</v>
      </c>
      <c r="AH780" s="55">
        <f t="shared" si="219"/>
        <v>0</v>
      </c>
      <c r="AI780" s="34" t="s">
        <v>116</v>
      </c>
      <c r="AJ780" s="55">
        <f t="shared" si="220"/>
        <v>0</v>
      </c>
      <c r="AK780" s="55">
        <f t="shared" si="221"/>
        <v>0</v>
      </c>
      <c r="AL780" s="55">
        <f t="shared" si="222"/>
        <v>0</v>
      </c>
      <c r="AN780" s="55">
        <v>21</v>
      </c>
      <c r="AO780" s="55">
        <f t="shared" si="223"/>
        <v>0</v>
      </c>
      <c r="AP780" s="55">
        <f t="shared" si="224"/>
        <v>0</v>
      </c>
      <c r="AQ780" s="58" t="s">
        <v>125</v>
      </c>
      <c r="AV780" s="55">
        <f t="shared" si="225"/>
        <v>0</v>
      </c>
      <c r="AW780" s="55">
        <f t="shared" si="226"/>
        <v>0</v>
      </c>
      <c r="AX780" s="55">
        <f t="shared" si="227"/>
        <v>0</v>
      </c>
      <c r="AY780" s="58" t="s">
        <v>1594</v>
      </c>
      <c r="AZ780" s="58" t="s">
        <v>1527</v>
      </c>
      <c r="BA780" s="34" t="s">
        <v>128</v>
      </c>
      <c r="BC780" s="55">
        <f t="shared" si="228"/>
        <v>0</v>
      </c>
      <c r="BD780" s="55">
        <f t="shared" si="229"/>
        <v>0</v>
      </c>
      <c r="BE780" s="55">
        <v>0</v>
      </c>
      <c r="BF780" s="55">
        <f t="shared" si="230"/>
        <v>0</v>
      </c>
      <c r="BH780" s="55">
        <f t="shared" si="231"/>
        <v>0</v>
      </c>
      <c r="BI780" s="55">
        <f t="shared" si="232"/>
        <v>0</v>
      </c>
      <c r="BJ780" s="55">
        <f t="shared" si="233"/>
        <v>0</v>
      </c>
      <c r="BK780" s="55"/>
      <c r="BL780" s="55">
        <v>734</v>
      </c>
      <c r="BW780" s="55">
        <v>21</v>
      </c>
    </row>
    <row r="781" spans="1:75" ht="13.5" customHeight="1">
      <c r="A781" s="1" t="s">
        <v>1070</v>
      </c>
      <c r="B781" s="2" t="s">
        <v>116</v>
      </c>
      <c r="C781" s="2" t="s">
        <v>1604</v>
      </c>
      <c r="D781" s="147" t="s">
        <v>1605</v>
      </c>
      <c r="E781" s="148"/>
      <c r="F781" s="2" t="s">
        <v>374</v>
      </c>
      <c r="G781" s="55">
        <v>1</v>
      </c>
      <c r="H781" s="56">
        <v>0</v>
      </c>
      <c r="I781" s="55">
        <f t="shared" si="210"/>
        <v>0</v>
      </c>
      <c r="J781" s="55">
        <v>0</v>
      </c>
      <c r="K781" s="55">
        <f t="shared" si="211"/>
        <v>0</v>
      </c>
      <c r="L781" s="57" t="s">
        <v>124</v>
      </c>
      <c r="Z781" s="55">
        <f t="shared" si="212"/>
        <v>0</v>
      </c>
      <c r="AB781" s="55">
        <f t="shared" si="213"/>
        <v>0</v>
      </c>
      <c r="AC781" s="55">
        <f t="shared" si="214"/>
        <v>0</v>
      </c>
      <c r="AD781" s="55">
        <f t="shared" si="215"/>
        <v>0</v>
      </c>
      <c r="AE781" s="55">
        <f t="shared" si="216"/>
        <v>0</v>
      </c>
      <c r="AF781" s="55">
        <f t="shared" si="217"/>
        <v>0</v>
      </c>
      <c r="AG781" s="55">
        <f t="shared" si="218"/>
        <v>0</v>
      </c>
      <c r="AH781" s="55">
        <f t="shared" si="219"/>
        <v>0</v>
      </c>
      <c r="AI781" s="34" t="s">
        <v>116</v>
      </c>
      <c r="AJ781" s="55">
        <f t="shared" si="220"/>
        <v>0</v>
      </c>
      <c r="AK781" s="55">
        <f t="shared" si="221"/>
        <v>0</v>
      </c>
      <c r="AL781" s="55">
        <f t="shared" si="222"/>
        <v>0</v>
      </c>
      <c r="AN781" s="55">
        <v>21</v>
      </c>
      <c r="AO781" s="55">
        <f t="shared" si="223"/>
        <v>0</v>
      </c>
      <c r="AP781" s="55">
        <f t="shared" si="224"/>
        <v>0</v>
      </c>
      <c r="AQ781" s="58" t="s">
        <v>125</v>
      </c>
      <c r="AV781" s="55">
        <f t="shared" si="225"/>
        <v>0</v>
      </c>
      <c r="AW781" s="55">
        <f t="shared" si="226"/>
        <v>0</v>
      </c>
      <c r="AX781" s="55">
        <f t="shared" si="227"/>
        <v>0</v>
      </c>
      <c r="AY781" s="58" t="s">
        <v>1594</v>
      </c>
      <c r="AZ781" s="58" t="s">
        <v>1527</v>
      </c>
      <c r="BA781" s="34" t="s">
        <v>128</v>
      </c>
      <c r="BC781" s="55">
        <f t="shared" si="228"/>
        <v>0</v>
      </c>
      <c r="BD781" s="55">
        <f t="shared" si="229"/>
        <v>0</v>
      </c>
      <c r="BE781" s="55">
        <v>0</v>
      </c>
      <c r="BF781" s="55">
        <f t="shared" si="230"/>
        <v>0</v>
      </c>
      <c r="BH781" s="55">
        <f t="shared" si="231"/>
        <v>0</v>
      </c>
      <c r="BI781" s="55">
        <f t="shared" si="232"/>
        <v>0</v>
      </c>
      <c r="BJ781" s="55">
        <f t="shared" si="233"/>
        <v>0</v>
      </c>
      <c r="BK781" s="55"/>
      <c r="BL781" s="55">
        <v>734</v>
      </c>
      <c r="BW781" s="55">
        <v>21</v>
      </c>
    </row>
    <row r="782" spans="1:75" ht="13.5" customHeight="1">
      <c r="A782" s="1" t="s">
        <v>1072</v>
      </c>
      <c r="B782" s="2" t="s">
        <v>116</v>
      </c>
      <c r="C782" s="2" t="s">
        <v>1606</v>
      </c>
      <c r="D782" s="147" t="s">
        <v>1607</v>
      </c>
      <c r="E782" s="148"/>
      <c r="F782" s="2" t="s">
        <v>374</v>
      </c>
      <c r="G782" s="55">
        <v>20</v>
      </c>
      <c r="H782" s="56">
        <v>0</v>
      </c>
      <c r="I782" s="55">
        <f t="shared" si="210"/>
        <v>0</v>
      </c>
      <c r="J782" s="55">
        <v>0</v>
      </c>
      <c r="K782" s="55">
        <f t="shared" si="211"/>
        <v>0</v>
      </c>
      <c r="L782" s="57" t="s">
        <v>124</v>
      </c>
      <c r="Z782" s="55">
        <f t="shared" si="212"/>
        <v>0</v>
      </c>
      <c r="AB782" s="55">
        <f t="shared" si="213"/>
        <v>0</v>
      </c>
      <c r="AC782" s="55">
        <f t="shared" si="214"/>
        <v>0</v>
      </c>
      <c r="AD782" s="55">
        <f t="shared" si="215"/>
        <v>0</v>
      </c>
      <c r="AE782" s="55">
        <f t="shared" si="216"/>
        <v>0</v>
      </c>
      <c r="AF782" s="55">
        <f t="shared" si="217"/>
        <v>0</v>
      </c>
      <c r="AG782" s="55">
        <f t="shared" si="218"/>
        <v>0</v>
      </c>
      <c r="AH782" s="55">
        <f t="shared" si="219"/>
        <v>0</v>
      </c>
      <c r="AI782" s="34" t="s">
        <v>116</v>
      </c>
      <c r="AJ782" s="55">
        <f t="shared" si="220"/>
        <v>0</v>
      </c>
      <c r="AK782" s="55">
        <f t="shared" si="221"/>
        <v>0</v>
      </c>
      <c r="AL782" s="55">
        <f t="shared" si="222"/>
        <v>0</v>
      </c>
      <c r="AN782" s="55">
        <v>21</v>
      </c>
      <c r="AO782" s="55">
        <f t="shared" si="223"/>
        <v>0</v>
      </c>
      <c r="AP782" s="55">
        <f t="shared" si="224"/>
        <v>0</v>
      </c>
      <c r="AQ782" s="58" t="s">
        <v>125</v>
      </c>
      <c r="AV782" s="55">
        <f t="shared" si="225"/>
        <v>0</v>
      </c>
      <c r="AW782" s="55">
        <f t="shared" si="226"/>
        <v>0</v>
      </c>
      <c r="AX782" s="55">
        <f t="shared" si="227"/>
        <v>0</v>
      </c>
      <c r="AY782" s="58" t="s">
        <v>1594</v>
      </c>
      <c r="AZ782" s="58" t="s">
        <v>1527</v>
      </c>
      <c r="BA782" s="34" t="s">
        <v>128</v>
      </c>
      <c r="BC782" s="55">
        <f t="shared" si="228"/>
        <v>0</v>
      </c>
      <c r="BD782" s="55">
        <f t="shared" si="229"/>
        <v>0</v>
      </c>
      <c r="BE782" s="55">
        <v>0</v>
      </c>
      <c r="BF782" s="55">
        <f t="shared" si="230"/>
        <v>0</v>
      </c>
      <c r="BH782" s="55">
        <f t="shared" si="231"/>
        <v>0</v>
      </c>
      <c r="BI782" s="55">
        <f t="shared" si="232"/>
        <v>0</v>
      </c>
      <c r="BJ782" s="55">
        <f t="shared" si="233"/>
        <v>0</v>
      </c>
      <c r="BK782" s="55"/>
      <c r="BL782" s="55">
        <v>734</v>
      </c>
      <c r="BW782" s="55">
        <v>21</v>
      </c>
    </row>
    <row r="783" spans="1:75" ht="13.5" customHeight="1">
      <c r="A783" s="1" t="s">
        <v>1608</v>
      </c>
      <c r="B783" s="2" t="s">
        <v>116</v>
      </c>
      <c r="C783" s="2" t="s">
        <v>1609</v>
      </c>
      <c r="D783" s="147" t="s">
        <v>1610</v>
      </c>
      <c r="E783" s="148"/>
      <c r="F783" s="2" t="s">
        <v>374</v>
      </c>
      <c r="G783" s="55">
        <v>8</v>
      </c>
      <c r="H783" s="56">
        <v>0</v>
      </c>
      <c r="I783" s="55">
        <f t="shared" si="210"/>
        <v>0</v>
      </c>
      <c r="J783" s="55">
        <v>0</v>
      </c>
      <c r="K783" s="55">
        <f t="shared" si="211"/>
        <v>0</v>
      </c>
      <c r="L783" s="57" t="s">
        <v>124</v>
      </c>
      <c r="Z783" s="55">
        <f t="shared" si="212"/>
        <v>0</v>
      </c>
      <c r="AB783" s="55">
        <f t="shared" si="213"/>
        <v>0</v>
      </c>
      <c r="AC783" s="55">
        <f t="shared" si="214"/>
        <v>0</v>
      </c>
      <c r="AD783" s="55">
        <f t="shared" si="215"/>
        <v>0</v>
      </c>
      <c r="AE783" s="55">
        <f t="shared" si="216"/>
        <v>0</v>
      </c>
      <c r="AF783" s="55">
        <f t="shared" si="217"/>
        <v>0</v>
      </c>
      <c r="AG783" s="55">
        <f t="shared" si="218"/>
        <v>0</v>
      </c>
      <c r="AH783" s="55">
        <f t="shared" si="219"/>
        <v>0</v>
      </c>
      <c r="AI783" s="34" t="s">
        <v>116</v>
      </c>
      <c r="AJ783" s="55">
        <f t="shared" si="220"/>
        <v>0</v>
      </c>
      <c r="AK783" s="55">
        <f t="shared" si="221"/>
        <v>0</v>
      </c>
      <c r="AL783" s="55">
        <f t="shared" si="222"/>
        <v>0</v>
      </c>
      <c r="AN783" s="55">
        <v>21</v>
      </c>
      <c r="AO783" s="55">
        <f t="shared" si="223"/>
        <v>0</v>
      </c>
      <c r="AP783" s="55">
        <f t="shared" si="224"/>
        <v>0</v>
      </c>
      <c r="AQ783" s="58" t="s">
        <v>125</v>
      </c>
      <c r="AV783" s="55">
        <f t="shared" si="225"/>
        <v>0</v>
      </c>
      <c r="AW783" s="55">
        <f t="shared" si="226"/>
        <v>0</v>
      </c>
      <c r="AX783" s="55">
        <f t="shared" si="227"/>
        <v>0</v>
      </c>
      <c r="AY783" s="58" t="s">
        <v>1594</v>
      </c>
      <c r="AZ783" s="58" t="s">
        <v>1527</v>
      </c>
      <c r="BA783" s="34" t="s">
        <v>128</v>
      </c>
      <c r="BC783" s="55">
        <f t="shared" si="228"/>
        <v>0</v>
      </c>
      <c r="BD783" s="55">
        <f t="shared" si="229"/>
        <v>0</v>
      </c>
      <c r="BE783" s="55">
        <v>0</v>
      </c>
      <c r="BF783" s="55">
        <f t="shared" si="230"/>
        <v>0</v>
      </c>
      <c r="BH783" s="55">
        <f t="shared" si="231"/>
        <v>0</v>
      </c>
      <c r="BI783" s="55">
        <f t="shared" si="232"/>
        <v>0</v>
      </c>
      <c r="BJ783" s="55">
        <f t="shared" si="233"/>
        <v>0</v>
      </c>
      <c r="BK783" s="55"/>
      <c r="BL783" s="55">
        <v>734</v>
      </c>
      <c r="BW783" s="55">
        <v>21</v>
      </c>
    </row>
    <row r="784" spans="1:75" ht="13.5" customHeight="1">
      <c r="A784" s="1" t="s">
        <v>1611</v>
      </c>
      <c r="B784" s="2" t="s">
        <v>116</v>
      </c>
      <c r="C784" s="2" t="s">
        <v>1612</v>
      </c>
      <c r="D784" s="147" t="s">
        <v>1613</v>
      </c>
      <c r="E784" s="148"/>
      <c r="F784" s="2" t="s">
        <v>374</v>
      </c>
      <c r="G784" s="55">
        <v>2</v>
      </c>
      <c r="H784" s="56">
        <v>0</v>
      </c>
      <c r="I784" s="55">
        <f t="shared" si="210"/>
        <v>0</v>
      </c>
      <c r="J784" s="55">
        <v>0</v>
      </c>
      <c r="K784" s="55">
        <f t="shared" si="211"/>
        <v>0</v>
      </c>
      <c r="L784" s="57" t="s">
        <v>124</v>
      </c>
      <c r="Z784" s="55">
        <f t="shared" si="212"/>
        <v>0</v>
      </c>
      <c r="AB784" s="55">
        <f t="shared" si="213"/>
        <v>0</v>
      </c>
      <c r="AC784" s="55">
        <f t="shared" si="214"/>
        <v>0</v>
      </c>
      <c r="AD784" s="55">
        <f t="shared" si="215"/>
        <v>0</v>
      </c>
      <c r="AE784" s="55">
        <f t="shared" si="216"/>
        <v>0</v>
      </c>
      <c r="AF784" s="55">
        <f t="shared" si="217"/>
        <v>0</v>
      </c>
      <c r="AG784" s="55">
        <f t="shared" si="218"/>
        <v>0</v>
      </c>
      <c r="AH784" s="55">
        <f t="shared" si="219"/>
        <v>0</v>
      </c>
      <c r="AI784" s="34" t="s">
        <v>116</v>
      </c>
      <c r="AJ784" s="55">
        <f t="shared" si="220"/>
        <v>0</v>
      </c>
      <c r="AK784" s="55">
        <f t="shared" si="221"/>
        <v>0</v>
      </c>
      <c r="AL784" s="55">
        <f t="shared" si="222"/>
        <v>0</v>
      </c>
      <c r="AN784" s="55">
        <v>21</v>
      </c>
      <c r="AO784" s="55">
        <f t="shared" si="223"/>
        <v>0</v>
      </c>
      <c r="AP784" s="55">
        <f t="shared" si="224"/>
        <v>0</v>
      </c>
      <c r="AQ784" s="58" t="s">
        <v>125</v>
      </c>
      <c r="AV784" s="55">
        <f t="shared" si="225"/>
        <v>0</v>
      </c>
      <c r="AW784" s="55">
        <f t="shared" si="226"/>
        <v>0</v>
      </c>
      <c r="AX784" s="55">
        <f t="shared" si="227"/>
        <v>0</v>
      </c>
      <c r="AY784" s="58" t="s">
        <v>1594</v>
      </c>
      <c r="AZ784" s="58" t="s">
        <v>1527</v>
      </c>
      <c r="BA784" s="34" t="s">
        <v>128</v>
      </c>
      <c r="BC784" s="55">
        <f t="shared" si="228"/>
        <v>0</v>
      </c>
      <c r="BD784" s="55">
        <f t="shared" si="229"/>
        <v>0</v>
      </c>
      <c r="BE784" s="55">
        <v>0</v>
      </c>
      <c r="BF784" s="55">
        <f t="shared" si="230"/>
        <v>0</v>
      </c>
      <c r="BH784" s="55">
        <f t="shared" si="231"/>
        <v>0</v>
      </c>
      <c r="BI784" s="55">
        <f t="shared" si="232"/>
        <v>0</v>
      </c>
      <c r="BJ784" s="55">
        <f t="shared" si="233"/>
        <v>0</v>
      </c>
      <c r="BK784" s="55"/>
      <c r="BL784" s="55">
        <v>734</v>
      </c>
      <c r="BW784" s="55">
        <v>21</v>
      </c>
    </row>
    <row r="785" spans="1:75" ht="13.5" customHeight="1">
      <c r="A785" s="1" t="s">
        <v>1614</v>
      </c>
      <c r="B785" s="2" t="s">
        <v>116</v>
      </c>
      <c r="C785" s="2" t="s">
        <v>1615</v>
      </c>
      <c r="D785" s="147" t="s">
        <v>1616</v>
      </c>
      <c r="E785" s="148"/>
      <c r="F785" s="2" t="s">
        <v>374</v>
      </c>
      <c r="G785" s="55">
        <v>13</v>
      </c>
      <c r="H785" s="56">
        <v>0</v>
      </c>
      <c r="I785" s="55">
        <f t="shared" si="210"/>
        <v>0</v>
      </c>
      <c r="J785" s="55">
        <v>0</v>
      </c>
      <c r="K785" s="55">
        <f t="shared" si="211"/>
        <v>0</v>
      </c>
      <c r="L785" s="57" t="s">
        <v>124</v>
      </c>
      <c r="Z785" s="55">
        <f t="shared" si="212"/>
        <v>0</v>
      </c>
      <c r="AB785" s="55">
        <f t="shared" si="213"/>
        <v>0</v>
      </c>
      <c r="AC785" s="55">
        <f t="shared" si="214"/>
        <v>0</v>
      </c>
      <c r="AD785" s="55">
        <f t="shared" si="215"/>
        <v>0</v>
      </c>
      <c r="AE785" s="55">
        <f t="shared" si="216"/>
        <v>0</v>
      </c>
      <c r="AF785" s="55">
        <f t="shared" si="217"/>
        <v>0</v>
      </c>
      <c r="AG785" s="55">
        <f t="shared" si="218"/>
        <v>0</v>
      </c>
      <c r="AH785" s="55">
        <f t="shared" si="219"/>
        <v>0</v>
      </c>
      <c r="AI785" s="34" t="s">
        <v>116</v>
      </c>
      <c r="AJ785" s="55">
        <f t="shared" si="220"/>
        <v>0</v>
      </c>
      <c r="AK785" s="55">
        <f t="shared" si="221"/>
        <v>0</v>
      </c>
      <c r="AL785" s="55">
        <f t="shared" si="222"/>
        <v>0</v>
      </c>
      <c r="AN785" s="55">
        <v>21</v>
      </c>
      <c r="AO785" s="55">
        <f t="shared" si="223"/>
        <v>0</v>
      </c>
      <c r="AP785" s="55">
        <f t="shared" si="224"/>
        <v>0</v>
      </c>
      <c r="AQ785" s="58" t="s">
        <v>125</v>
      </c>
      <c r="AV785" s="55">
        <f t="shared" si="225"/>
        <v>0</v>
      </c>
      <c r="AW785" s="55">
        <f t="shared" si="226"/>
        <v>0</v>
      </c>
      <c r="AX785" s="55">
        <f t="shared" si="227"/>
        <v>0</v>
      </c>
      <c r="AY785" s="58" t="s">
        <v>1594</v>
      </c>
      <c r="AZ785" s="58" t="s">
        <v>1527</v>
      </c>
      <c r="BA785" s="34" t="s">
        <v>128</v>
      </c>
      <c r="BC785" s="55">
        <f t="shared" si="228"/>
        <v>0</v>
      </c>
      <c r="BD785" s="55">
        <f t="shared" si="229"/>
        <v>0</v>
      </c>
      <c r="BE785" s="55">
        <v>0</v>
      </c>
      <c r="BF785" s="55">
        <f t="shared" si="230"/>
        <v>0</v>
      </c>
      <c r="BH785" s="55">
        <f t="shared" si="231"/>
        <v>0</v>
      </c>
      <c r="BI785" s="55">
        <f t="shared" si="232"/>
        <v>0</v>
      </c>
      <c r="BJ785" s="55">
        <f t="shared" si="233"/>
        <v>0</v>
      </c>
      <c r="BK785" s="55"/>
      <c r="BL785" s="55">
        <v>734</v>
      </c>
      <c r="BW785" s="55">
        <v>21</v>
      </c>
    </row>
    <row r="786" spans="1:75" ht="13.5" customHeight="1">
      <c r="A786" s="1" t="s">
        <v>1617</v>
      </c>
      <c r="B786" s="2" t="s">
        <v>116</v>
      </c>
      <c r="C786" s="2" t="s">
        <v>1618</v>
      </c>
      <c r="D786" s="147" t="s">
        <v>1619</v>
      </c>
      <c r="E786" s="148"/>
      <c r="F786" s="2" t="s">
        <v>374</v>
      </c>
      <c r="G786" s="55">
        <v>1</v>
      </c>
      <c r="H786" s="56">
        <v>0</v>
      </c>
      <c r="I786" s="55">
        <f t="shared" si="210"/>
        <v>0</v>
      </c>
      <c r="J786" s="55">
        <v>0</v>
      </c>
      <c r="K786" s="55">
        <f t="shared" si="211"/>
        <v>0</v>
      </c>
      <c r="L786" s="57" t="s">
        <v>124</v>
      </c>
      <c r="Z786" s="55">
        <f t="shared" si="212"/>
        <v>0</v>
      </c>
      <c r="AB786" s="55">
        <f t="shared" si="213"/>
        <v>0</v>
      </c>
      <c r="AC786" s="55">
        <f t="shared" si="214"/>
        <v>0</v>
      </c>
      <c r="AD786" s="55">
        <f t="shared" si="215"/>
        <v>0</v>
      </c>
      <c r="AE786" s="55">
        <f t="shared" si="216"/>
        <v>0</v>
      </c>
      <c r="AF786" s="55">
        <f t="shared" si="217"/>
        <v>0</v>
      </c>
      <c r="AG786" s="55">
        <f t="shared" si="218"/>
        <v>0</v>
      </c>
      <c r="AH786" s="55">
        <f t="shared" si="219"/>
        <v>0</v>
      </c>
      <c r="AI786" s="34" t="s">
        <v>116</v>
      </c>
      <c r="AJ786" s="55">
        <f t="shared" si="220"/>
        <v>0</v>
      </c>
      <c r="AK786" s="55">
        <f t="shared" si="221"/>
        <v>0</v>
      </c>
      <c r="AL786" s="55">
        <f t="shared" si="222"/>
        <v>0</v>
      </c>
      <c r="AN786" s="55">
        <v>21</v>
      </c>
      <c r="AO786" s="55">
        <f t="shared" si="223"/>
        <v>0</v>
      </c>
      <c r="AP786" s="55">
        <f t="shared" si="224"/>
        <v>0</v>
      </c>
      <c r="AQ786" s="58" t="s">
        <v>125</v>
      </c>
      <c r="AV786" s="55">
        <f t="shared" si="225"/>
        <v>0</v>
      </c>
      <c r="AW786" s="55">
        <f t="shared" si="226"/>
        <v>0</v>
      </c>
      <c r="AX786" s="55">
        <f t="shared" si="227"/>
        <v>0</v>
      </c>
      <c r="AY786" s="58" t="s">
        <v>1594</v>
      </c>
      <c r="AZ786" s="58" t="s">
        <v>1527</v>
      </c>
      <c r="BA786" s="34" t="s">
        <v>128</v>
      </c>
      <c r="BC786" s="55">
        <f t="shared" si="228"/>
        <v>0</v>
      </c>
      <c r="BD786" s="55">
        <f t="shared" si="229"/>
        <v>0</v>
      </c>
      <c r="BE786" s="55">
        <v>0</v>
      </c>
      <c r="BF786" s="55">
        <f t="shared" si="230"/>
        <v>0</v>
      </c>
      <c r="BH786" s="55">
        <f t="shared" si="231"/>
        <v>0</v>
      </c>
      <c r="BI786" s="55">
        <f t="shared" si="232"/>
        <v>0</v>
      </c>
      <c r="BJ786" s="55">
        <f t="shared" si="233"/>
        <v>0</v>
      </c>
      <c r="BK786" s="55"/>
      <c r="BL786" s="55">
        <v>734</v>
      </c>
      <c r="BW786" s="55">
        <v>21</v>
      </c>
    </row>
    <row r="787" spans="1:75" ht="13.5" customHeight="1">
      <c r="A787" s="1" t="s">
        <v>1620</v>
      </c>
      <c r="B787" s="2" t="s">
        <v>116</v>
      </c>
      <c r="C787" s="2" t="s">
        <v>1621</v>
      </c>
      <c r="D787" s="147" t="s">
        <v>1622</v>
      </c>
      <c r="E787" s="148"/>
      <c r="F787" s="2" t="s">
        <v>374</v>
      </c>
      <c r="G787" s="55">
        <v>10</v>
      </c>
      <c r="H787" s="56">
        <v>0</v>
      </c>
      <c r="I787" s="55">
        <f t="shared" si="210"/>
        <v>0</v>
      </c>
      <c r="J787" s="55">
        <v>0</v>
      </c>
      <c r="K787" s="55">
        <f t="shared" si="211"/>
        <v>0</v>
      </c>
      <c r="L787" s="57" t="s">
        <v>124</v>
      </c>
      <c r="Z787" s="55">
        <f t="shared" si="212"/>
        <v>0</v>
      </c>
      <c r="AB787" s="55">
        <f t="shared" si="213"/>
        <v>0</v>
      </c>
      <c r="AC787" s="55">
        <f t="shared" si="214"/>
        <v>0</v>
      </c>
      <c r="AD787" s="55">
        <f t="shared" si="215"/>
        <v>0</v>
      </c>
      <c r="AE787" s="55">
        <f t="shared" si="216"/>
        <v>0</v>
      </c>
      <c r="AF787" s="55">
        <f t="shared" si="217"/>
        <v>0</v>
      </c>
      <c r="AG787" s="55">
        <f t="shared" si="218"/>
        <v>0</v>
      </c>
      <c r="AH787" s="55">
        <f t="shared" si="219"/>
        <v>0</v>
      </c>
      <c r="AI787" s="34" t="s">
        <v>116</v>
      </c>
      <c r="AJ787" s="55">
        <f t="shared" si="220"/>
        <v>0</v>
      </c>
      <c r="AK787" s="55">
        <f t="shared" si="221"/>
        <v>0</v>
      </c>
      <c r="AL787" s="55">
        <f t="shared" si="222"/>
        <v>0</v>
      </c>
      <c r="AN787" s="55">
        <v>21</v>
      </c>
      <c r="AO787" s="55">
        <f t="shared" si="223"/>
        <v>0</v>
      </c>
      <c r="AP787" s="55">
        <f t="shared" si="224"/>
        <v>0</v>
      </c>
      <c r="AQ787" s="58" t="s">
        <v>125</v>
      </c>
      <c r="AV787" s="55">
        <f t="shared" si="225"/>
        <v>0</v>
      </c>
      <c r="AW787" s="55">
        <f t="shared" si="226"/>
        <v>0</v>
      </c>
      <c r="AX787" s="55">
        <f t="shared" si="227"/>
        <v>0</v>
      </c>
      <c r="AY787" s="58" t="s">
        <v>1594</v>
      </c>
      <c r="AZ787" s="58" t="s">
        <v>1527</v>
      </c>
      <c r="BA787" s="34" t="s">
        <v>128</v>
      </c>
      <c r="BC787" s="55">
        <f t="shared" si="228"/>
        <v>0</v>
      </c>
      <c r="BD787" s="55">
        <f t="shared" si="229"/>
        <v>0</v>
      </c>
      <c r="BE787" s="55">
        <v>0</v>
      </c>
      <c r="BF787" s="55">
        <f t="shared" si="230"/>
        <v>0</v>
      </c>
      <c r="BH787" s="55">
        <f t="shared" si="231"/>
        <v>0</v>
      </c>
      <c r="BI787" s="55">
        <f t="shared" si="232"/>
        <v>0</v>
      </c>
      <c r="BJ787" s="55">
        <f t="shared" si="233"/>
        <v>0</v>
      </c>
      <c r="BK787" s="55"/>
      <c r="BL787" s="55">
        <v>734</v>
      </c>
      <c r="BW787" s="55">
        <v>21</v>
      </c>
    </row>
    <row r="788" spans="1:75" ht="13.5" customHeight="1">
      <c r="A788" s="1" t="s">
        <v>1074</v>
      </c>
      <c r="B788" s="2" t="s">
        <v>116</v>
      </c>
      <c r="C788" s="2" t="s">
        <v>1623</v>
      </c>
      <c r="D788" s="147" t="s">
        <v>1624</v>
      </c>
      <c r="E788" s="148"/>
      <c r="F788" s="2" t="s">
        <v>374</v>
      </c>
      <c r="G788" s="55">
        <v>1</v>
      </c>
      <c r="H788" s="56">
        <v>0</v>
      </c>
      <c r="I788" s="55">
        <f t="shared" si="210"/>
        <v>0</v>
      </c>
      <c r="J788" s="55">
        <v>0</v>
      </c>
      <c r="K788" s="55">
        <f t="shared" si="211"/>
        <v>0</v>
      </c>
      <c r="L788" s="57" t="s">
        <v>124</v>
      </c>
      <c r="Z788" s="55">
        <f t="shared" si="212"/>
        <v>0</v>
      </c>
      <c r="AB788" s="55">
        <f t="shared" si="213"/>
        <v>0</v>
      </c>
      <c r="AC788" s="55">
        <f t="shared" si="214"/>
        <v>0</v>
      </c>
      <c r="AD788" s="55">
        <f t="shared" si="215"/>
        <v>0</v>
      </c>
      <c r="AE788" s="55">
        <f t="shared" si="216"/>
        <v>0</v>
      </c>
      <c r="AF788" s="55">
        <f t="shared" si="217"/>
        <v>0</v>
      </c>
      <c r="AG788" s="55">
        <f t="shared" si="218"/>
        <v>0</v>
      </c>
      <c r="AH788" s="55">
        <f t="shared" si="219"/>
        <v>0</v>
      </c>
      <c r="AI788" s="34" t="s">
        <v>116</v>
      </c>
      <c r="AJ788" s="55">
        <f t="shared" si="220"/>
        <v>0</v>
      </c>
      <c r="AK788" s="55">
        <f t="shared" si="221"/>
        <v>0</v>
      </c>
      <c r="AL788" s="55">
        <f t="shared" si="222"/>
        <v>0</v>
      </c>
      <c r="AN788" s="55">
        <v>21</v>
      </c>
      <c r="AO788" s="55">
        <f t="shared" si="223"/>
        <v>0</v>
      </c>
      <c r="AP788" s="55">
        <f t="shared" si="224"/>
        <v>0</v>
      </c>
      <c r="AQ788" s="58" t="s">
        <v>125</v>
      </c>
      <c r="AV788" s="55">
        <f t="shared" si="225"/>
        <v>0</v>
      </c>
      <c r="AW788" s="55">
        <f t="shared" si="226"/>
        <v>0</v>
      </c>
      <c r="AX788" s="55">
        <f t="shared" si="227"/>
        <v>0</v>
      </c>
      <c r="AY788" s="58" t="s">
        <v>1594</v>
      </c>
      <c r="AZ788" s="58" t="s">
        <v>1527</v>
      </c>
      <c r="BA788" s="34" t="s">
        <v>128</v>
      </c>
      <c r="BC788" s="55">
        <f t="shared" si="228"/>
        <v>0</v>
      </c>
      <c r="BD788" s="55">
        <f t="shared" si="229"/>
        <v>0</v>
      </c>
      <c r="BE788" s="55">
        <v>0</v>
      </c>
      <c r="BF788" s="55">
        <f t="shared" si="230"/>
        <v>0</v>
      </c>
      <c r="BH788" s="55">
        <f t="shared" si="231"/>
        <v>0</v>
      </c>
      <c r="BI788" s="55">
        <f t="shared" si="232"/>
        <v>0</v>
      </c>
      <c r="BJ788" s="55">
        <f t="shared" si="233"/>
        <v>0</v>
      </c>
      <c r="BK788" s="55"/>
      <c r="BL788" s="55">
        <v>734</v>
      </c>
      <c r="BW788" s="55">
        <v>21</v>
      </c>
    </row>
    <row r="789" spans="1:75" ht="13.5" customHeight="1">
      <c r="A789" s="1" t="s">
        <v>1625</v>
      </c>
      <c r="B789" s="2" t="s">
        <v>116</v>
      </c>
      <c r="C789" s="2" t="s">
        <v>1626</v>
      </c>
      <c r="D789" s="147" t="s">
        <v>1627</v>
      </c>
      <c r="E789" s="148"/>
      <c r="F789" s="2" t="s">
        <v>374</v>
      </c>
      <c r="G789" s="55">
        <v>1</v>
      </c>
      <c r="H789" s="56">
        <v>0</v>
      </c>
      <c r="I789" s="55">
        <f t="shared" si="210"/>
        <v>0</v>
      </c>
      <c r="J789" s="55">
        <v>0</v>
      </c>
      <c r="K789" s="55">
        <f t="shared" si="211"/>
        <v>0</v>
      </c>
      <c r="L789" s="57" t="s">
        <v>124</v>
      </c>
      <c r="Z789" s="55">
        <f t="shared" si="212"/>
        <v>0</v>
      </c>
      <c r="AB789" s="55">
        <f t="shared" si="213"/>
        <v>0</v>
      </c>
      <c r="AC789" s="55">
        <f t="shared" si="214"/>
        <v>0</v>
      </c>
      <c r="AD789" s="55">
        <f t="shared" si="215"/>
        <v>0</v>
      </c>
      <c r="AE789" s="55">
        <f t="shared" si="216"/>
        <v>0</v>
      </c>
      <c r="AF789" s="55">
        <f t="shared" si="217"/>
        <v>0</v>
      </c>
      <c r="AG789" s="55">
        <f t="shared" si="218"/>
        <v>0</v>
      </c>
      <c r="AH789" s="55">
        <f t="shared" si="219"/>
        <v>0</v>
      </c>
      <c r="AI789" s="34" t="s">
        <v>116</v>
      </c>
      <c r="AJ789" s="55">
        <f t="shared" si="220"/>
        <v>0</v>
      </c>
      <c r="AK789" s="55">
        <f t="shared" si="221"/>
        <v>0</v>
      </c>
      <c r="AL789" s="55">
        <f t="shared" si="222"/>
        <v>0</v>
      </c>
      <c r="AN789" s="55">
        <v>21</v>
      </c>
      <c r="AO789" s="55">
        <f t="shared" si="223"/>
        <v>0</v>
      </c>
      <c r="AP789" s="55">
        <f t="shared" si="224"/>
        <v>0</v>
      </c>
      <c r="AQ789" s="58" t="s">
        <v>125</v>
      </c>
      <c r="AV789" s="55">
        <f t="shared" si="225"/>
        <v>0</v>
      </c>
      <c r="AW789" s="55">
        <f t="shared" si="226"/>
        <v>0</v>
      </c>
      <c r="AX789" s="55">
        <f t="shared" si="227"/>
        <v>0</v>
      </c>
      <c r="AY789" s="58" t="s">
        <v>1594</v>
      </c>
      <c r="AZ789" s="58" t="s">
        <v>1527</v>
      </c>
      <c r="BA789" s="34" t="s">
        <v>128</v>
      </c>
      <c r="BC789" s="55">
        <f t="shared" si="228"/>
        <v>0</v>
      </c>
      <c r="BD789" s="55">
        <f t="shared" si="229"/>
        <v>0</v>
      </c>
      <c r="BE789" s="55">
        <v>0</v>
      </c>
      <c r="BF789" s="55">
        <f t="shared" si="230"/>
        <v>0</v>
      </c>
      <c r="BH789" s="55">
        <f t="shared" si="231"/>
        <v>0</v>
      </c>
      <c r="BI789" s="55">
        <f t="shared" si="232"/>
        <v>0</v>
      </c>
      <c r="BJ789" s="55">
        <f t="shared" si="233"/>
        <v>0</v>
      </c>
      <c r="BK789" s="55"/>
      <c r="BL789" s="55">
        <v>734</v>
      </c>
      <c r="BW789" s="55">
        <v>21</v>
      </c>
    </row>
    <row r="790" spans="1:75" ht="13.5" customHeight="1">
      <c r="A790" s="1" t="s">
        <v>1628</v>
      </c>
      <c r="B790" s="2" t="s">
        <v>116</v>
      </c>
      <c r="C790" s="2" t="s">
        <v>1629</v>
      </c>
      <c r="D790" s="147" t="s">
        <v>1630</v>
      </c>
      <c r="E790" s="148"/>
      <c r="F790" s="2" t="s">
        <v>939</v>
      </c>
      <c r="G790" s="55">
        <v>0.04</v>
      </c>
      <c r="H790" s="56">
        <v>0</v>
      </c>
      <c r="I790" s="55">
        <f t="shared" si="210"/>
        <v>0</v>
      </c>
      <c r="J790" s="55">
        <v>0</v>
      </c>
      <c r="K790" s="55">
        <f t="shared" si="211"/>
        <v>0</v>
      </c>
      <c r="L790" s="57" t="s">
        <v>124</v>
      </c>
      <c r="Z790" s="55">
        <f t="shared" si="212"/>
        <v>0</v>
      </c>
      <c r="AB790" s="55">
        <f t="shared" si="213"/>
        <v>0</v>
      </c>
      <c r="AC790" s="55">
        <f t="shared" si="214"/>
        <v>0</v>
      </c>
      <c r="AD790" s="55">
        <f t="shared" si="215"/>
        <v>0</v>
      </c>
      <c r="AE790" s="55">
        <f t="shared" si="216"/>
        <v>0</v>
      </c>
      <c r="AF790" s="55">
        <f t="shared" si="217"/>
        <v>0</v>
      </c>
      <c r="AG790" s="55">
        <f t="shared" si="218"/>
        <v>0</v>
      </c>
      <c r="AH790" s="55">
        <f t="shared" si="219"/>
        <v>0</v>
      </c>
      <c r="AI790" s="34" t="s">
        <v>116</v>
      </c>
      <c r="AJ790" s="55">
        <f t="shared" si="220"/>
        <v>0</v>
      </c>
      <c r="AK790" s="55">
        <f t="shared" si="221"/>
        <v>0</v>
      </c>
      <c r="AL790" s="55">
        <f t="shared" si="222"/>
        <v>0</v>
      </c>
      <c r="AN790" s="55">
        <v>21</v>
      </c>
      <c r="AO790" s="55">
        <f t="shared" si="223"/>
        <v>0</v>
      </c>
      <c r="AP790" s="55">
        <f t="shared" si="224"/>
        <v>0</v>
      </c>
      <c r="AQ790" s="58" t="s">
        <v>139</v>
      </c>
      <c r="AV790" s="55">
        <f t="shared" si="225"/>
        <v>0</v>
      </c>
      <c r="AW790" s="55">
        <f t="shared" si="226"/>
        <v>0</v>
      </c>
      <c r="AX790" s="55">
        <f t="shared" si="227"/>
        <v>0</v>
      </c>
      <c r="AY790" s="58" t="s">
        <v>1594</v>
      </c>
      <c r="AZ790" s="58" t="s">
        <v>1527</v>
      </c>
      <c r="BA790" s="34" t="s">
        <v>128</v>
      </c>
      <c r="BC790" s="55">
        <f t="shared" si="228"/>
        <v>0</v>
      </c>
      <c r="BD790" s="55">
        <f t="shared" si="229"/>
        <v>0</v>
      </c>
      <c r="BE790" s="55">
        <v>0</v>
      </c>
      <c r="BF790" s="55">
        <f t="shared" si="230"/>
        <v>0</v>
      </c>
      <c r="BH790" s="55">
        <f t="shared" si="231"/>
        <v>0</v>
      </c>
      <c r="BI790" s="55">
        <f t="shared" si="232"/>
        <v>0</v>
      </c>
      <c r="BJ790" s="55">
        <f t="shared" si="233"/>
        <v>0</v>
      </c>
      <c r="BK790" s="55"/>
      <c r="BL790" s="55">
        <v>734</v>
      </c>
      <c r="BW790" s="55">
        <v>21</v>
      </c>
    </row>
    <row r="791" spans="1:47" ht="14.4">
      <c r="A791" s="50" t="s">
        <v>4</v>
      </c>
      <c r="B791" s="51" t="s">
        <v>116</v>
      </c>
      <c r="C791" s="51" t="s">
        <v>1631</v>
      </c>
      <c r="D791" s="222" t="s">
        <v>1632</v>
      </c>
      <c r="E791" s="223"/>
      <c r="F791" s="52" t="s">
        <v>79</v>
      </c>
      <c r="G791" s="52" t="s">
        <v>79</v>
      </c>
      <c r="H791" s="53" t="s">
        <v>79</v>
      </c>
      <c r="I791" s="27">
        <f>SUM(I792:I801)</f>
        <v>0</v>
      </c>
      <c r="J791" s="34" t="s">
        <v>4</v>
      </c>
      <c r="K791" s="27">
        <f>SUM(K792:K801)</f>
        <v>0</v>
      </c>
      <c r="L791" s="54" t="s">
        <v>4</v>
      </c>
      <c r="AI791" s="34" t="s">
        <v>116</v>
      </c>
      <c r="AS791" s="27">
        <f>SUM(AJ792:AJ801)</f>
        <v>0</v>
      </c>
      <c r="AT791" s="27">
        <f>SUM(AK792:AK801)</f>
        <v>0</v>
      </c>
      <c r="AU791" s="27">
        <f>SUM(AL792:AL801)</f>
        <v>0</v>
      </c>
    </row>
    <row r="792" spans="1:75" ht="27" customHeight="1">
      <c r="A792" s="1" t="s">
        <v>1633</v>
      </c>
      <c r="B792" s="2" t="s">
        <v>116</v>
      </c>
      <c r="C792" s="2" t="s">
        <v>1634</v>
      </c>
      <c r="D792" s="147" t="s">
        <v>1635</v>
      </c>
      <c r="E792" s="148"/>
      <c r="F792" s="2" t="s">
        <v>374</v>
      </c>
      <c r="G792" s="55">
        <v>1</v>
      </c>
      <c r="H792" s="56">
        <v>0</v>
      </c>
      <c r="I792" s="55">
        <f aca="true" t="shared" si="234" ref="I792:I801">G792*H792</f>
        <v>0</v>
      </c>
      <c r="J792" s="55">
        <v>0</v>
      </c>
      <c r="K792" s="55">
        <f aca="true" t="shared" si="235" ref="K792:K801">G792*J792</f>
        <v>0</v>
      </c>
      <c r="L792" s="57" t="s">
        <v>124</v>
      </c>
      <c r="Z792" s="55">
        <f aca="true" t="shared" si="236" ref="Z792:Z801">IF(AQ792="5",BJ792,0)</f>
        <v>0</v>
      </c>
      <c r="AB792" s="55">
        <f aca="true" t="shared" si="237" ref="AB792:AB801">IF(AQ792="1",BH792,0)</f>
        <v>0</v>
      </c>
      <c r="AC792" s="55">
        <f aca="true" t="shared" si="238" ref="AC792:AC801">IF(AQ792="1",BI792,0)</f>
        <v>0</v>
      </c>
      <c r="AD792" s="55">
        <f aca="true" t="shared" si="239" ref="AD792:AD801">IF(AQ792="7",BH792,0)</f>
        <v>0</v>
      </c>
      <c r="AE792" s="55">
        <f aca="true" t="shared" si="240" ref="AE792:AE801">IF(AQ792="7",BI792,0)</f>
        <v>0</v>
      </c>
      <c r="AF792" s="55">
        <f aca="true" t="shared" si="241" ref="AF792:AF801">IF(AQ792="2",BH792,0)</f>
        <v>0</v>
      </c>
      <c r="AG792" s="55">
        <f aca="true" t="shared" si="242" ref="AG792:AG801">IF(AQ792="2",BI792,0)</f>
        <v>0</v>
      </c>
      <c r="AH792" s="55">
        <f aca="true" t="shared" si="243" ref="AH792:AH801">IF(AQ792="0",BJ792,0)</f>
        <v>0</v>
      </c>
      <c r="AI792" s="34" t="s">
        <v>116</v>
      </c>
      <c r="AJ792" s="55">
        <f aca="true" t="shared" si="244" ref="AJ792:AJ801">IF(AN792=0,I792,0)</f>
        <v>0</v>
      </c>
      <c r="AK792" s="55">
        <f aca="true" t="shared" si="245" ref="AK792:AK801">IF(AN792=12,I792,0)</f>
        <v>0</v>
      </c>
      <c r="AL792" s="55">
        <f aca="true" t="shared" si="246" ref="AL792:AL801">IF(AN792=21,I792,0)</f>
        <v>0</v>
      </c>
      <c r="AN792" s="55">
        <v>21</v>
      </c>
      <c r="AO792" s="55">
        <f aca="true" t="shared" si="247" ref="AO792:AO799">H792*0</f>
        <v>0</v>
      </c>
      <c r="AP792" s="55">
        <f aca="true" t="shared" si="248" ref="AP792:AP799">H792*(1-0)</f>
        <v>0</v>
      </c>
      <c r="AQ792" s="58" t="s">
        <v>125</v>
      </c>
      <c r="AV792" s="55">
        <f aca="true" t="shared" si="249" ref="AV792:AV801">AW792+AX792</f>
        <v>0</v>
      </c>
      <c r="AW792" s="55">
        <f aca="true" t="shared" si="250" ref="AW792:AW801">G792*AO792</f>
        <v>0</v>
      </c>
      <c r="AX792" s="55">
        <f aca="true" t="shared" si="251" ref="AX792:AX801">G792*AP792</f>
        <v>0</v>
      </c>
      <c r="AY792" s="58" t="s">
        <v>1636</v>
      </c>
      <c r="AZ792" s="58" t="s">
        <v>1527</v>
      </c>
      <c r="BA792" s="34" t="s">
        <v>128</v>
      </c>
      <c r="BC792" s="55">
        <f aca="true" t="shared" si="252" ref="BC792:BC801">AW792+AX792</f>
        <v>0</v>
      </c>
      <c r="BD792" s="55">
        <f aca="true" t="shared" si="253" ref="BD792:BD801">H792/(100-BE792)*100</f>
        <v>0</v>
      </c>
      <c r="BE792" s="55">
        <v>0</v>
      </c>
      <c r="BF792" s="55">
        <f aca="true" t="shared" si="254" ref="BF792:BF801">K792</f>
        <v>0</v>
      </c>
      <c r="BH792" s="55">
        <f aca="true" t="shared" si="255" ref="BH792:BH801">G792*AO792</f>
        <v>0</v>
      </c>
      <c r="BI792" s="55">
        <f aca="true" t="shared" si="256" ref="BI792:BI801">G792*AP792</f>
        <v>0</v>
      </c>
      <c r="BJ792" s="55">
        <f aca="true" t="shared" si="257" ref="BJ792:BJ801">G792*H792</f>
        <v>0</v>
      </c>
      <c r="BK792" s="55"/>
      <c r="BL792" s="55">
        <v>735</v>
      </c>
      <c r="BW792" s="55">
        <v>21</v>
      </c>
    </row>
    <row r="793" spans="1:75" ht="27" customHeight="1">
      <c r="A793" s="1" t="s">
        <v>1637</v>
      </c>
      <c r="B793" s="2" t="s">
        <v>116</v>
      </c>
      <c r="C793" s="2" t="s">
        <v>1638</v>
      </c>
      <c r="D793" s="147" t="s">
        <v>1639</v>
      </c>
      <c r="E793" s="148"/>
      <c r="F793" s="2" t="s">
        <v>374</v>
      </c>
      <c r="G793" s="55">
        <v>3</v>
      </c>
      <c r="H793" s="56">
        <v>0</v>
      </c>
      <c r="I793" s="55">
        <f t="shared" si="234"/>
        <v>0</v>
      </c>
      <c r="J793" s="55">
        <v>0</v>
      </c>
      <c r="K793" s="55">
        <f t="shared" si="235"/>
        <v>0</v>
      </c>
      <c r="L793" s="57" t="s">
        <v>124</v>
      </c>
      <c r="Z793" s="55">
        <f t="shared" si="236"/>
        <v>0</v>
      </c>
      <c r="AB793" s="55">
        <f t="shared" si="237"/>
        <v>0</v>
      </c>
      <c r="AC793" s="55">
        <f t="shared" si="238"/>
        <v>0</v>
      </c>
      <c r="AD793" s="55">
        <f t="shared" si="239"/>
        <v>0</v>
      </c>
      <c r="AE793" s="55">
        <f t="shared" si="240"/>
        <v>0</v>
      </c>
      <c r="AF793" s="55">
        <f t="shared" si="241"/>
        <v>0</v>
      </c>
      <c r="AG793" s="55">
        <f t="shared" si="242"/>
        <v>0</v>
      </c>
      <c r="AH793" s="55">
        <f t="shared" si="243"/>
        <v>0</v>
      </c>
      <c r="AI793" s="34" t="s">
        <v>116</v>
      </c>
      <c r="AJ793" s="55">
        <f t="shared" si="244"/>
        <v>0</v>
      </c>
      <c r="AK793" s="55">
        <f t="shared" si="245"/>
        <v>0</v>
      </c>
      <c r="AL793" s="55">
        <f t="shared" si="246"/>
        <v>0</v>
      </c>
      <c r="AN793" s="55">
        <v>21</v>
      </c>
      <c r="AO793" s="55">
        <f t="shared" si="247"/>
        <v>0</v>
      </c>
      <c r="AP793" s="55">
        <f t="shared" si="248"/>
        <v>0</v>
      </c>
      <c r="AQ793" s="58" t="s">
        <v>125</v>
      </c>
      <c r="AV793" s="55">
        <f t="shared" si="249"/>
        <v>0</v>
      </c>
      <c r="AW793" s="55">
        <f t="shared" si="250"/>
        <v>0</v>
      </c>
      <c r="AX793" s="55">
        <f t="shared" si="251"/>
        <v>0</v>
      </c>
      <c r="AY793" s="58" t="s">
        <v>1636</v>
      </c>
      <c r="AZ793" s="58" t="s">
        <v>1527</v>
      </c>
      <c r="BA793" s="34" t="s">
        <v>128</v>
      </c>
      <c r="BC793" s="55">
        <f t="shared" si="252"/>
        <v>0</v>
      </c>
      <c r="BD793" s="55">
        <f t="shared" si="253"/>
        <v>0</v>
      </c>
      <c r="BE793" s="55">
        <v>0</v>
      </c>
      <c r="BF793" s="55">
        <f t="shared" si="254"/>
        <v>0</v>
      </c>
      <c r="BH793" s="55">
        <f t="shared" si="255"/>
        <v>0</v>
      </c>
      <c r="BI793" s="55">
        <f t="shared" si="256"/>
        <v>0</v>
      </c>
      <c r="BJ793" s="55">
        <f t="shared" si="257"/>
        <v>0</v>
      </c>
      <c r="BK793" s="55"/>
      <c r="BL793" s="55">
        <v>735</v>
      </c>
      <c r="BW793" s="55">
        <v>21</v>
      </c>
    </row>
    <row r="794" spans="1:75" ht="27" customHeight="1">
      <c r="A794" s="1" t="s">
        <v>1640</v>
      </c>
      <c r="B794" s="2" t="s">
        <v>116</v>
      </c>
      <c r="C794" s="2" t="s">
        <v>1641</v>
      </c>
      <c r="D794" s="147" t="s">
        <v>1642</v>
      </c>
      <c r="E794" s="148"/>
      <c r="F794" s="2" t="s">
        <v>374</v>
      </c>
      <c r="G794" s="55">
        <v>1</v>
      </c>
      <c r="H794" s="56">
        <v>0</v>
      </c>
      <c r="I794" s="55">
        <f t="shared" si="234"/>
        <v>0</v>
      </c>
      <c r="J794" s="55">
        <v>0</v>
      </c>
      <c r="K794" s="55">
        <f t="shared" si="235"/>
        <v>0</v>
      </c>
      <c r="L794" s="57" t="s">
        <v>124</v>
      </c>
      <c r="Z794" s="55">
        <f t="shared" si="236"/>
        <v>0</v>
      </c>
      <c r="AB794" s="55">
        <f t="shared" si="237"/>
        <v>0</v>
      </c>
      <c r="AC794" s="55">
        <f t="shared" si="238"/>
        <v>0</v>
      </c>
      <c r="AD794" s="55">
        <f t="shared" si="239"/>
        <v>0</v>
      </c>
      <c r="AE794" s="55">
        <f t="shared" si="240"/>
        <v>0</v>
      </c>
      <c r="AF794" s="55">
        <f t="shared" si="241"/>
        <v>0</v>
      </c>
      <c r="AG794" s="55">
        <f t="shared" si="242"/>
        <v>0</v>
      </c>
      <c r="AH794" s="55">
        <f t="shared" si="243"/>
        <v>0</v>
      </c>
      <c r="AI794" s="34" t="s">
        <v>116</v>
      </c>
      <c r="AJ794" s="55">
        <f t="shared" si="244"/>
        <v>0</v>
      </c>
      <c r="AK794" s="55">
        <f t="shared" si="245"/>
        <v>0</v>
      </c>
      <c r="AL794" s="55">
        <f t="shared" si="246"/>
        <v>0</v>
      </c>
      <c r="AN794" s="55">
        <v>21</v>
      </c>
      <c r="AO794" s="55">
        <f t="shared" si="247"/>
        <v>0</v>
      </c>
      <c r="AP794" s="55">
        <f t="shared" si="248"/>
        <v>0</v>
      </c>
      <c r="AQ794" s="58" t="s">
        <v>125</v>
      </c>
      <c r="AV794" s="55">
        <f t="shared" si="249"/>
        <v>0</v>
      </c>
      <c r="AW794" s="55">
        <f t="shared" si="250"/>
        <v>0</v>
      </c>
      <c r="AX794" s="55">
        <f t="shared" si="251"/>
        <v>0</v>
      </c>
      <c r="AY794" s="58" t="s">
        <v>1636</v>
      </c>
      <c r="AZ794" s="58" t="s">
        <v>1527</v>
      </c>
      <c r="BA794" s="34" t="s">
        <v>128</v>
      </c>
      <c r="BC794" s="55">
        <f t="shared" si="252"/>
        <v>0</v>
      </c>
      <c r="BD794" s="55">
        <f t="shared" si="253"/>
        <v>0</v>
      </c>
      <c r="BE794" s="55">
        <v>0</v>
      </c>
      <c r="BF794" s="55">
        <f t="shared" si="254"/>
        <v>0</v>
      </c>
      <c r="BH794" s="55">
        <f t="shared" si="255"/>
        <v>0</v>
      </c>
      <c r="BI794" s="55">
        <f t="shared" si="256"/>
        <v>0</v>
      </c>
      <c r="BJ794" s="55">
        <f t="shared" si="257"/>
        <v>0</v>
      </c>
      <c r="BK794" s="55"/>
      <c r="BL794" s="55">
        <v>735</v>
      </c>
      <c r="BW794" s="55">
        <v>21</v>
      </c>
    </row>
    <row r="795" spans="1:75" ht="27" customHeight="1">
      <c r="A795" s="1" t="s">
        <v>1643</v>
      </c>
      <c r="B795" s="2" t="s">
        <v>116</v>
      </c>
      <c r="C795" s="2" t="s">
        <v>1644</v>
      </c>
      <c r="D795" s="147" t="s">
        <v>1645</v>
      </c>
      <c r="E795" s="148"/>
      <c r="F795" s="2" t="s">
        <v>374</v>
      </c>
      <c r="G795" s="55">
        <v>10</v>
      </c>
      <c r="H795" s="56">
        <v>0</v>
      </c>
      <c r="I795" s="55">
        <f t="shared" si="234"/>
        <v>0</v>
      </c>
      <c r="J795" s="55">
        <v>0</v>
      </c>
      <c r="K795" s="55">
        <f t="shared" si="235"/>
        <v>0</v>
      </c>
      <c r="L795" s="57" t="s">
        <v>124</v>
      </c>
      <c r="Z795" s="55">
        <f t="shared" si="236"/>
        <v>0</v>
      </c>
      <c r="AB795" s="55">
        <f t="shared" si="237"/>
        <v>0</v>
      </c>
      <c r="AC795" s="55">
        <f t="shared" si="238"/>
        <v>0</v>
      </c>
      <c r="AD795" s="55">
        <f t="shared" si="239"/>
        <v>0</v>
      </c>
      <c r="AE795" s="55">
        <f t="shared" si="240"/>
        <v>0</v>
      </c>
      <c r="AF795" s="55">
        <f t="shared" si="241"/>
        <v>0</v>
      </c>
      <c r="AG795" s="55">
        <f t="shared" si="242"/>
        <v>0</v>
      </c>
      <c r="AH795" s="55">
        <f t="shared" si="243"/>
        <v>0</v>
      </c>
      <c r="AI795" s="34" t="s">
        <v>116</v>
      </c>
      <c r="AJ795" s="55">
        <f t="shared" si="244"/>
        <v>0</v>
      </c>
      <c r="AK795" s="55">
        <f t="shared" si="245"/>
        <v>0</v>
      </c>
      <c r="AL795" s="55">
        <f t="shared" si="246"/>
        <v>0</v>
      </c>
      <c r="AN795" s="55">
        <v>21</v>
      </c>
      <c r="AO795" s="55">
        <f t="shared" si="247"/>
        <v>0</v>
      </c>
      <c r="AP795" s="55">
        <f t="shared" si="248"/>
        <v>0</v>
      </c>
      <c r="AQ795" s="58" t="s">
        <v>125</v>
      </c>
      <c r="AV795" s="55">
        <f t="shared" si="249"/>
        <v>0</v>
      </c>
      <c r="AW795" s="55">
        <f t="shared" si="250"/>
        <v>0</v>
      </c>
      <c r="AX795" s="55">
        <f t="shared" si="251"/>
        <v>0</v>
      </c>
      <c r="AY795" s="58" t="s">
        <v>1636</v>
      </c>
      <c r="AZ795" s="58" t="s">
        <v>1527</v>
      </c>
      <c r="BA795" s="34" t="s">
        <v>128</v>
      </c>
      <c r="BC795" s="55">
        <f t="shared" si="252"/>
        <v>0</v>
      </c>
      <c r="BD795" s="55">
        <f t="shared" si="253"/>
        <v>0</v>
      </c>
      <c r="BE795" s="55">
        <v>0</v>
      </c>
      <c r="BF795" s="55">
        <f t="shared" si="254"/>
        <v>0</v>
      </c>
      <c r="BH795" s="55">
        <f t="shared" si="255"/>
        <v>0</v>
      </c>
      <c r="BI795" s="55">
        <f t="shared" si="256"/>
        <v>0</v>
      </c>
      <c r="BJ795" s="55">
        <f t="shared" si="257"/>
        <v>0</v>
      </c>
      <c r="BK795" s="55"/>
      <c r="BL795" s="55">
        <v>735</v>
      </c>
      <c r="BW795" s="55">
        <v>21</v>
      </c>
    </row>
    <row r="796" spans="1:75" ht="27" customHeight="1">
      <c r="A796" s="1" t="s">
        <v>1646</v>
      </c>
      <c r="B796" s="2" t="s">
        <v>116</v>
      </c>
      <c r="C796" s="2" t="s">
        <v>1647</v>
      </c>
      <c r="D796" s="147" t="s">
        <v>1648</v>
      </c>
      <c r="E796" s="148"/>
      <c r="F796" s="2" t="s">
        <v>374</v>
      </c>
      <c r="G796" s="55">
        <v>2</v>
      </c>
      <c r="H796" s="56">
        <v>0</v>
      </c>
      <c r="I796" s="55">
        <f t="shared" si="234"/>
        <v>0</v>
      </c>
      <c r="J796" s="55">
        <v>0</v>
      </c>
      <c r="K796" s="55">
        <f t="shared" si="235"/>
        <v>0</v>
      </c>
      <c r="L796" s="57" t="s">
        <v>124</v>
      </c>
      <c r="Z796" s="55">
        <f t="shared" si="236"/>
        <v>0</v>
      </c>
      <c r="AB796" s="55">
        <f t="shared" si="237"/>
        <v>0</v>
      </c>
      <c r="AC796" s="55">
        <f t="shared" si="238"/>
        <v>0</v>
      </c>
      <c r="AD796" s="55">
        <f t="shared" si="239"/>
        <v>0</v>
      </c>
      <c r="AE796" s="55">
        <f t="shared" si="240"/>
        <v>0</v>
      </c>
      <c r="AF796" s="55">
        <f t="shared" si="241"/>
        <v>0</v>
      </c>
      <c r="AG796" s="55">
        <f t="shared" si="242"/>
        <v>0</v>
      </c>
      <c r="AH796" s="55">
        <f t="shared" si="243"/>
        <v>0</v>
      </c>
      <c r="AI796" s="34" t="s">
        <v>116</v>
      </c>
      <c r="AJ796" s="55">
        <f t="shared" si="244"/>
        <v>0</v>
      </c>
      <c r="AK796" s="55">
        <f t="shared" si="245"/>
        <v>0</v>
      </c>
      <c r="AL796" s="55">
        <f t="shared" si="246"/>
        <v>0</v>
      </c>
      <c r="AN796" s="55">
        <v>21</v>
      </c>
      <c r="AO796" s="55">
        <f t="shared" si="247"/>
        <v>0</v>
      </c>
      <c r="AP796" s="55">
        <f t="shared" si="248"/>
        <v>0</v>
      </c>
      <c r="AQ796" s="58" t="s">
        <v>125</v>
      </c>
      <c r="AV796" s="55">
        <f t="shared" si="249"/>
        <v>0</v>
      </c>
      <c r="AW796" s="55">
        <f t="shared" si="250"/>
        <v>0</v>
      </c>
      <c r="AX796" s="55">
        <f t="shared" si="251"/>
        <v>0</v>
      </c>
      <c r="AY796" s="58" t="s">
        <v>1636</v>
      </c>
      <c r="AZ796" s="58" t="s">
        <v>1527</v>
      </c>
      <c r="BA796" s="34" t="s">
        <v>128</v>
      </c>
      <c r="BC796" s="55">
        <f t="shared" si="252"/>
        <v>0</v>
      </c>
      <c r="BD796" s="55">
        <f t="shared" si="253"/>
        <v>0</v>
      </c>
      <c r="BE796" s="55">
        <v>0</v>
      </c>
      <c r="BF796" s="55">
        <f t="shared" si="254"/>
        <v>0</v>
      </c>
      <c r="BH796" s="55">
        <f t="shared" si="255"/>
        <v>0</v>
      </c>
      <c r="BI796" s="55">
        <f t="shared" si="256"/>
        <v>0</v>
      </c>
      <c r="BJ796" s="55">
        <f t="shared" si="257"/>
        <v>0</v>
      </c>
      <c r="BK796" s="55"/>
      <c r="BL796" s="55">
        <v>735</v>
      </c>
      <c r="BW796" s="55">
        <v>21</v>
      </c>
    </row>
    <row r="797" spans="1:75" ht="27" customHeight="1">
      <c r="A797" s="1" t="s">
        <v>1649</v>
      </c>
      <c r="B797" s="2" t="s">
        <v>116</v>
      </c>
      <c r="C797" s="2" t="s">
        <v>1650</v>
      </c>
      <c r="D797" s="147" t="s">
        <v>1651</v>
      </c>
      <c r="E797" s="148"/>
      <c r="F797" s="2" t="s">
        <v>374</v>
      </c>
      <c r="G797" s="55">
        <v>1</v>
      </c>
      <c r="H797" s="56">
        <v>0</v>
      </c>
      <c r="I797" s="55">
        <f t="shared" si="234"/>
        <v>0</v>
      </c>
      <c r="J797" s="55">
        <v>0</v>
      </c>
      <c r="K797" s="55">
        <f t="shared" si="235"/>
        <v>0</v>
      </c>
      <c r="L797" s="57" t="s">
        <v>124</v>
      </c>
      <c r="Z797" s="55">
        <f t="shared" si="236"/>
        <v>0</v>
      </c>
      <c r="AB797" s="55">
        <f t="shared" si="237"/>
        <v>0</v>
      </c>
      <c r="AC797" s="55">
        <f t="shared" si="238"/>
        <v>0</v>
      </c>
      <c r="AD797" s="55">
        <f t="shared" si="239"/>
        <v>0</v>
      </c>
      <c r="AE797" s="55">
        <f t="shared" si="240"/>
        <v>0</v>
      </c>
      <c r="AF797" s="55">
        <f t="shared" si="241"/>
        <v>0</v>
      </c>
      <c r="AG797" s="55">
        <f t="shared" si="242"/>
        <v>0</v>
      </c>
      <c r="AH797" s="55">
        <f t="shared" si="243"/>
        <v>0</v>
      </c>
      <c r="AI797" s="34" t="s">
        <v>116</v>
      </c>
      <c r="AJ797" s="55">
        <f t="shared" si="244"/>
        <v>0</v>
      </c>
      <c r="AK797" s="55">
        <f t="shared" si="245"/>
        <v>0</v>
      </c>
      <c r="AL797" s="55">
        <f t="shared" si="246"/>
        <v>0</v>
      </c>
      <c r="AN797" s="55">
        <v>21</v>
      </c>
      <c r="AO797" s="55">
        <f t="shared" si="247"/>
        <v>0</v>
      </c>
      <c r="AP797" s="55">
        <f t="shared" si="248"/>
        <v>0</v>
      </c>
      <c r="AQ797" s="58" t="s">
        <v>125</v>
      </c>
      <c r="AV797" s="55">
        <f t="shared" si="249"/>
        <v>0</v>
      </c>
      <c r="AW797" s="55">
        <f t="shared" si="250"/>
        <v>0</v>
      </c>
      <c r="AX797" s="55">
        <f t="shared" si="251"/>
        <v>0</v>
      </c>
      <c r="AY797" s="58" t="s">
        <v>1636</v>
      </c>
      <c r="AZ797" s="58" t="s">
        <v>1527</v>
      </c>
      <c r="BA797" s="34" t="s">
        <v>128</v>
      </c>
      <c r="BC797" s="55">
        <f t="shared" si="252"/>
        <v>0</v>
      </c>
      <c r="BD797" s="55">
        <f t="shared" si="253"/>
        <v>0</v>
      </c>
      <c r="BE797" s="55">
        <v>0</v>
      </c>
      <c r="BF797" s="55">
        <f t="shared" si="254"/>
        <v>0</v>
      </c>
      <c r="BH797" s="55">
        <f t="shared" si="255"/>
        <v>0</v>
      </c>
      <c r="BI797" s="55">
        <f t="shared" si="256"/>
        <v>0</v>
      </c>
      <c r="BJ797" s="55">
        <f t="shared" si="257"/>
        <v>0</v>
      </c>
      <c r="BK797" s="55"/>
      <c r="BL797" s="55">
        <v>735</v>
      </c>
      <c r="BW797" s="55">
        <v>21</v>
      </c>
    </row>
    <row r="798" spans="1:75" ht="27" customHeight="1">
      <c r="A798" s="1" t="s">
        <v>1652</v>
      </c>
      <c r="B798" s="2" t="s">
        <v>116</v>
      </c>
      <c r="C798" s="2" t="s">
        <v>1653</v>
      </c>
      <c r="D798" s="147" t="s">
        <v>1654</v>
      </c>
      <c r="E798" s="148"/>
      <c r="F798" s="2" t="s">
        <v>374</v>
      </c>
      <c r="G798" s="55">
        <v>1</v>
      </c>
      <c r="H798" s="56">
        <v>0</v>
      </c>
      <c r="I798" s="55">
        <f t="shared" si="234"/>
        <v>0</v>
      </c>
      <c r="J798" s="55">
        <v>0</v>
      </c>
      <c r="K798" s="55">
        <f t="shared" si="235"/>
        <v>0</v>
      </c>
      <c r="L798" s="57" t="s">
        <v>124</v>
      </c>
      <c r="Z798" s="55">
        <f t="shared" si="236"/>
        <v>0</v>
      </c>
      <c r="AB798" s="55">
        <f t="shared" si="237"/>
        <v>0</v>
      </c>
      <c r="AC798" s="55">
        <f t="shared" si="238"/>
        <v>0</v>
      </c>
      <c r="AD798" s="55">
        <f t="shared" si="239"/>
        <v>0</v>
      </c>
      <c r="AE798" s="55">
        <f t="shared" si="240"/>
        <v>0</v>
      </c>
      <c r="AF798" s="55">
        <f t="shared" si="241"/>
        <v>0</v>
      </c>
      <c r="AG798" s="55">
        <f t="shared" si="242"/>
        <v>0</v>
      </c>
      <c r="AH798" s="55">
        <f t="shared" si="243"/>
        <v>0</v>
      </c>
      <c r="AI798" s="34" t="s">
        <v>116</v>
      </c>
      <c r="AJ798" s="55">
        <f t="shared" si="244"/>
        <v>0</v>
      </c>
      <c r="AK798" s="55">
        <f t="shared" si="245"/>
        <v>0</v>
      </c>
      <c r="AL798" s="55">
        <f t="shared" si="246"/>
        <v>0</v>
      </c>
      <c r="AN798" s="55">
        <v>21</v>
      </c>
      <c r="AO798" s="55">
        <f t="shared" si="247"/>
        <v>0</v>
      </c>
      <c r="AP798" s="55">
        <f t="shared" si="248"/>
        <v>0</v>
      </c>
      <c r="AQ798" s="58" t="s">
        <v>125</v>
      </c>
      <c r="AV798" s="55">
        <f t="shared" si="249"/>
        <v>0</v>
      </c>
      <c r="AW798" s="55">
        <f t="shared" si="250"/>
        <v>0</v>
      </c>
      <c r="AX798" s="55">
        <f t="shared" si="251"/>
        <v>0</v>
      </c>
      <c r="AY798" s="58" t="s">
        <v>1636</v>
      </c>
      <c r="AZ798" s="58" t="s">
        <v>1527</v>
      </c>
      <c r="BA798" s="34" t="s">
        <v>128</v>
      </c>
      <c r="BC798" s="55">
        <f t="shared" si="252"/>
        <v>0</v>
      </c>
      <c r="BD798" s="55">
        <f t="shared" si="253"/>
        <v>0</v>
      </c>
      <c r="BE798" s="55">
        <v>0</v>
      </c>
      <c r="BF798" s="55">
        <f t="shared" si="254"/>
        <v>0</v>
      </c>
      <c r="BH798" s="55">
        <f t="shared" si="255"/>
        <v>0</v>
      </c>
      <c r="BI798" s="55">
        <f t="shared" si="256"/>
        <v>0</v>
      </c>
      <c r="BJ798" s="55">
        <f t="shared" si="257"/>
        <v>0</v>
      </c>
      <c r="BK798" s="55"/>
      <c r="BL798" s="55">
        <v>735</v>
      </c>
      <c r="BW798" s="55">
        <v>21</v>
      </c>
    </row>
    <row r="799" spans="1:75" ht="13.5" customHeight="1">
      <c r="A799" s="1" t="s">
        <v>1655</v>
      </c>
      <c r="B799" s="2" t="s">
        <v>116</v>
      </c>
      <c r="C799" s="2" t="s">
        <v>1656</v>
      </c>
      <c r="D799" s="147" t="s">
        <v>1657</v>
      </c>
      <c r="E799" s="148"/>
      <c r="F799" s="2" t="s">
        <v>374</v>
      </c>
      <c r="G799" s="55">
        <v>1</v>
      </c>
      <c r="H799" s="56">
        <v>0</v>
      </c>
      <c r="I799" s="55">
        <f t="shared" si="234"/>
        <v>0</v>
      </c>
      <c r="J799" s="55">
        <v>0</v>
      </c>
      <c r="K799" s="55">
        <f t="shared" si="235"/>
        <v>0</v>
      </c>
      <c r="L799" s="57" t="s">
        <v>124</v>
      </c>
      <c r="Z799" s="55">
        <f t="shared" si="236"/>
        <v>0</v>
      </c>
      <c r="AB799" s="55">
        <f t="shared" si="237"/>
        <v>0</v>
      </c>
      <c r="AC799" s="55">
        <f t="shared" si="238"/>
        <v>0</v>
      </c>
      <c r="AD799" s="55">
        <f t="shared" si="239"/>
        <v>0</v>
      </c>
      <c r="AE799" s="55">
        <f t="shared" si="240"/>
        <v>0</v>
      </c>
      <c r="AF799" s="55">
        <f t="shared" si="241"/>
        <v>0</v>
      </c>
      <c r="AG799" s="55">
        <f t="shared" si="242"/>
        <v>0</v>
      </c>
      <c r="AH799" s="55">
        <f t="shared" si="243"/>
        <v>0</v>
      </c>
      <c r="AI799" s="34" t="s">
        <v>116</v>
      </c>
      <c r="AJ799" s="55">
        <f t="shared" si="244"/>
        <v>0</v>
      </c>
      <c r="AK799" s="55">
        <f t="shared" si="245"/>
        <v>0</v>
      </c>
      <c r="AL799" s="55">
        <f t="shared" si="246"/>
        <v>0</v>
      </c>
      <c r="AN799" s="55">
        <v>21</v>
      </c>
      <c r="AO799" s="55">
        <f t="shared" si="247"/>
        <v>0</v>
      </c>
      <c r="AP799" s="55">
        <f t="shared" si="248"/>
        <v>0</v>
      </c>
      <c r="AQ799" s="58" t="s">
        <v>125</v>
      </c>
      <c r="AV799" s="55">
        <f t="shared" si="249"/>
        <v>0</v>
      </c>
      <c r="AW799" s="55">
        <f t="shared" si="250"/>
        <v>0</v>
      </c>
      <c r="AX799" s="55">
        <f t="shared" si="251"/>
        <v>0</v>
      </c>
      <c r="AY799" s="58" t="s">
        <v>1636</v>
      </c>
      <c r="AZ799" s="58" t="s">
        <v>1527</v>
      </c>
      <c r="BA799" s="34" t="s">
        <v>128</v>
      </c>
      <c r="BC799" s="55">
        <f t="shared" si="252"/>
        <v>0</v>
      </c>
      <c r="BD799" s="55">
        <f t="shared" si="253"/>
        <v>0</v>
      </c>
      <c r="BE799" s="55">
        <v>0</v>
      </c>
      <c r="BF799" s="55">
        <f t="shared" si="254"/>
        <v>0</v>
      </c>
      <c r="BH799" s="55">
        <f t="shared" si="255"/>
        <v>0</v>
      </c>
      <c r="BI799" s="55">
        <f t="shared" si="256"/>
        <v>0</v>
      </c>
      <c r="BJ799" s="55">
        <f t="shared" si="257"/>
        <v>0</v>
      </c>
      <c r="BK799" s="55"/>
      <c r="BL799" s="55">
        <v>735</v>
      </c>
      <c r="BW799" s="55">
        <v>21</v>
      </c>
    </row>
    <row r="800" spans="1:75" ht="13.5" customHeight="1">
      <c r="A800" s="61" t="s">
        <v>1658</v>
      </c>
      <c r="B800" s="62" t="s">
        <v>116</v>
      </c>
      <c r="C800" s="62" t="s">
        <v>1659</v>
      </c>
      <c r="D800" s="224" t="s">
        <v>1660</v>
      </c>
      <c r="E800" s="225"/>
      <c r="F800" s="62" t="s">
        <v>374</v>
      </c>
      <c r="G800" s="63">
        <v>1</v>
      </c>
      <c r="H800" s="64">
        <v>0</v>
      </c>
      <c r="I800" s="63">
        <f t="shared" si="234"/>
        <v>0</v>
      </c>
      <c r="J800" s="63">
        <v>0</v>
      </c>
      <c r="K800" s="63">
        <f t="shared" si="235"/>
        <v>0</v>
      </c>
      <c r="L800" s="65" t="s">
        <v>124</v>
      </c>
      <c r="Z800" s="55">
        <f t="shared" si="236"/>
        <v>0</v>
      </c>
      <c r="AB800" s="55">
        <f t="shared" si="237"/>
        <v>0</v>
      </c>
      <c r="AC800" s="55">
        <f t="shared" si="238"/>
        <v>0</v>
      </c>
      <c r="AD800" s="55">
        <f t="shared" si="239"/>
        <v>0</v>
      </c>
      <c r="AE800" s="55">
        <f t="shared" si="240"/>
        <v>0</v>
      </c>
      <c r="AF800" s="55">
        <f t="shared" si="241"/>
        <v>0</v>
      </c>
      <c r="AG800" s="55">
        <f t="shared" si="242"/>
        <v>0</v>
      </c>
      <c r="AH800" s="55">
        <f t="shared" si="243"/>
        <v>0</v>
      </c>
      <c r="AI800" s="34" t="s">
        <v>116</v>
      </c>
      <c r="AJ800" s="63">
        <f t="shared" si="244"/>
        <v>0</v>
      </c>
      <c r="AK800" s="63">
        <f t="shared" si="245"/>
        <v>0</v>
      </c>
      <c r="AL800" s="63">
        <f t="shared" si="246"/>
        <v>0</v>
      </c>
      <c r="AN800" s="55">
        <v>21</v>
      </c>
      <c r="AO800" s="55">
        <f>H800*1</f>
        <v>0</v>
      </c>
      <c r="AP800" s="55">
        <f>H800*(1-1)</f>
        <v>0</v>
      </c>
      <c r="AQ800" s="66" t="s">
        <v>125</v>
      </c>
      <c r="AV800" s="55">
        <f t="shared" si="249"/>
        <v>0</v>
      </c>
      <c r="AW800" s="55">
        <f t="shared" si="250"/>
        <v>0</v>
      </c>
      <c r="AX800" s="55">
        <f t="shared" si="251"/>
        <v>0</v>
      </c>
      <c r="AY800" s="58" t="s">
        <v>1636</v>
      </c>
      <c r="AZ800" s="58" t="s">
        <v>1527</v>
      </c>
      <c r="BA800" s="34" t="s">
        <v>128</v>
      </c>
      <c r="BC800" s="55">
        <f t="shared" si="252"/>
        <v>0</v>
      </c>
      <c r="BD800" s="55">
        <f t="shared" si="253"/>
        <v>0</v>
      </c>
      <c r="BE800" s="55">
        <v>0</v>
      </c>
      <c r="BF800" s="55">
        <f t="shared" si="254"/>
        <v>0</v>
      </c>
      <c r="BH800" s="63">
        <f t="shared" si="255"/>
        <v>0</v>
      </c>
      <c r="BI800" s="63">
        <f t="shared" si="256"/>
        <v>0</v>
      </c>
      <c r="BJ800" s="63">
        <f t="shared" si="257"/>
        <v>0</v>
      </c>
      <c r="BK800" s="63"/>
      <c r="BL800" s="55">
        <v>735</v>
      </c>
      <c r="BW800" s="55">
        <v>21</v>
      </c>
    </row>
    <row r="801" spans="1:75" ht="13.5" customHeight="1">
      <c r="A801" s="1" t="s">
        <v>1661</v>
      </c>
      <c r="B801" s="2" t="s">
        <v>116</v>
      </c>
      <c r="C801" s="2" t="s">
        <v>1662</v>
      </c>
      <c r="D801" s="147" t="s">
        <v>1663</v>
      </c>
      <c r="E801" s="148"/>
      <c r="F801" s="2" t="s">
        <v>939</v>
      </c>
      <c r="G801" s="55">
        <v>0.6</v>
      </c>
      <c r="H801" s="56">
        <v>0</v>
      </c>
      <c r="I801" s="55">
        <f t="shared" si="234"/>
        <v>0</v>
      </c>
      <c r="J801" s="55">
        <v>0</v>
      </c>
      <c r="K801" s="55">
        <f t="shared" si="235"/>
        <v>0</v>
      </c>
      <c r="L801" s="57" t="s">
        <v>124</v>
      </c>
      <c r="Z801" s="55">
        <f t="shared" si="236"/>
        <v>0</v>
      </c>
      <c r="AB801" s="55">
        <f t="shared" si="237"/>
        <v>0</v>
      </c>
      <c r="AC801" s="55">
        <f t="shared" si="238"/>
        <v>0</v>
      </c>
      <c r="AD801" s="55">
        <f t="shared" si="239"/>
        <v>0</v>
      </c>
      <c r="AE801" s="55">
        <f t="shared" si="240"/>
        <v>0</v>
      </c>
      <c r="AF801" s="55">
        <f t="shared" si="241"/>
        <v>0</v>
      </c>
      <c r="AG801" s="55">
        <f t="shared" si="242"/>
        <v>0</v>
      </c>
      <c r="AH801" s="55">
        <f t="shared" si="243"/>
        <v>0</v>
      </c>
      <c r="AI801" s="34" t="s">
        <v>116</v>
      </c>
      <c r="AJ801" s="55">
        <f t="shared" si="244"/>
        <v>0</v>
      </c>
      <c r="AK801" s="55">
        <f t="shared" si="245"/>
        <v>0</v>
      </c>
      <c r="AL801" s="55">
        <f t="shared" si="246"/>
        <v>0</v>
      </c>
      <c r="AN801" s="55">
        <v>21</v>
      </c>
      <c r="AO801" s="55">
        <f>H801*0</f>
        <v>0</v>
      </c>
      <c r="AP801" s="55">
        <f>H801*(1-0)</f>
        <v>0</v>
      </c>
      <c r="AQ801" s="58" t="s">
        <v>139</v>
      </c>
      <c r="AV801" s="55">
        <f t="shared" si="249"/>
        <v>0</v>
      </c>
      <c r="AW801" s="55">
        <f t="shared" si="250"/>
        <v>0</v>
      </c>
      <c r="AX801" s="55">
        <f t="shared" si="251"/>
        <v>0</v>
      </c>
      <c r="AY801" s="58" t="s">
        <v>1636</v>
      </c>
      <c r="AZ801" s="58" t="s">
        <v>1527</v>
      </c>
      <c r="BA801" s="34" t="s">
        <v>128</v>
      </c>
      <c r="BC801" s="55">
        <f t="shared" si="252"/>
        <v>0</v>
      </c>
      <c r="BD801" s="55">
        <f t="shared" si="253"/>
        <v>0</v>
      </c>
      <c r="BE801" s="55">
        <v>0</v>
      </c>
      <c r="BF801" s="55">
        <f t="shared" si="254"/>
        <v>0</v>
      </c>
      <c r="BH801" s="55">
        <f t="shared" si="255"/>
        <v>0</v>
      </c>
      <c r="BI801" s="55">
        <f t="shared" si="256"/>
        <v>0</v>
      </c>
      <c r="BJ801" s="55">
        <f t="shared" si="257"/>
        <v>0</v>
      </c>
      <c r="BK801" s="55"/>
      <c r="BL801" s="55">
        <v>735</v>
      </c>
      <c r="BW801" s="55">
        <v>21</v>
      </c>
    </row>
    <row r="802" spans="1:47" ht="14.4">
      <c r="A802" s="50" t="s">
        <v>4</v>
      </c>
      <c r="B802" s="51" t="s">
        <v>116</v>
      </c>
      <c r="C802" s="51" t="s">
        <v>1664</v>
      </c>
      <c r="D802" s="222" t="s">
        <v>1665</v>
      </c>
      <c r="E802" s="223"/>
      <c r="F802" s="52" t="s">
        <v>79</v>
      </c>
      <c r="G802" s="52" t="s">
        <v>79</v>
      </c>
      <c r="H802" s="53" t="s">
        <v>79</v>
      </c>
      <c r="I802" s="27">
        <f>SUM(I803:I897)</f>
        <v>0</v>
      </c>
      <c r="J802" s="34" t="s">
        <v>4</v>
      </c>
      <c r="K802" s="27">
        <f>SUM(K803:K897)</f>
        <v>18.980345100000005</v>
      </c>
      <c r="L802" s="54" t="s">
        <v>4</v>
      </c>
      <c r="AI802" s="34" t="s">
        <v>116</v>
      </c>
      <c r="AS802" s="27">
        <f>SUM(AJ803:AJ897)</f>
        <v>0</v>
      </c>
      <c r="AT802" s="27">
        <f>SUM(AK803:AK897)</f>
        <v>0</v>
      </c>
      <c r="AU802" s="27">
        <f>SUM(AL803:AL897)</f>
        <v>0</v>
      </c>
    </row>
    <row r="803" spans="1:75" ht="13.5" customHeight="1">
      <c r="A803" s="1" t="s">
        <v>1076</v>
      </c>
      <c r="B803" s="2" t="s">
        <v>116</v>
      </c>
      <c r="C803" s="2" t="s">
        <v>1666</v>
      </c>
      <c r="D803" s="147" t="s">
        <v>1667</v>
      </c>
      <c r="E803" s="148"/>
      <c r="F803" s="2" t="s">
        <v>729</v>
      </c>
      <c r="G803" s="55">
        <v>118.83</v>
      </c>
      <c r="H803" s="56">
        <v>0</v>
      </c>
      <c r="I803" s="55">
        <f>G803*H803</f>
        <v>0</v>
      </c>
      <c r="J803" s="55">
        <v>0</v>
      </c>
      <c r="K803" s="55">
        <f>G803*J803</f>
        <v>0</v>
      </c>
      <c r="L803" s="57" t="s">
        <v>124</v>
      </c>
      <c r="Z803" s="55">
        <f>IF(AQ803="5",BJ803,0)</f>
        <v>0</v>
      </c>
      <c r="AB803" s="55">
        <f>IF(AQ803="1",BH803,0)</f>
        <v>0</v>
      </c>
      <c r="AC803" s="55">
        <f>IF(AQ803="1",BI803,0)</f>
        <v>0</v>
      </c>
      <c r="AD803" s="55">
        <f>IF(AQ803="7",BH803,0)</f>
        <v>0</v>
      </c>
      <c r="AE803" s="55">
        <f>IF(AQ803="7",BI803,0)</f>
        <v>0</v>
      </c>
      <c r="AF803" s="55">
        <f>IF(AQ803="2",BH803,0)</f>
        <v>0</v>
      </c>
      <c r="AG803" s="55">
        <f>IF(AQ803="2",BI803,0)</f>
        <v>0</v>
      </c>
      <c r="AH803" s="55">
        <f>IF(AQ803="0",BJ803,0)</f>
        <v>0</v>
      </c>
      <c r="AI803" s="34" t="s">
        <v>116</v>
      </c>
      <c r="AJ803" s="55">
        <f>IF(AN803=0,I803,0)</f>
        <v>0</v>
      </c>
      <c r="AK803" s="55">
        <f>IF(AN803=12,I803,0)</f>
        <v>0</v>
      </c>
      <c r="AL803" s="55">
        <f>IF(AN803=21,I803,0)</f>
        <v>0</v>
      </c>
      <c r="AN803" s="55">
        <v>21</v>
      </c>
      <c r="AO803" s="55">
        <f>H803*0</f>
        <v>0</v>
      </c>
      <c r="AP803" s="55">
        <f>H803*(1-0)</f>
        <v>0</v>
      </c>
      <c r="AQ803" s="58" t="s">
        <v>125</v>
      </c>
      <c r="AV803" s="55">
        <f>AW803+AX803</f>
        <v>0</v>
      </c>
      <c r="AW803" s="55">
        <f>G803*AO803</f>
        <v>0</v>
      </c>
      <c r="AX803" s="55">
        <f>G803*AP803</f>
        <v>0</v>
      </c>
      <c r="AY803" s="58" t="s">
        <v>1668</v>
      </c>
      <c r="AZ803" s="58" t="s">
        <v>1669</v>
      </c>
      <c r="BA803" s="34" t="s">
        <v>128</v>
      </c>
      <c r="BB803" s="67">
        <v>100014</v>
      </c>
      <c r="BC803" s="55">
        <f>AW803+AX803</f>
        <v>0</v>
      </c>
      <c r="BD803" s="55">
        <f>H803/(100-BE803)*100</f>
        <v>0</v>
      </c>
      <c r="BE803" s="55">
        <v>0</v>
      </c>
      <c r="BF803" s="55">
        <f>K803</f>
        <v>0</v>
      </c>
      <c r="BH803" s="55">
        <f>G803*AO803</f>
        <v>0</v>
      </c>
      <c r="BI803" s="55">
        <f>G803*AP803</f>
        <v>0</v>
      </c>
      <c r="BJ803" s="55">
        <f>G803*H803</f>
        <v>0</v>
      </c>
      <c r="BK803" s="55"/>
      <c r="BL803" s="55">
        <v>762</v>
      </c>
      <c r="BW803" s="55">
        <v>21</v>
      </c>
    </row>
    <row r="804" spans="1:12" ht="13.5" customHeight="1">
      <c r="A804" s="59"/>
      <c r="D804" s="218" t="s">
        <v>1670</v>
      </c>
      <c r="E804" s="219"/>
      <c r="F804" s="219"/>
      <c r="G804" s="219"/>
      <c r="H804" s="220"/>
      <c r="I804" s="219"/>
      <c r="J804" s="219"/>
      <c r="K804" s="219"/>
      <c r="L804" s="221"/>
    </row>
    <row r="805" spans="1:12" ht="14.4">
      <c r="A805" s="59"/>
      <c r="D805" s="60" t="s">
        <v>1236</v>
      </c>
      <c r="E805" s="60" t="s">
        <v>1237</v>
      </c>
      <c r="G805" s="68">
        <v>45.25</v>
      </c>
      <c r="L805" s="69"/>
    </row>
    <row r="806" spans="1:12" ht="14.4">
      <c r="A806" s="59"/>
      <c r="D806" s="60" t="s">
        <v>1238</v>
      </c>
      <c r="E806" s="60" t="s">
        <v>1239</v>
      </c>
      <c r="G806" s="68">
        <v>29.69</v>
      </c>
      <c r="L806" s="69"/>
    </row>
    <row r="807" spans="1:12" ht="14.4">
      <c r="A807" s="59"/>
      <c r="D807" s="60" t="s">
        <v>1240</v>
      </c>
      <c r="E807" s="60" t="s">
        <v>1241</v>
      </c>
      <c r="G807" s="68">
        <v>18.72</v>
      </c>
      <c r="L807" s="69"/>
    </row>
    <row r="808" spans="1:12" ht="14.4">
      <c r="A808" s="59"/>
      <c r="D808" s="60" t="s">
        <v>1242</v>
      </c>
      <c r="E808" s="60" t="s">
        <v>1243</v>
      </c>
      <c r="G808" s="68">
        <v>25.17</v>
      </c>
      <c r="L808" s="69"/>
    </row>
    <row r="809" spans="1:75" ht="13.5" customHeight="1">
      <c r="A809" s="1" t="s">
        <v>1671</v>
      </c>
      <c r="B809" s="2" t="s">
        <v>116</v>
      </c>
      <c r="C809" s="2" t="s">
        <v>1672</v>
      </c>
      <c r="D809" s="147" t="s">
        <v>1673</v>
      </c>
      <c r="E809" s="148"/>
      <c r="F809" s="2" t="s">
        <v>174</v>
      </c>
      <c r="G809" s="55">
        <v>156.1</v>
      </c>
      <c r="H809" s="56">
        <v>0</v>
      </c>
      <c r="I809" s="55">
        <f>G809*H809</f>
        <v>0</v>
      </c>
      <c r="J809" s="55">
        <v>0.00676</v>
      </c>
      <c r="K809" s="55">
        <f>G809*J809</f>
        <v>1.055236</v>
      </c>
      <c r="L809" s="57" t="s">
        <v>785</v>
      </c>
      <c r="Z809" s="55">
        <f>IF(AQ809="5",BJ809,0)</f>
        <v>0</v>
      </c>
      <c r="AB809" s="55">
        <f>IF(AQ809="1",BH809,0)</f>
        <v>0</v>
      </c>
      <c r="AC809" s="55">
        <f>IF(AQ809="1",BI809,0)</f>
        <v>0</v>
      </c>
      <c r="AD809" s="55">
        <f>IF(AQ809="7",BH809,0)</f>
        <v>0</v>
      </c>
      <c r="AE809" s="55">
        <f>IF(AQ809="7",BI809,0)</f>
        <v>0</v>
      </c>
      <c r="AF809" s="55">
        <f>IF(AQ809="2",BH809,0)</f>
        <v>0</v>
      </c>
      <c r="AG809" s="55">
        <f>IF(AQ809="2",BI809,0)</f>
        <v>0</v>
      </c>
      <c r="AH809" s="55">
        <f>IF(AQ809="0",BJ809,0)</f>
        <v>0</v>
      </c>
      <c r="AI809" s="34" t="s">
        <v>116</v>
      </c>
      <c r="AJ809" s="55">
        <f>IF(AN809=0,I809,0)</f>
        <v>0</v>
      </c>
      <c r="AK809" s="55">
        <f>IF(AN809=12,I809,0)</f>
        <v>0</v>
      </c>
      <c r="AL809" s="55">
        <f>IF(AN809=21,I809,0)</f>
        <v>0</v>
      </c>
      <c r="AN809" s="55">
        <v>21</v>
      </c>
      <c r="AO809" s="55">
        <f>H809*0.030064103</f>
        <v>0</v>
      </c>
      <c r="AP809" s="55">
        <f>H809*(1-0.030064103)</f>
        <v>0</v>
      </c>
      <c r="AQ809" s="58" t="s">
        <v>125</v>
      </c>
      <c r="AV809" s="55">
        <f>AW809+AX809</f>
        <v>0</v>
      </c>
      <c r="AW809" s="55">
        <f>G809*AO809</f>
        <v>0</v>
      </c>
      <c r="AX809" s="55">
        <f>G809*AP809</f>
        <v>0</v>
      </c>
      <c r="AY809" s="58" t="s">
        <v>1668</v>
      </c>
      <c r="AZ809" s="58" t="s">
        <v>1669</v>
      </c>
      <c r="BA809" s="34" t="s">
        <v>128</v>
      </c>
      <c r="BB809" s="67">
        <v>100014</v>
      </c>
      <c r="BC809" s="55">
        <f>AW809+AX809</f>
        <v>0</v>
      </c>
      <c r="BD809" s="55">
        <f>H809/(100-BE809)*100</f>
        <v>0</v>
      </c>
      <c r="BE809" s="55">
        <v>0</v>
      </c>
      <c r="BF809" s="55">
        <f>K809</f>
        <v>1.055236</v>
      </c>
      <c r="BH809" s="55">
        <f>G809*AO809</f>
        <v>0</v>
      </c>
      <c r="BI809" s="55">
        <f>G809*AP809</f>
        <v>0</v>
      </c>
      <c r="BJ809" s="55">
        <f>G809*H809</f>
        <v>0</v>
      </c>
      <c r="BK809" s="55"/>
      <c r="BL809" s="55">
        <v>762</v>
      </c>
      <c r="BW809" s="55">
        <v>21</v>
      </c>
    </row>
    <row r="810" spans="1:12" ht="14.4">
      <c r="A810" s="59"/>
      <c r="D810" s="60" t="s">
        <v>1674</v>
      </c>
      <c r="E810" s="60" t="s">
        <v>4</v>
      </c>
      <c r="G810" s="68">
        <v>156.1</v>
      </c>
      <c r="L810" s="69"/>
    </row>
    <row r="811" spans="1:75" ht="13.5" customHeight="1">
      <c r="A811" s="1" t="s">
        <v>1675</v>
      </c>
      <c r="B811" s="2" t="s">
        <v>116</v>
      </c>
      <c r="C811" s="2" t="s">
        <v>1676</v>
      </c>
      <c r="D811" s="147" t="s">
        <v>1677</v>
      </c>
      <c r="E811" s="148"/>
      <c r="F811" s="2" t="s">
        <v>174</v>
      </c>
      <c r="G811" s="55">
        <v>354.56</v>
      </c>
      <c r="H811" s="56">
        <v>0</v>
      </c>
      <c r="I811" s="55">
        <f>G811*H811</f>
        <v>0</v>
      </c>
      <c r="J811" s="55">
        <v>0.01248</v>
      </c>
      <c r="K811" s="55">
        <f>G811*J811</f>
        <v>4.4249088</v>
      </c>
      <c r="L811" s="57" t="s">
        <v>785</v>
      </c>
      <c r="Z811" s="55">
        <f>IF(AQ811="5",BJ811,0)</f>
        <v>0</v>
      </c>
      <c r="AB811" s="55">
        <f>IF(AQ811="1",BH811,0)</f>
        <v>0</v>
      </c>
      <c r="AC811" s="55">
        <f>IF(AQ811="1",BI811,0)</f>
        <v>0</v>
      </c>
      <c r="AD811" s="55">
        <f>IF(AQ811="7",BH811,0)</f>
        <v>0</v>
      </c>
      <c r="AE811" s="55">
        <f>IF(AQ811="7",BI811,0)</f>
        <v>0</v>
      </c>
      <c r="AF811" s="55">
        <f>IF(AQ811="2",BH811,0)</f>
        <v>0</v>
      </c>
      <c r="AG811" s="55">
        <f>IF(AQ811="2",BI811,0)</f>
        <v>0</v>
      </c>
      <c r="AH811" s="55">
        <f>IF(AQ811="0",BJ811,0)</f>
        <v>0</v>
      </c>
      <c r="AI811" s="34" t="s">
        <v>116</v>
      </c>
      <c r="AJ811" s="55">
        <f>IF(AN811=0,I811,0)</f>
        <v>0</v>
      </c>
      <c r="AK811" s="55">
        <f>IF(AN811=12,I811,0)</f>
        <v>0</v>
      </c>
      <c r="AL811" s="55">
        <f>IF(AN811=21,I811,0)</f>
        <v>0</v>
      </c>
      <c r="AN811" s="55">
        <v>21</v>
      </c>
      <c r="AO811" s="55">
        <f>H811*0.025080221</f>
        <v>0</v>
      </c>
      <c r="AP811" s="55">
        <f>H811*(1-0.025080221)</f>
        <v>0</v>
      </c>
      <c r="AQ811" s="58" t="s">
        <v>125</v>
      </c>
      <c r="AV811" s="55">
        <f>AW811+AX811</f>
        <v>0</v>
      </c>
      <c r="AW811" s="55">
        <f>G811*AO811</f>
        <v>0</v>
      </c>
      <c r="AX811" s="55">
        <f>G811*AP811</f>
        <v>0</v>
      </c>
      <c r="AY811" s="58" t="s">
        <v>1668</v>
      </c>
      <c r="AZ811" s="58" t="s">
        <v>1669</v>
      </c>
      <c r="BA811" s="34" t="s">
        <v>128</v>
      </c>
      <c r="BB811" s="67">
        <v>100014</v>
      </c>
      <c r="BC811" s="55">
        <f>AW811+AX811</f>
        <v>0</v>
      </c>
      <c r="BD811" s="55">
        <f>H811/(100-BE811)*100</f>
        <v>0</v>
      </c>
      <c r="BE811" s="55">
        <v>0</v>
      </c>
      <c r="BF811" s="55">
        <f>K811</f>
        <v>4.4249088</v>
      </c>
      <c r="BH811" s="55">
        <f>G811*AO811</f>
        <v>0</v>
      </c>
      <c r="BI811" s="55">
        <f>G811*AP811</f>
        <v>0</v>
      </c>
      <c r="BJ811" s="55">
        <f>G811*H811</f>
        <v>0</v>
      </c>
      <c r="BK811" s="55"/>
      <c r="BL811" s="55">
        <v>762</v>
      </c>
      <c r="BW811" s="55">
        <v>21</v>
      </c>
    </row>
    <row r="812" spans="1:12" ht="14.4">
      <c r="A812" s="59"/>
      <c r="D812" s="60" t="s">
        <v>1678</v>
      </c>
      <c r="E812" s="60" t="s">
        <v>1679</v>
      </c>
      <c r="G812" s="68">
        <v>223.5</v>
      </c>
      <c r="L812" s="69"/>
    </row>
    <row r="813" spans="1:12" ht="14.4">
      <c r="A813" s="59"/>
      <c r="D813" s="60" t="s">
        <v>1680</v>
      </c>
      <c r="E813" s="60" t="s">
        <v>1681</v>
      </c>
      <c r="G813" s="68">
        <v>131.06</v>
      </c>
      <c r="L813" s="69"/>
    </row>
    <row r="814" spans="1:75" ht="13.5" customHeight="1">
      <c r="A814" s="1" t="s">
        <v>1682</v>
      </c>
      <c r="B814" s="2" t="s">
        <v>116</v>
      </c>
      <c r="C814" s="2" t="s">
        <v>1683</v>
      </c>
      <c r="D814" s="147" t="s">
        <v>1684</v>
      </c>
      <c r="E814" s="148"/>
      <c r="F814" s="2" t="s">
        <v>174</v>
      </c>
      <c r="G814" s="55">
        <v>13.6</v>
      </c>
      <c r="H814" s="56">
        <v>0</v>
      </c>
      <c r="I814" s="55">
        <f>G814*H814</f>
        <v>0</v>
      </c>
      <c r="J814" s="55">
        <v>0.016</v>
      </c>
      <c r="K814" s="55">
        <f>G814*J814</f>
        <v>0.2176</v>
      </c>
      <c r="L814" s="57" t="s">
        <v>785</v>
      </c>
      <c r="Z814" s="55">
        <f>IF(AQ814="5",BJ814,0)</f>
        <v>0</v>
      </c>
      <c r="AB814" s="55">
        <f>IF(AQ814="1",BH814,0)</f>
        <v>0</v>
      </c>
      <c r="AC814" s="55">
        <f>IF(AQ814="1",BI814,0)</f>
        <v>0</v>
      </c>
      <c r="AD814" s="55">
        <f>IF(AQ814="7",BH814,0)</f>
        <v>0</v>
      </c>
      <c r="AE814" s="55">
        <f>IF(AQ814="7",BI814,0)</f>
        <v>0</v>
      </c>
      <c r="AF814" s="55">
        <f>IF(AQ814="2",BH814,0)</f>
        <v>0</v>
      </c>
      <c r="AG814" s="55">
        <f>IF(AQ814="2",BI814,0)</f>
        <v>0</v>
      </c>
      <c r="AH814" s="55">
        <f>IF(AQ814="0",BJ814,0)</f>
        <v>0</v>
      </c>
      <c r="AI814" s="34" t="s">
        <v>116</v>
      </c>
      <c r="AJ814" s="55">
        <f>IF(AN814=0,I814,0)</f>
        <v>0</v>
      </c>
      <c r="AK814" s="55">
        <f>IF(AN814=12,I814,0)</f>
        <v>0</v>
      </c>
      <c r="AL814" s="55">
        <f>IF(AN814=21,I814,0)</f>
        <v>0</v>
      </c>
      <c r="AN814" s="55">
        <v>21</v>
      </c>
      <c r="AO814" s="55">
        <f>H814*0.018950058</f>
        <v>0</v>
      </c>
      <c r="AP814" s="55">
        <f>H814*(1-0.018950058)</f>
        <v>0</v>
      </c>
      <c r="AQ814" s="58" t="s">
        <v>125</v>
      </c>
      <c r="AV814" s="55">
        <f>AW814+AX814</f>
        <v>0</v>
      </c>
      <c r="AW814" s="55">
        <f>G814*AO814</f>
        <v>0</v>
      </c>
      <c r="AX814" s="55">
        <f>G814*AP814</f>
        <v>0</v>
      </c>
      <c r="AY814" s="58" t="s">
        <v>1668</v>
      </c>
      <c r="AZ814" s="58" t="s">
        <v>1669</v>
      </c>
      <c r="BA814" s="34" t="s">
        <v>128</v>
      </c>
      <c r="BB814" s="67">
        <v>100014</v>
      </c>
      <c r="BC814" s="55">
        <f>AW814+AX814</f>
        <v>0</v>
      </c>
      <c r="BD814" s="55">
        <f>H814/(100-BE814)*100</f>
        <v>0</v>
      </c>
      <c r="BE814" s="55">
        <v>0</v>
      </c>
      <c r="BF814" s="55">
        <f>K814</f>
        <v>0.2176</v>
      </c>
      <c r="BH814" s="55">
        <f>G814*AO814</f>
        <v>0</v>
      </c>
      <c r="BI814" s="55">
        <f>G814*AP814</f>
        <v>0</v>
      </c>
      <c r="BJ814" s="55">
        <f>G814*H814</f>
        <v>0</v>
      </c>
      <c r="BK814" s="55"/>
      <c r="BL814" s="55">
        <v>762</v>
      </c>
      <c r="BW814" s="55">
        <v>21</v>
      </c>
    </row>
    <row r="815" spans="1:12" ht="14.4">
      <c r="A815" s="59"/>
      <c r="D815" s="60" t="s">
        <v>1685</v>
      </c>
      <c r="E815" s="60" t="s">
        <v>4</v>
      </c>
      <c r="G815" s="68">
        <v>13.6</v>
      </c>
      <c r="L815" s="69"/>
    </row>
    <row r="816" spans="1:75" ht="13.5" customHeight="1">
      <c r="A816" s="1" t="s">
        <v>1686</v>
      </c>
      <c r="B816" s="2" t="s">
        <v>116</v>
      </c>
      <c r="C816" s="2" t="s">
        <v>1687</v>
      </c>
      <c r="D816" s="147" t="s">
        <v>1688</v>
      </c>
      <c r="E816" s="148"/>
      <c r="F816" s="2" t="s">
        <v>174</v>
      </c>
      <c r="G816" s="55">
        <v>19</v>
      </c>
      <c r="H816" s="56">
        <v>0</v>
      </c>
      <c r="I816" s="55">
        <f>G816*H816</f>
        <v>0</v>
      </c>
      <c r="J816" s="55">
        <v>0.03591</v>
      </c>
      <c r="K816" s="55">
        <f>G816*J816</f>
        <v>0.68229</v>
      </c>
      <c r="L816" s="57" t="s">
        <v>785</v>
      </c>
      <c r="Z816" s="55">
        <f>IF(AQ816="5",BJ816,0)</f>
        <v>0</v>
      </c>
      <c r="AB816" s="55">
        <f>IF(AQ816="1",BH816,0)</f>
        <v>0</v>
      </c>
      <c r="AC816" s="55">
        <f>IF(AQ816="1",BI816,0)</f>
        <v>0</v>
      </c>
      <c r="AD816" s="55">
        <f>IF(AQ816="7",BH816,0)</f>
        <v>0</v>
      </c>
      <c r="AE816" s="55">
        <f>IF(AQ816="7",BI816,0)</f>
        <v>0</v>
      </c>
      <c r="AF816" s="55">
        <f>IF(AQ816="2",BH816,0)</f>
        <v>0</v>
      </c>
      <c r="AG816" s="55">
        <f>IF(AQ816="2",BI816,0)</f>
        <v>0</v>
      </c>
      <c r="AH816" s="55">
        <f>IF(AQ816="0",BJ816,0)</f>
        <v>0</v>
      </c>
      <c r="AI816" s="34" t="s">
        <v>116</v>
      </c>
      <c r="AJ816" s="55">
        <f>IF(AN816=0,I816,0)</f>
        <v>0</v>
      </c>
      <c r="AK816" s="55">
        <f>IF(AN816=12,I816,0)</f>
        <v>0</v>
      </c>
      <c r="AL816" s="55">
        <f>IF(AN816=21,I816,0)</f>
        <v>0</v>
      </c>
      <c r="AN816" s="55">
        <v>21</v>
      </c>
      <c r="AO816" s="55">
        <f>H816*0.016200345</f>
        <v>0</v>
      </c>
      <c r="AP816" s="55">
        <f>H816*(1-0.016200345)</f>
        <v>0</v>
      </c>
      <c r="AQ816" s="58" t="s">
        <v>125</v>
      </c>
      <c r="AV816" s="55">
        <f>AW816+AX816</f>
        <v>0</v>
      </c>
      <c r="AW816" s="55">
        <f>G816*AO816</f>
        <v>0</v>
      </c>
      <c r="AX816" s="55">
        <f>G816*AP816</f>
        <v>0</v>
      </c>
      <c r="AY816" s="58" t="s">
        <v>1668</v>
      </c>
      <c r="AZ816" s="58" t="s">
        <v>1669</v>
      </c>
      <c r="BA816" s="34" t="s">
        <v>128</v>
      </c>
      <c r="BB816" s="67">
        <v>100014</v>
      </c>
      <c r="BC816" s="55">
        <f>AW816+AX816</f>
        <v>0</v>
      </c>
      <c r="BD816" s="55">
        <f>H816/(100-BE816)*100</f>
        <v>0</v>
      </c>
      <c r="BE816" s="55">
        <v>0</v>
      </c>
      <c r="BF816" s="55">
        <f>K816</f>
        <v>0.68229</v>
      </c>
      <c r="BH816" s="55">
        <f>G816*AO816</f>
        <v>0</v>
      </c>
      <c r="BI816" s="55">
        <f>G816*AP816</f>
        <v>0</v>
      </c>
      <c r="BJ816" s="55">
        <f>G816*H816</f>
        <v>0</v>
      </c>
      <c r="BK816" s="55"/>
      <c r="BL816" s="55">
        <v>762</v>
      </c>
      <c r="BW816" s="55">
        <v>21</v>
      </c>
    </row>
    <row r="817" spans="1:12" ht="14.4">
      <c r="A817" s="59"/>
      <c r="D817" s="60" t="s">
        <v>181</v>
      </c>
      <c r="E817" s="60" t="s">
        <v>4</v>
      </c>
      <c r="G817" s="68">
        <v>19</v>
      </c>
      <c r="L817" s="69"/>
    </row>
    <row r="818" spans="1:75" ht="13.5" customHeight="1">
      <c r="A818" s="1" t="s">
        <v>1689</v>
      </c>
      <c r="B818" s="2" t="s">
        <v>116</v>
      </c>
      <c r="C818" s="2" t="s">
        <v>1690</v>
      </c>
      <c r="D818" s="147" t="s">
        <v>1691</v>
      </c>
      <c r="E818" s="148"/>
      <c r="F818" s="2" t="s">
        <v>174</v>
      </c>
      <c r="G818" s="55">
        <v>334.5</v>
      </c>
      <c r="H818" s="56">
        <v>0</v>
      </c>
      <c r="I818" s="55">
        <f>G818*H818</f>
        <v>0</v>
      </c>
      <c r="J818" s="55">
        <v>0.00099</v>
      </c>
      <c r="K818" s="55">
        <f>G818*J818</f>
        <v>0.331155</v>
      </c>
      <c r="L818" s="57" t="s">
        <v>785</v>
      </c>
      <c r="Z818" s="55">
        <f>IF(AQ818="5",BJ818,0)</f>
        <v>0</v>
      </c>
      <c r="AB818" s="55">
        <f>IF(AQ818="1",BH818,0)</f>
        <v>0</v>
      </c>
      <c r="AC818" s="55">
        <f>IF(AQ818="1",BI818,0)</f>
        <v>0</v>
      </c>
      <c r="AD818" s="55">
        <f>IF(AQ818="7",BH818,0)</f>
        <v>0</v>
      </c>
      <c r="AE818" s="55">
        <f>IF(AQ818="7",BI818,0)</f>
        <v>0</v>
      </c>
      <c r="AF818" s="55">
        <f>IF(AQ818="2",BH818,0)</f>
        <v>0</v>
      </c>
      <c r="AG818" s="55">
        <f>IF(AQ818="2",BI818,0)</f>
        <v>0</v>
      </c>
      <c r="AH818" s="55">
        <f>IF(AQ818="0",BJ818,0)</f>
        <v>0</v>
      </c>
      <c r="AI818" s="34" t="s">
        <v>116</v>
      </c>
      <c r="AJ818" s="55">
        <f>IF(AN818=0,I818,0)</f>
        <v>0</v>
      </c>
      <c r="AK818" s="55">
        <f>IF(AN818=12,I818,0)</f>
        <v>0</v>
      </c>
      <c r="AL818" s="55">
        <f>IF(AN818=21,I818,0)</f>
        <v>0</v>
      </c>
      <c r="AN818" s="55">
        <v>21</v>
      </c>
      <c r="AO818" s="55">
        <f>H818*0.051456752</f>
        <v>0</v>
      </c>
      <c r="AP818" s="55">
        <f>H818*(1-0.051456752)</f>
        <v>0</v>
      </c>
      <c r="AQ818" s="58" t="s">
        <v>125</v>
      </c>
      <c r="AV818" s="55">
        <f>AW818+AX818</f>
        <v>0</v>
      </c>
      <c r="AW818" s="55">
        <f>G818*AO818</f>
        <v>0</v>
      </c>
      <c r="AX818" s="55">
        <f>G818*AP818</f>
        <v>0</v>
      </c>
      <c r="AY818" s="58" t="s">
        <v>1668</v>
      </c>
      <c r="AZ818" s="58" t="s">
        <v>1669</v>
      </c>
      <c r="BA818" s="34" t="s">
        <v>128</v>
      </c>
      <c r="BB818" s="67">
        <v>100014</v>
      </c>
      <c r="BC818" s="55">
        <f>AW818+AX818</f>
        <v>0</v>
      </c>
      <c r="BD818" s="55">
        <f>H818/(100-BE818)*100</f>
        <v>0</v>
      </c>
      <c r="BE818" s="55">
        <v>0</v>
      </c>
      <c r="BF818" s="55">
        <f>K818</f>
        <v>0.331155</v>
      </c>
      <c r="BH818" s="55">
        <f>G818*AO818</f>
        <v>0</v>
      </c>
      <c r="BI818" s="55">
        <f>G818*AP818</f>
        <v>0</v>
      </c>
      <c r="BJ818" s="55">
        <f>G818*H818</f>
        <v>0</v>
      </c>
      <c r="BK818" s="55"/>
      <c r="BL818" s="55">
        <v>762</v>
      </c>
      <c r="BW818" s="55">
        <v>21</v>
      </c>
    </row>
    <row r="819" spans="1:12" ht="14.4">
      <c r="A819" s="59"/>
      <c r="D819" s="60" t="s">
        <v>1692</v>
      </c>
      <c r="E819" s="60" t="s">
        <v>1693</v>
      </c>
      <c r="G819" s="68">
        <v>334.5</v>
      </c>
      <c r="L819" s="69"/>
    </row>
    <row r="820" spans="1:75" ht="13.5" customHeight="1">
      <c r="A820" s="61" t="s">
        <v>1694</v>
      </c>
      <c r="B820" s="62" t="s">
        <v>116</v>
      </c>
      <c r="C820" s="62" t="s">
        <v>1695</v>
      </c>
      <c r="D820" s="224" t="s">
        <v>1696</v>
      </c>
      <c r="E820" s="225"/>
      <c r="F820" s="62" t="s">
        <v>792</v>
      </c>
      <c r="G820" s="63">
        <v>3.73</v>
      </c>
      <c r="H820" s="64">
        <v>0</v>
      </c>
      <c r="I820" s="63">
        <f>G820*H820</f>
        <v>0</v>
      </c>
      <c r="J820" s="63">
        <v>0.55</v>
      </c>
      <c r="K820" s="63">
        <f>G820*J820</f>
        <v>2.0515000000000003</v>
      </c>
      <c r="L820" s="65" t="s">
        <v>785</v>
      </c>
      <c r="Z820" s="55">
        <f>IF(AQ820="5",BJ820,0)</f>
        <v>0</v>
      </c>
      <c r="AB820" s="55">
        <f>IF(AQ820="1",BH820,0)</f>
        <v>0</v>
      </c>
      <c r="AC820" s="55">
        <f>IF(AQ820="1",BI820,0)</f>
        <v>0</v>
      </c>
      <c r="AD820" s="55">
        <f>IF(AQ820="7",BH820,0)</f>
        <v>0</v>
      </c>
      <c r="AE820" s="55">
        <f>IF(AQ820="7",BI820,0)</f>
        <v>0</v>
      </c>
      <c r="AF820" s="55">
        <f>IF(AQ820="2",BH820,0)</f>
        <v>0</v>
      </c>
      <c r="AG820" s="55">
        <f>IF(AQ820="2",BI820,0)</f>
        <v>0</v>
      </c>
      <c r="AH820" s="55">
        <f>IF(AQ820="0",BJ820,0)</f>
        <v>0</v>
      </c>
      <c r="AI820" s="34" t="s">
        <v>116</v>
      </c>
      <c r="AJ820" s="63">
        <f>IF(AN820=0,I820,0)</f>
        <v>0</v>
      </c>
      <c r="AK820" s="63">
        <f>IF(AN820=12,I820,0)</f>
        <v>0</v>
      </c>
      <c r="AL820" s="63">
        <f>IF(AN820=21,I820,0)</f>
        <v>0</v>
      </c>
      <c r="AN820" s="55">
        <v>21</v>
      </c>
      <c r="AO820" s="55">
        <f>H820*1</f>
        <v>0</v>
      </c>
      <c r="AP820" s="55">
        <f>H820*(1-1)</f>
        <v>0</v>
      </c>
      <c r="AQ820" s="66" t="s">
        <v>125</v>
      </c>
      <c r="AV820" s="55">
        <f>AW820+AX820</f>
        <v>0</v>
      </c>
      <c r="AW820" s="55">
        <f>G820*AO820</f>
        <v>0</v>
      </c>
      <c r="AX820" s="55">
        <f>G820*AP820</f>
        <v>0</v>
      </c>
      <c r="AY820" s="58" t="s">
        <v>1668</v>
      </c>
      <c r="AZ820" s="58" t="s">
        <v>1669</v>
      </c>
      <c r="BA820" s="34" t="s">
        <v>128</v>
      </c>
      <c r="BC820" s="55">
        <f>AW820+AX820</f>
        <v>0</v>
      </c>
      <c r="BD820" s="55">
        <f>H820/(100-BE820)*100</f>
        <v>0</v>
      </c>
      <c r="BE820" s="55">
        <v>0</v>
      </c>
      <c r="BF820" s="55">
        <f>K820</f>
        <v>2.0515000000000003</v>
      </c>
      <c r="BH820" s="63">
        <f>G820*AO820</f>
        <v>0</v>
      </c>
      <c r="BI820" s="63">
        <f>G820*AP820</f>
        <v>0</v>
      </c>
      <c r="BJ820" s="63">
        <f>G820*H820</f>
        <v>0</v>
      </c>
      <c r="BK820" s="63"/>
      <c r="BL820" s="55">
        <v>762</v>
      </c>
      <c r="BW820" s="55">
        <v>21</v>
      </c>
    </row>
    <row r="821" spans="1:12" ht="14.4">
      <c r="A821" s="59"/>
      <c r="D821" s="60" t="s">
        <v>1697</v>
      </c>
      <c r="E821" s="60" t="s">
        <v>4</v>
      </c>
      <c r="G821" s="68">
        <v>3.39</v>
      </c>
      <c r="L821" s="69"/>
    </row>
    <row r="822" spans="1:12" ht="14.4">
      <c r="A822" s="59"/>
      <c r="D822" s="60" t="s">
        <v>1698</v>
      </c>
      <c r="E822" s="60" t="s">
        <v>4</v>
      </c>
      <c r="G822" s="68">
        <v>0.34</v>
      </c>
      <c r="L822" s="69"/>
    </row>
    <row r="823" spans="1:75" ht="13.5" customHeight="1">
      <c r="A823" s="1" t="s">
        <v>1699</v>
      </c>
      <c r="B823" s="2" t="s">
        <v>116</v>
      </c>
      <c r="C823" s="2" t="s">
        <v>1700</v>
      </c>
      <c r="D823" s="147" t="s">
        <v>1701</v>
      </c>
      <c r="E823" s="148"/>
      <c r="F823" s="2" t="s">
        <v>174</v>
      </c>
      <c r="G823" s="55">
        <v>392.91</v>
      </c>
      <c r="H823" s="56">
        <v>0</v>
      </c>
      <c r="I823" s="55">
        <f>G823*H823</f>
        <v>0</v>
      </c>
      <c r="J823" s="55">
        <v>0.00099</v>
      </c>
      <c r="K823" s="55">
        <f>G823*J823</f>
        <v>0.3889809</v>
      </c>
      <c r="L823" s="57" t="s">
        <v>785</v>
      </c>
      <c r="Z823" s="55">
        <f>IF(AQ823="5",BJ823,0)</f>
        <v>0</v>
      </c>
      <c r="AB823" s="55">
        <f>IF(AQ823="1",BH823,0)</f>
        <v>0</v>
      </c>
      <c r="AC823" s="55">
        <f>IF(AQ823="1",BI823,0)</f>
        <v>0</v>
      </c>
      <c r="AD823" s="55">
        <f>IF(AQ823="7",BH823,0)</f>
        <v>0</v>
      </c>
      <c r="AE823" s="55">
        <f>IF(AQ823="7",BI823,0)</f>
        <v>0</v>
      </c>
      <c r="AF823" s="55">
        <f>IF(AQ823="2",BH823,0)</f>
        <v>0</v>
      </c>
      <c r="AG823" s="55">
        <f>IF(AQ823="2",BI823,0)</f>
        <v>0</v>
      </c>
      <c r="AH823" s="55">
        <f>IF(AQ823="0",BJ823,0)</f>
        <v>0</v>
      </c>
      <c r="AI823" s="34" t="s">
        <v>116</v>
      </c>
      <c r="AJ823" s="55">
        <f>IF(AN823=0,I823,0)</f>
        <v>0</v>
      </c>
      <c r="AK823" s="55">
        <f>IF(AN823=12,I823,0)</f>
        <v>0</v>
      </c>
      <c r="AL823" s="55">
        <f>IF(AN823=21,I823,0)</f>
        <v>0</v>
      </c>
      <c r="AN823" s="55">
        <v>21</v>
      </c>
      <c r="AO823" s="55">
        <f>H823*0.038808207</f>
        <v>0</v>
      </c>
      <c r="AP823" s="55">
        <f>H823*(1-0.038808207)</f>
        <v>0</v>
      </c>
      <c r="AQ823" s="58" t="s">
        <v>125</v>
      </c>
      <c r="AV823" s="55">
        <f>AW823+AX823</f>
        <v>0</v>
      </c>
      <c r="AW823" s="55">
        <f>G823*AO823</f>
        <v>0</v>
      </c>
      <c r="AX823" s="55">
        <f>G823*AP823</f>
        <v>0</v>
      </c>
      <c r="AY823" s="58" t="s">
        <v>1668</v>
      </c>
      <c r="AZ823" s="58" t="s">
        <v>1669</v>
      </c>
      <c r="BA823" s="34" t="s">
        <v>128</v>
      </c>
      <c r="BB823" s="67">
        <v>100014</v>
      </c>
      <c r="BC823" s="55">
        <f>AW823+AX823</f>
        <v>0</v>
      </c>
      <c r="BD823" s="55">
        <f>H823/(100-BE823)*100</f>
        <v>0</v>
      </c>
      <c r="BE823" s="55">
        <v>0</v>
      </c>
      <c r="BF823" s="55">
        <f>K823</f>
        <v>0.3889809</v>
      </c>
      <c r="BH823" s="55">
        <f>G823*AO823</f>
        <v>0</v>
      </c>
      <c r="BI823" s="55">
        <f>G823*AP823</f>
        <v>0</v>
      </c>
      <c r="BJ823" s="55">
        <f>G823*H823</f>
        <v>0</v>
      </c>
      <c r="BK823" s="55"/>
      <c r="BL823" s="55">
        <v>762</v>
      </c>
      <c r="BW823" s="55">
        <v>21</v>
      </c>
    </row>
    <row r="824" spans="1:12" ht="14.4">
      <c r="A824" s="59"/>
      <c r="D824" s="60" t="s">
        <v>1702</v>
      </c>
      <c r="E824" s="60" t="s">
        <v>1693</v>
      </c>
      <c r="G824" s="68">
        <v>261.85</v>
      </c>
      <c r="L824" s="69"/>
    </row>
    <row r="825" spans="1:12" ht="14.4">
      <c r="A825" s="59"/>
      <c r="D825" s="60" t="s">
        <v>1680</v>
      </c>
      <c r="E825" s="60" t="s">
        <v>1703</v>
      </c>
      <c r="G825" s="68">
        <v>131.06</v>
      </c>
      <c r="L825" s="69"/>
    </row>
    <row r="826" spans="1:75" ht="13.5" customHeight="1">
      <c r="A826" s="61" t="s">
        <v>1704</v>
      </c>
      <c r="B826" s="62" t="s">
        <v>116</v>
      </c>
      <c r="C826" s="62" t="s">
        <v>1705</v>
      </c>
      <c r="D826" s="224" t="s">
        <v>1706</v>
      </c>
      <c r="E826" s="225"/>
      <c r="F826" s="62" t="s">
        <v>792</v>
      </c>
      <c r="G826" s="63">
        <v>7.28</v>
      </c>
      <c r="H826" s="64">
        <v>0</v>
      </c>
      <c r="I826" s="63">
        <f>G826*H826</f>
        <v>0</v>
      </c>
      <c r="J826" s="63">
        <v>0.55</v>
      </c>
      <c r="K826" s="63">
        <f>G826*J826</f>
        <v>4.0040000000000004</v>
      </c>
      <c r="L826" s="65" t="s">
        <v>785</v>
      </c>
      <c r="Z826" s="55">
        <f>IF(AQ826="5",BJ826,0)</f>
        <v>0</v>
      </c>
      <c r="AB826" s="55">
        <f>IF(AQ826="1",BH826,0)</f>
        <v>0</v>
      </c>
      <c r="AC826" s="55">
        <f>IF(AQ826="1",BI826,0)</f>
        <v>0</v>
      </c>
      <c r="AD826" s="55">
        <f>IF(AQ826="7",BH826,0)</f>
        <v>0</v>
      </c>
      <c r="AE826" s="55">
        <f>IF(AQ826="7",BI826,0)</f>
        <v>0</v>
      </c>
      <c r="AF826" s="55">
        <f>IF(AQ826="2",BH826,0)</f>
        <v>0</v>
      </c>
      <c r="AG826" s="55">
        <f>IF(AQ826="2",BI826,0)</f>
        <v>0</v>
      </c>
      <c r="AH826" s="55">
        <f>IF(AQ826="0",BJ826,0)</f>
        <v>0</v>
      </c>
      <c r="AI826" s="34" t="s">
        <v>116</v>
      </c>
      <c r="AJ826" s="63">
        <f>IF(AN826=0,I826,0)</f>
        <v>0</v>
      </c>
      <c r="AK826" s="63">
        <f>IF(AN826=12,I826,0)</f>
        <v>0</v>
      </c>
      <c r="AL826" s="63">
        <f>IF(AN826=21,I826,0)</f>
        <v>0</v>
      </c>
      <c r="AN826" s="55">
        <v>21</v>
      </c>
      <c r="AO826" s="55">
        <f>H826*1</f>
        <v>0</v>
      </c>
      <c r="AP826" s="55">
        <f>H826*(1-1)</f>
        <v>0</v>
      </c>
      <c r="AQ826" s="66" t="s">
        <v>125</v>
      </c>
      <c r="AV826" s="55">
        <f>AW826+AX826</f>
        <v>0</v>
      </c>
      <c r="AW826" s="55">
        <f>G826*AO826</f>
        <v>0</v>
      </c>
      <c r="AX826" s="55">
        <f>G826*AP826</f>
        <v>0</v>
      </c>
      <c r="AY826" s="58" t="s">
        <v>1668</v>
      </c>
      <c r="AZ826" s="58" t="s">
        <v>1669</v>
      </c>
      <c r="BA826" s="34" t="s">
        <v>128</v>
      </c>
      <c r="BC826" s="55">
        <f>AW826+AX826</f>
        <v>0</v>
      </c>
      <c r="BD826" s="55">
        <f>H826/(100-BE826)*100</f>
        <v>0</v>
      </c>
      <c r="BE826" s="55">
        <v>0</v>
      </c>
      <c r="BF826" s="55">
        <f>K826</f>
        <v>4.0040000000000004</v>
      </c>
      <c r="BH826" s="63">
        <f>G826*AO826</f>
        <v>0</v>
      </c>
      <c r="BI826" s="63">
        <f>G826*AP826</f>
        <v>0</v>
      </c>
      <c r="BJ826" s="63">
        <f>G826*H826</f>
        <v>0</v>
      </c>
      <c r="BK826" s="63"/>
      <c r="BL826" s="55">
        <v>762</v>
      </c>
      <c r="BW826" s="55">
        <v>21</v>
      </c>
    </row>
    <row r="827" spans="1:12" ht="14.4">
      <c r="A827" s="59"/>
      <c r="D827" s="60" t="s">
        <v>1707</v>
      </c>
      <c r="E827" s="60" t="s">
        <v>4</v>
      </c>
      <c r="G827" s="68">
        <v>4.12</v>
      </c>
      <c r="L827" s="69"/>
    </row>
    <row r="828" spans="1:12" ht="14.4">
      <c r="A828" s="59"/>
      <c r="D828" s="60" t="s">
        <v>1708</v>
      </c>
      <c r="E828" s="60" t="s">
        <v>1709</v>
      </c>
      <c r="G828" s="68">
        <v>2.5</v>
      </c>
      <c r="L828" s="69"/>
    </row>
    <row r="829" spans="1:12" ht="14.4">
      <c r="A829" s="59"/>
      <c r="D829" s="60" t="s">
        <v>1710</v>
      </c>
      <c r="E829" s="60" t="s">
        <v>4</v>
      </c>
      <c r="G829" s="68">
        <v>0.66</v>
      </c>
      <c r="L829" s="69"/>
    </row>
    <row r="830" spans="1:75" ht="13.5" customHeight="1">
      <c r="A830" s="1" t="s">
        <v>1711</v>
      </c>
      <c r="B830" s="2" t="s">
        <v>116</v>
      </c>
      <c r="C830" s="2" t="s">
        <v>1712</v>
      </c>
      <c r="D830" s="147" t="s">
        <v>1713</v>
      </c>
      <c r="E830" s="148"/>
      <c r="F830" s="2" t="s">
        <v>174</v>
      </c>
      <c r="G830" s="55">
        <v>17.9</v>
      </c>
      <c r="H830" s="56">
        <v>0</v>
      </c>
      <c r="I830" s="55">
        <f>G830*H830</f>
        <v>0</v>
      </c>
      <c r="J830" s="55">
        <v>0.00099</v>
      </c>
      <c r="K830" s="55">
        <f>G830*J830</f>
        <v>0.017720999999999997</v>
      </c>
      <c r="L830" s="57" t="s">
        <v>785</v>
      </c>
      <c r="Z830" s="55">
        <f>IF(AQ830="5",BJ830,0)</f>
        <v>0</v>
      </c>
      <c r="AB830" s="55">
        <f>IF(AQ830="1",BH830,0)</f>
        <v>0</v>
      </c>
      <c r="AC830" s="55">
        <f>IF(AQ830="1",BI830,0)</f>
        <v>0</v>
      </c>
      <c r="AD830" s="55">
        <f>IF(AQ830="7",BH830,0)</f>
        <v>0</v>
      </c>
      <c r="AE830" s="55">
        <f>IF(AQ830="7",BI830,0)</f>
        <v>0</v>
      </c>
      <c r="AF830" s="55">
        <f>IF(AQ830="2",BH830,0)</f>
        <v>0</v>
      </c>
      <c r="AG830" s="55">
        <f>IF(AQ830="2",BI830,0)</f>
        <v>0</v>
      </c>
      <c r="AH830" s="55">
        <f>IF(AQ830="0",BJ830,0)</f>
        <v>0</v>
      </c>
      <c r="AI830" s="34" t="s">
        <v>116</v>
      </c>
      <c r="AJ830" s="55">
        <f>IF(AN830=0,I830,0)</f>
        <v>0</v>
      </c>
      <c r="AK830" s="55">
        <f>IF(AN830=12,I830,0)</f>
        <v>0</v>
      </c>
      <c r="AL830" s="55">
        <f>IF(AN830=21,I830,0)</f>
        <v>0</v>
      </c>
      <c r="AN830" s="55">
        <v>21</v>
      </c>
      <c r="AO830" s="55">
        <f>H830*0.029560049</f>
        <v>0</v>
      </c>
      <c r="AP830" s="55">
        <f>H830*(1-0.029560049)</f>
        <v>0</v>
      </c>
      <c r="AQ830" s="58" t="s">
        <v>125</v>
      </c>
      <c r="AV830" s="55">
        <f>AW830+AX830</f>
        <v>0</v>
      </c>
      <c r="AW830" s="55">
        <f>G830*AO830</f>
        <v>0</v>
      </c>
      <c r="AX830" s="55">
        <f>G830*AP830</f>
        <v>0</v>
      </c>
      <c r="AY830" s="58" t="s">
        <v>1668</v>
      </c>
      <c r="AZ830" s="58" t="s">
        <v>1669</v>
      </c>
      <c r="BA830" s="34" t="s">
        <v>128</v>
      </c>
      <c r="BB830" s="67">
        <v>100014</v>
      </c>
      <c r="BC830" s="55">
        <f>AW830+AX830</f>
        <v>0</v>
      </c>
      <c r="BD830" s="55">
        <f>H830/(100-BE830)*100</f>
        <v>0</v>
      </c>
      <c r="BE830" s="55">
        <v>0</v>
      </c>
      <c r="BF830" s="55">
        <f>K830</f>
        <v>0.017720999999999997</v>
      </c>
      <c r="BH830" s="55">
        <f>G830*AO830</f>
        <v>0</v>
      </c>
      <c r="BI830" s="55">
        <f>G830*AP830</f>
        <v>0</v>
      </c>
      <c r="BJ830" s="55">
        <f>G830*H830</f>
        <v>0</v>
      </c>
      <c r="BK830" s="55"/>
      <c r="BL830" s="55">
        <v>762</v>
      </c>
      <c r="BW830" s="55">
        <v>21</v>
      </c>
    </row>
    <row r="831" spans="1:12" ht="14.4">
      <c r="A831" s="59"/>
      <c r="D831" s="60" t="s">
        <v>1714</v>
      </c>
      <c r="E831" s="60" t="s">
        <v>1693</v>
      </c>
      <c r="G831" s="68">
        <v>17.9</v>
      </c>
      <c r="L831" s="69"/>
    </row>
    <row r="832" spans="1:75" ht="13.5" customHeight="1">
      <c r="A832" s="61" t="s">
        <v>1715</v>
      </c>
      <c r="B832" s="62" t="s">
        <v>116</v>
      </c>
      <c r="C832" s="62" t="s">
        <v>1716</v>
      </c>
      <c r="D832" s="224" t="s">
        <v>1717</v>
      </c>
      <c r="E832" s="225"/>
      <c r="F832" s="62" t="s">
        <v>792</v>
      </c>
      <c r="G832" s="63">
        <v>0.55</v>
      </c>
      <c r="H832" s="64">
        <v>0</v>
      </c>
      <c r="I832" s="63">
        <f>G832*H832</f>
        <v>0</v>
      </c>
      <c r="J832" s="63">
        <v>0.55</v>
      </c>
      <c r="K832" s="63">
        <f>G832*J832</f>
        <v>0.30250000000000005</v>
      </c>
      <c r="L832" s="65" t="s">
        <v>785</v>
      </c>
      <c r="Z832" s="55">
        <f>IF(AQ832="5",BJ832,0)</f>
        <v>0</v>
      </c>
      <c r="AB832" s="55">
        <f>IF(AQ832="1",BH832,0)</f>
        <v>0</v>
      </c>
      <c r="AC832" s="55">
        <f>IF(AQ832="1",BI832,0)</f>
        <v>0</v>
      </c>
      <c r="AD832" s="55">
        <f>IF(AQ832="7",BH832,0)</f>
        <v>0</v>
      </c>
      <c r="AE832" s="55">
        <f>IF(AQ832="7",BI832,0)</f>
        <v>0</v>
      </c>
      <c r="AF832" s="55">
        <f>IF(AQ832="2",BH832,0)</f>
        <v>0</v>
      </c>
      <c r="AG832" s="55">
        <f>IF(AQ832="2",BI832,0)</f>
        <v>0</v>
      </c>
      <c r="AH832" s="55">
        <f>IF(AQ832="0",BJ832,0)</f>
        <v>0</v>
      </c>
      <c r="AI832" s="34" t="s">
        <v>116</v>
      </c>
      <c r="AJ832" s="63">
        <f>IF(AN832=0,I832,0)</f>
        <v>0</v>
      </c>
      <c r="AK832" s="63">
        <f>IF(AN832=12,I832,0)</f>
        <v>0</v>
      </c>
      <c r="AL832" s="63">
        <f>IF(AN832=21,I832,0)</f>
        <v>0</v>
      </c>
      <c r="AN832" s="55">
        <v>21</v>
      </c>
      <c r="AO832" s="55">
        <f>H832*1</f>
        <v>0</v>
      </c>
      <c r="AP832" s="55">
        <f>H832*(1-1)</f>
        <v>0</v>
      </c>
      <c r="AQ832" s="66" t="s">
        <v>125</v>
      </c>
      <c r="AV832" s="55">
        <f>AW832+AX832</f>
        <v>0</v>
      </c>
      <c r="AW832" s="55">
        <f>G832*AO832</f>
        <v>0</v>
      </c>
      <c r="AX832" s="55">
        <f>G832*AP832</f>
        <v>0</v>
      </c>
      <c r="AY832" s="58" t="s">
        <v>1668</v>
      </c>
      <c r="AZ832" s="58" t="s">
        <v>1669</v>
      </c>
      <c r="BA832" s="34" t="s">
        <v>128</v>
      </c>
      <c r="BC832" s="55">
        <f>AW832+AX832</f>
        <v>0</v>
      </c>
      <c r="BD832" s="55">
        <f>H832/(100-BE832)*100</f>
        <v>0</v>
      </c>
      <c r="BE832" s="55">
        <v>0</v>
      </c>
      <c r="BF832" s="55">
        <f>K832</f>
        <v>0.30250000000000005</v>
      </c>
      <c r="BH832" s="63">
        <f>G832*AO832</f>
        <v>0</v>
      </c>
      <c r="BI832" s="63">
        <f>G832*AP832</f>
        <v>0</v>
      </c>
      <c r="BJ832" s="63">
        <f>G832*H832</f>
        <v>0</v>
      </c>
      <c r="BK832" s="63"/>
      <c r="BL832" s="55">
        <v>762</v>
      </c>
      <c r="BW832" s="55">
        <v>21</v>
      </c>
    </row>
    <row r="833" spans="1:12" ht="14.4">
      <c r="A833" s="59"/>
      <c r="D833" s="60" t="s">
        <v>1718</v>
      </c>
      <c r="E833" s="60" t="s">
        <v>4</v>
      </c>
      <c r="G833" s="68">
        <v>0.5</v>
      </c>
      <c r="L833" s="69"/>
    </row>
    <row r="834" spans="1:12" ht="14.4">
      <c r="A834" s="59"/>
      <c r="D834" s="60" t="s">
        <v>1719</v>
      </c>
      <c r="E834" s="60" t="s">
        <v>4</v>
      </c>
      <c r="G834" s="68">
        <v>0.05</v>
      </c>
      <c r="L834" s="69"/>
    </row>
    <row r="835" spans="1:75" ht="13.5" customHeight="1">
      <c r="A835" s="1" t="s">
        <v>1720</v>
      </c>
      <c r="B835" s="2" t="s">
        <v>116</v>
      </c>
      <c r="C835" s="2" t="s">
        <v>1721</v>
      </c>
      <c r="D835" s="147" t="s">
        <v>1722</v>
      </c>
      <c r="E835" s="148"/>
      <c r="F835" s="2" t="s">
        <v>174</v>
      </c>
      <c r="G835" s="55">
        <v>11.6</v>
      </c>
      <c r="H835" s="56">
        <v>0</v>
      </c>
      <c r="I835" s="55">
        <f>G835*H835</f>
        <v>0</v>
      </c>
      <c r="J835" s="55">
        <v>0.00099</v>
      </c>
      <c r="K835" s="55">
        <f>G835*J835</f>
        <v>0.011484</v>
      </c>
      <c r="L835" s="57" t="s">
        <v>124</v>
      </c>
      <c r="Z835" s="55">
        <f>IF(AQ835="5",BJ835,0)</f>
        <v>0</v>
      </c>
      <c r="AB835" s="55">
        <f>IF(AQ835="1",BH835,0)</f>
        <v>0</v>
      </c>
      <c r="AC835" s="55">
        <f>IF(AQ835="1",BI835,0)</f>
        <v>0</v>
      </c>
      <c r="AD835" s="55">
        <f>IF(AQ835="7",BH835,0)</f>
        <v>0</v>
      </c>
      <c r="AE835" s="55">
        <f>IF(AQ835="7",BI835,0)</f>
        <v>0</v>
      </c>
      <c r="AF835" s="55">
        <f>IF(AQ835="2",BH835,0)</f>
        <v>0</v>
      </c>
      <c r="AG835" s="55">
        <f>IF(AQ835="2",BI835,0)</f>
        <v>0</v>
      </c>
      <c r="AH835" s="55">
        <f>IF(AQ835="0",BJ835,0)</f>
        <v>0</v>
      </c>
      <c r="AI835" s="34" t="s">
        <v>116</v>
      </c>
      <c r="AJ835" s="55">
        <f>IF(AN835=0,I835,0)</f>
        <v>0</v>
      </c>
      <c r="AK835" s="55">
        <f>IF(AN835=12,I835,0)</f>
        <v>0</v>
      </c>
      <c r="AL835" s="55">
        <f>IF(AN835=21,I835,0)</f>
        <v>0</v>
      </c>
      <c r="AN835" s="55">
        <v>21</v>
      </c>
      <c r="AO835" s="55">
        <f>H835*0.034008683</f>
        <v>0</v>
      </c>
      <c r="AP835" s="55">
        <f>H835*(1-0.034008683)</f>
        <v>0</v>
      </c>
      <c r="AQ835" s="58" t="s">
        <v>125</v>
      </c>
      <c r="AV835" s="55">
        <f>AW835+AX835</f>
        <v>0</v>
      </c>
      <c r="AW835" s="55">
        <f>G835*AO835</f>
        <v>0</v>
      </c>
      <c r="AX835" s="55">
        <f>G835*AP835</f>
        <v>0</v>
      </c>
      <c r="AY835" s="58" t="s">
        <v>1668</v>
      </c>
      <c r="AZ835" s="58" t="s">
        <v>1669</v>
      </c>
      <c r="BA835" s="34" t="s">
        <v>128</v>
      </c>
      <c r="BB835" s="67">
        <v>100014</v>
      </c>
      <c r="BC835" s="55">
        <f>AW835+AX835</f>
        <v>0</v>
      </c>
      <c r="BD835" s="55">
        <f>H835/(100-BE835)*100</f>
        <v>0</v>
      </c>
      <c r="BE835" s="55">
        <v>0</v>
      </c>
      <c r="BF835" s="55">
        <f>K835</f>
        <v>0.011484</v>
      </c>
      <c r="BH835" s="55">
        <f>G835*AO835</f>
        <v>0</v>
      </c>
      <c r="BI835" s="55">
        <f>G835*AP835</f>
        <v>0</v>
      </c>
      <c r="BJ835" s="55">
        <f>G835*H835</f>
        <v>0</v>
      </c>
      <c r="BK835" s="55"/>
      <c r="BL835" s="55">
        <v>762</v>
      </c>
      <c r="BW835" s="55">
        <v>21</v>
      </c>
    </row>
    <row r="836" spans="1:12" ht="14.4">
      <c r="A836" s="59"/>
      <c r="D836" s="60" t="s">
        <v>1723</v>
      </c>
      <c r="E836" s="60" t="s">
        <v>1693</v>
      </c>
      <c r="G836" s="68">
        <v>11.6</v>
      </c>
      <c r="L836" s="69"/>
    </row>
    <row r="837" spans="1:75" ht="13.5" customHeight="1">
      <c r="A837" s="61" t="s">
        <v>1724</v>
      </c>
      <c r="B837" s="62" t="s">
        <v>116</v>
      </c>
      <c r="C837" s="62" t="s">
        <v>1725</v>
      </c>
      <c r="D837" s="224" t="s">
        <v>1726</v>
      </c>
      <c r="E837" s="225"/>
      <c r="F837" s="62" t="s">
        <v>792</v>
      </c>
      <c r="G837" s="63">
        <v>0.77</v>
      </c>
      <c r="H837" s="64">
        <v>0</v>
      </c>
      <c r="I837" s="63">
        <f>G837*H837</f>
        <v>0</v>
      </c>
      <c r="J837" s="63">
        <v>0.55</v>
      </c>
      <c r="K837" s="63">
        <f>G837*J837</f>
        <v>0.42350000000000004</v>
      </c>
      <c r="L837" s="65" t="s">
        <v>124</v>
      </c>
      <c r="Z837" s="55">
        <f>IF(AQ837="5",BJ837,0)</f>
        <v>0</v>
      </c>
      <c r="AB837" s="55">
        <f>IF(AQ837="1",BH837,0)</f>
        <v>0</v>
      </c>
      <c r="AC837" s="55">
        <f>IF(AQ837="1",BI837,0)</f>
        <v>0</v>
      </c>
      <c r="AD837" s="55">
        <f>IF(AQ837="7",BH837,0)</f>
        <v>0</v>
      </c>
      <c r="AE837" s="55">
        <f>IF(AQ837="7",BI837,0)</f>
        <v>0</v>
      </c>
      <c r="AF837" s="55">
        <f>IF(AQ837="2",BH837,0)</f>
        <v>0</v>
      </c>
      <c r="AG837" s="55">
        <f>IF(AQ837="2",BI837,0)</f>
        <v>0</v>
      </c>
      <c r="AH837" s="55">
        <f>IF(AQ837="0",BJ837,0)</f>
        <v>0</v>
      </c>
      <c r="AI837" s="34" t="s">
        <v>116</v>
      </c>
      <c r="AJ837" s="63">
        <f>IF(AN837=0,I837,0)</f>
        <v>0</v>
      </c>
      <c r="AK837" s="63">
        <f>IF(AN837=12,I837,0)</f>
        <v>0</v>
      </c>
      <c r="AL837" s="63">
        <f>IF(AN837=21,I837,0)</f>
        <v>0</v>
      </c>
      <c r="AN837" s="55">
        <v>21</v>
      </c>
      <c r="AO837" s="55">
        <f>H837*1</f>
        <v>0</v>
      </c>
      <c r="AP837" s="55">
        <f>H837*(1-1)</f>
        <v>0</v>
      </c>
      <c r="AQ837" s="66" t="s">
        <v>125</v>
      </c>
      <c r="AV837" s="55">
        <f>AW837+AX837</f>
        <v>0</v>
      </c>
      <c r="AW837" s="55">
        <f>G837*AO837</f>
        <v>0</v>
      </c>
      <c r="AX837" s="55">
        <f>G837*AP837</f>
        <v>0</v>
      </c>
      <c r="AY837" s="58" t="s">
        <v>1668</v>
      </c>
      <c r="AZ837" s="58" t="s">
        <v>1669</v>
      </c>
      <c r="BA837" s="34" t="s">
        <v>128</v>
      </c>
      <c r="BC837" s="55">
        <f>AW837+AX837</f>
        <v>0</v>
      </c>
      <c r="BD837" s="55">
        <f>H837/(100-BE837)*100</f>
        <v>0</v>
      </c>
      <c r="BE837" s="55">
        <v>0</v>
      </c>
      <c r="BF837" s="55">
        <f>K837</f>
        <v>0.42350000000000004</v>
      </c>
      <c r="BH837" s="63">
        <f>G837*AO837</f>
        <v>0</v>
      </c>
      <c r="BI837" s="63">
        <f>G837*AP837</f>
        <v>0</v>
      </c>
      <c r="BJ837" s="63">
        <f>G837*H837</f>
        <v>0</v>
      </c>
      <c r="BK837" s="63"/>
      <c r="BL837" s="55">
        <v>762</v>
      </c>
      <c r="BW837" s="55">
        <v>21</v>
      </c>
    </row>
    <row r="838" spans="1:12" ht="14.4">
      <c r="A838" s="59"/>
      <c r="D838" s="60" t="s">
        <v>952</v>
      </c>
      <c r="E838" s="60" t="s">
        <v>4</v>
      </c>
      <c r="G838" s="68">
        <v>0.7</v>
      </c>
      <c r="L838" s="69"/>
    </row>
    <row r="839" spans="1:12" ht="14.4">
      <c r="A839" s="59"/>
      <c r="D839" s="60" t="s">
        <v>1727</v>
      </c>
      <c r="E839" s="60" t="s">
        <v>4</v>
      </c>
      <c r="G839" s="68">
        <v>0.07</v>
      </c>
      <c r="L839" s="69"/>
    </row>
    <row r="840" spans="1:75" ht="13.5" customHeight="1">
      <c r="A840" s="1" t="s">
        <v>1728</v>
      </c>
      <c r="B840" s="2" t="s">
        <v>116</v>
      </c>
      <c r="C840" s="2" t="s">
        <v>1729</v>
      </c>
      <c r="D840" s="147" t="s">
        <v>1730</v>
      </c>
      <c r="E840" s="148"/>
      <c r="F840" s="2" t="s">
        <v>1731</v>
      </c>
      <c r="G840" s="55">
        <v>59.4</v>
      </c>
      <c r="H840" s="56">
        <v>0</v>
      </c>
      <c r="I840" s="55">
        <f>G840*H840</f>
        <v>0</v>
      </c>
      <c r="J840" s="55">
        <v>0.001</v>
      </c>
      <c r="K840" s="55">
        <f>G840*J840</f>
        <v>0.0594</v>
      </c>
      <c r="L840" s="57" t="s">
        <v>124</v>
      </c>
      <c r="Z840" s="55">
        <f>IF(AQ840="5",BJ840,0)</f>
        <v>0</v>
      </c>
      <c r="AB840" s="55">
        <f>IF(AQ840="1",BH840,0)</f>
        <v>0</v>
      </c>
      <c r="AC840" s="55">
        <f>IF(AQ840="1",BI840,0)</f>
        <v>0</v>
      </c>
      <c r="AD840" s="55">
        <f>IF(AQ840="7",BH840,0)</f>
        <v>0</v>
      </c>
      <c r="AE840" s="55">
        <f>IF(AQ840="7",BI840,0)</f>
        <v>0</v>
      </c>
      <c r="AF840" s="55">
        <f>IF(AQ840="2",BH840,0)</f>
        <v>0</v>
      </c>
      <c r="AG840" s="55">
        <f>IF(AQ840="2",BI840,0)</f>
        <v>0</v>
      </c>
      <c r="AH840" s="55">
        <f>IF(AQ840="0",BJ840,0)</f>
        <v>0</v>
      </c>
      <c r="AI840" s="34" t="s">
        <v>116</v>
      </c>
      <c r="AJ840" s="55">
        <f>IF(AN840=0,I840,0)</f>
        <v>0</v>
      </c>
      <c r="AK840" s="55">
        <f>IF(AN840=12,I840,0)</f>
        <v>0</v>
      </c>
      <c r="AL840" s="55">
        <f>IF(AN840=21,I840,0)</f>
        <v>0</v>
      </c>
      <c r="AN840" s="55">
        <v>21</v>
      </c>
      <c r="AO840" s="55">
        <f>H840*0.626865672</f>
        <v>0</v>
      </c>
      <c r="AP840" s="55">
        <f>H840*(1-0.626865672)</f>
        <v>0</v>
      </c>
      <c r="AQ840" s="58" t="s">
        <v>125</v>
      </c>
      <c r="AV840" s="55">
        <f>AW840+AX840</f>
        <v>0</v>
      </c>
      <c r="AW840" s="55">
        <f>G840*AO840</f>
        <v>0</v>
      </c>
      <c r="AX840" s="55">
        <f>G840*AP840</f>
        <v>0</v>
      </c>
      <c r="AY840" s="58" t="s">
        <v>1668</v>
      </c>
      <c r="AZ840" s="58" t="s">
        <v>1669</v>
      </c>
      <c r="BA840" s="34" t="s">
        <v>128</v>
      </c>
      <c r="BC840" s="55">
        <f>AW840+AX840</f>
        <v>0</v>
      </c>
      <c r="BD840" s="55">
        <f>H840/(100-BE840)*100</f>
        <v>0</v>
      </c>
      <c r="BE840" s="55">
        <v>0</v>
      </c>
      <c r="BF840" s="55">
        <f>K840</f>
        <v>0.0594</v>
      </c>
      <c r="BH840" s="55">
        <f>G840*AO840</f>
        <v>0</v>
      </c>
      <c r="BI840" s="55">
        <f>G840*AP840</f>
        <v>0</v>
      </c>
      <c r="BJ840" s="55">
        <f>G840*H840</f>
        <v>0</v>
      </c>
      <c r="BK840" s="55"/>
      <c r="BL840" s="55">
        <v>762</v>
      </c>
      <c r="BW840" s="55">
        <v>21</v>
      </c>
    </row>
    <row r="841" spans="1:12" ht="14.4">
      <c r="A841" s="59"/>
      <c r="D841" s="60" t="s">
        <v>1732</v>
      </c>
      <c r="E841" s="60" t="s">
        <v>1733</v>
      </c>
      <c r="G841" s="68">
        <v>59.4</v>
      </c>
      <c r="L841" s="69"/>
    </row>
    <row r="842" spans="1:75" ht="13.5" customHeight="1">
      <c r="A842" s="1" t="s">
        <v>1734</v>
      </c>
      <c r="B842" s="2" t="s">
        <v>116</v>
      </c>
      <c r="C842" s="2" t="s">
        <v>1735</v>
      </c>
      <c r="D842" s="147" t="s">
        <v>1736</v>
      </c>
      <c r="E842" s="148"/>
      <c r="F842" s="2" t="s">
        <v>729</v>
      </c>
      <c r="G842" s="55">
        <v>7.42</v>
      </c>
      <c r="H842" s="56">
        <v>0</v>
      </c>
      <c r="I842" s="55">
        <f>G842*H842</f>
        <v>0</v>
      </c>
      <c r="J842" s="55">
        <v>0.014</v>
      </c>
      <c r="K842" s="55">
        <f>G842*J842</f>
        <v>0.10388</v>
      </c>
      <c r="L842" s="57" t="s">
        <v>785</v>
      </c>
      <c r="Z842" s="55">
        <f>IF(AQ842="5",BJ842,0)</f>
        <v>0</v>
      </c>
      <c r="AB842" s="55">
        <f>IF(AQ842="1",BH842,0)</f>
        <v>0</v>
      </c>
      <c r="AC842" s="55">
        <f>IF(AQ842="1",BI842,0)</f>
        <v>0</v>
      </c>
      <c r="AD842" s="55">
        <f>IF(AQ842="7",BH842,0)</f>
        <v>0</v>
      </c>
      <c r="AE842" s="55">
        <f>IF(AQ842="7",BI842,0)</f>
        <v>0</v>
      </c>
      <c r="AF842" s="55">
        <f>IF(AQ842="2",BH842,0)</f>
        <v>0</v>
      </c>
      <c r="AG842" s="55">
        <f>IF(AQ842="2",BI842,0)</f>
        <v>0</v>
      </c>
      <c r="AH842" s="55">
        <f>IF(AQ842="0",BJ842,0)</f>
        <v>0</v>
      </c>
      <c r="AI842" s="34" t="s">
        <v>116</v>
      </c>
      <c r="AJ842" s="55">
        <f>IF(AN842=0,I842,0)</f>
        <v>0</v>
      </c>
      <c r="AK842" s="55">
        <f>IF(AN842=12,I842,0)</f>
        <v>0</v>
      </c>
      <c r="AL842" s="55">
        <f>IF(AN842=21,I842,0)</f>
        <v>0</v>
      </c>
      <c r="AN842" s="55">
        <v>21</v>
      </c>
      <c r="AO842" s="55">
        <f>H842*0</f>
        <v>0</v>
      </c>
      <c r="AP842" s="55">
        <f>H842*(1-0)</f>
        <v>0</v>
      </c>
      <c r="AQ842" s="58" t="s">
        <v>125</v>
      </c>
      <c r="AV842" s="55">
        <f>AW842+AX842</f>
        <v>0</v>
      </c>
      <c r="AW842" s="55">
        <f>G842*AO842</f>
        <v>0</v>
      </c>
      <c r="AX842" s="55">
        <f>G842*AP842</f>
        <v>0</v>
      </c>
      <c r="AY842" s="58" t="s">
        <v>1668</v>
      </c>
      <c r="AZ842" s="58" t="s">
        <v>1669</v>
      </c>
      <c r="BA842" s="34" t="s">
        <v>128</v>
      </c>
      <c r="BB842" s="67">
        <v>100014</v>
      </c>
      <c r="BC842" s="55">
        <f>AW842+AX842</f>
        <v>0</v>
      </c>
      <c r="BD842" s="55">
        <f>H842/(100-BE842)*100</f>
        <v>0</v>
      </c>
      <c r="BE842" s="55">
        <v>0</v>
      </c>
      <c r="BF842" s="55">
        <f>K842</f>
        <v>0.10388</v>
      </c>
      <c r="BH842" s="55">
        <f>G842*AO842</f>
        <v>0</v>
      </c>
      <c r="BI842" s="55">
        <f>G842*AP842</f>
        <v>0</v>
      </c>
      <c r="BJ842" s="55">
        <f>G842*H842</f>
        <v>0</v>
      </c>
      <c r="BK842" s="55"/>
      <c r="BL842" s="55">
        <v>762</v>
      </c>
      <c r="BW842" s="55">
        <v>21</v>
      </c>
    </row>
    <row r="843" spans="1:12" ht="13.5" customHeight="1">
      <c r="A843" s="59"/>
      <c r="D843" s="218" t="s">
        <v>1737</v>
      </c>
      <c r="E843" s="219"/>
      <c r="F843" s="219"/>
      <c r="G843" s="219"/>
      <c r="H843" s="220"/>
      <c r="I843" s="219"/>
      <c r="J843" s="219"/>
      <c r="K843" s="219"/>
      <c r="L843" s="221"/>
    </row>
    <row r="844" spans="1:12" ht="14.4">
      <c r="A844" s="59"/>
      <c r="D844" s="60" t="s">
        <v>1738</v>
      </c>
      <c r="E844" s="60" t="s">
        <v>4</v>
      </c>
      <c r="G844" s="68">
        <v>7.42</v>
      </c>
      <c r="L844" s="69"/>
    </row>
    <row r="845" spans="1:75" ht="13.5" customHeight="1">
      <c r="A845" s="1" t="s">
        <v>1739</v>
      </c>
      <c r="B845" s="2" t="s">
        <v>116</v>
      </c>
      <c r="C845" s="2" t="s">
        <v>1740</v>
      </c>
      <c r="D845" s="147" t="s">
        <v>1741</v>
      </c>
      <c r="E845" s="148"/>
      <c r="F845" s="2" t="s">
        <v>174</v>
      </c>
      <c r="G845" s="55">
        <v>6.75</v>
      </c>
      <c r="H845" s="56">
        <v>0</v>
      </c>
      <c r="I845" s="55">
        <f>G845*H845</f>
        <v>0</v>
      </c>
      <c r="J845" s="55">
        <v>0.02491</v>
      </c>
      <c r="K845" s="55">
        <f>G845*J845</f>
        <v>0.1681425</v>
      </c>
      <c r="L845" s="57" t="s">
        <v>785</v>
      </c>
      <c r="Z845" s="55">
        <f>IF(AQ845="5",BJ845,0)</f>
        <v>0</v>
      </c>
      <c r="AB845" s="55">
        <f>IF(AQ845="1",BH845,0)</f>
        <v>0</v>
      </c>
      <c r="AC845" s="55">
        <f>IF(AQ845="1",BI845,0)</f>
        <v>0</v>
      </c>
      <c r="AD845" s="55">
        <f>IF(AQ845="7",BH845,0)</f>
        <v>0</v>
      </c>
      <c r="AE845" s="55">
        <f>IF(AQ845="7",BI845,0)</f>
        <v>0</v>
      </c>
      <c r="AF845" s="55">
        <f>IF(AQ845="2",BH845,0)</f>
        <v>0</v>
      </c>
      <c r="AG845" s="55">
        <f>IF(AQ845="2",BI845,0)</f>
        <v>0</v>
      </c>
      <c r="AH845" s="55">
        <f>IF(AQ845="0",BJ845,0)</f>
        <v>0</v>
      </c>
      <c r="AI845" s="34" t="s">
        <v>116</v>
      </c>
      <c r="AJ845" s="55">
        <f>IF(AN845=0,I845,0)</f>
        <v>0</v>
      </c>
      <c r="AK845" s="55">
        <f>IF(AN845=12,I845,0)</f>
        <v>0</v>
      </c>
      <c r="AL845" s="55">
        <f>IF(AN845=21,I845,0)</f>
        <v>0</v>
      </c>
      <c r="AN845" s="55">
        <v>21</v>
      </c>
      <c r="AO845" s="55">
        <f>H845*0.018320313</f>
        <v>0</v>
      </c>
      <c r="AP845" s="55">
        <f>H845*(1-0.018320313)</f>
        <v>0</v>
      </c>
      <c r="AQ845" s="58" t="s">
        <v>125</v>
      </c>
      <c r="AV845" s="55">
        <f>AW845+AX845</f>
        <v>0</v>
      </c>
      <c r="AW845" s="55">
        <f>G845*AO845</f>
        <v>0</v>
      </c>
      <c r="AX845" s="55">
        <f>G845*AP845</f>
        <v>0</v>
      </c>
      <c r="AY845" s="58" t="s">
        <v>1668</v>
      </c>
      <c r="AZ845" s="58" t="s">
        <v>1669</v>
      </c>
      <c r="BA845" s="34" t="s">
        <v>128</v>
      </c>
      <c r="BB845" s="67">
        <v>100014</v>
      </c>
      <c r="BC845" s="55">
        <f>AW845+AX845</f>
        <v>0</v>
      </c>
      <c r="BD845" s="55">
        <f>H845/(100-BE845)*100</f>
        <v>0</v>
      </c>
      <c r="BE845" s="55">
        <v>0</v>
      </c>
      <c r="BF845" s="55">
        <f>K845</f>
        <v>0.1681425</v>
      </c>
      <c r="BH845" s="55">
        <f>G845*AO845</f>
        <v>0</v>
      </c>
      <c r="BI845" s="55">
        <f>G845*AP845</f>
        <v>0</v>
      </c>
      <c r="BJ845" s="55">
        <f>G845*H845</f>
        <v>0</v>
      </c>
      <c r="BK845" s="55"/>
      <c r="BL845" s="55">
        <v>762</v>
      </c>
      <c r="BW845" s="55">
        <v>21</v>
      </c>
    </row>
    <row r="846" spans="1:12" ht="13.5" customHeight="1">
      <c r="A846" s="59"/>
      <c r="D846" s="218" t="s">
        <v>1737</v>
      </c>
      <c r="E846" s="219"/>
      <c r="F846" s="219"/>
      <c r="G846" s="219"/>
      <c r="H846" s="220"/>
      <c r="I846" s="219"/>
      <c r="J846" s="219"/>
      <c r="K846" s="219"/>
      <c r="L846" s="221"/>
    </row>
    <row r="847" spans="1:12" ht="14.4">
      <c r="A847" s="59"/>
      <c r="D847" s="60" t="s">
        <v>1742</v>
      </c>
      <c r="E847" s="60" t="s">
        <v>4</v>
      </c>
      <c r="G847" s="68">
        <v>6.75</v>
      </c>
      <c r="L847" s="69"/>
    </row>
    <row r="848" spans="1:75" ht="13.5" customHeight="1">
      <c r="A848" s="1" t="s">
        <v>1743</v>
      </c>
      <c r="B848" s="2" t="s">
        <v>116</v>
      </c>
      <c r="C848" s="2" t="s">
        <v>1744</v>
      </c>
      <c r="D848" s="147" t="s">
        <v>1745</v>
      </c>
      <c r="E848" s="148"/>
      <c r="F848" s="2" t="s">
        <v>729</v>
      </c>
      <c r="G848" s="55">
        <v>61</v>
      </c>
      <c r="H848" s="56">
        <v>0</v>
      </c>
      <c r="I848" s="55">
        <f>G848*H848</f>
        <v>0</v>
      </c>
      <c r="J848" s="55">
        <v>0.00093</v>
      </c>
      <c r="K848" s="55">
        <f>G848*J848</f>
        <v>0.05673</v>
      </c>
      <c r="L848" s="57" t="s">
        <v>124</v>
      </c>
      <c r="Z848" s="55">
        <f>IF(AQ848="5",BJ848,0)</f>
        <v>0</v>
      </c>
      <c r="AB848" s="55">
        <f>IF(AQ848="1",BH848,0)</f>
        <v>0</v>
      </c>
      <c r="AC848" s="55">
        <f>IF(AQ848="1",BI848,0)</f>
        <v>0</v>
      </c>
      <c r="AD848" s="55">
        <f>IF(AQ848="7",BH848,0)</f>
        <v>0</v>
      </c>
      <c r="AE848" s="55">
        <f>IF(AQ848="7",BI848,0)</f>
        <v>0</v>
      </c>
      <c r="AF848" s="55">
        <f>IF(AQ848="2",BH848,0)</f>
        <v>0</v>
      </c>
      <c r="AG848" s="55">
        <f>IF(AQ848="2",BI848,0)</f>
        <v>0</v>
      </c>
      <c r="AH848" s="55">
        <f>IF(AQ848="0",BJ848,0)</f>
        <v>0</v>
      </c>
      <c r="AI848" s="34" t="s">
        <v>116</v>
      </c>
      <c r="AJ848" s="55">
        <f>IF(AN848=0,I848,0)</f>
        <v>0</v>
      </c>
      <c r="AK848" s="55">
        <f>IF(AN848=12,I848,0)</f>
        <v>0</v>
      </c>
      <c r="AL848" s="55">
        <f>IF(AN848=21,I848,0)</f>
        <v>0</v>
      </c>
      <c r="AN848" s="55">
        <v>21</v>
      </c>
      <c r="AO848" s="55">
        <f>H848*0.487179487</f>
        <v>0</v>
      </c>
      <c r="AP848" s="55">
        <f>H848*(1-0.487179487)</f>
        <v>0</v>
      </c>
      <c r="AQ848" s="58" t="s">
        <v>125</v>
      </c>
      <c r="AV848" s="55">
        <f>AW848+AX848</f>
        <v>0</v>
      </c>
      <c r="AW848" s="55">
        <f>G848*AO848</f>
        <v>0</v>
      </c>
      <c r="AX848" s="55">
        <f>G848*AP848</f>
        <v>0</v>
      </c>
      <c r="AY848" s="58" t="s">
        <v>1668</v>
      </c>
      <c r="AZ848" s="58" t="s">
        <v>1669</v>
      </c>
      <c r="BA848" s="34" t="s">
        <v>128</v>
      </c>
      <c r="BB848" s="67">
        <v>100014</v>
      </c>
      <c r="BC848" s="55">
        <f>AW848+AX848</f>
        <v>0</v>
      </c>
      <c r="BD848" s="55">
        <f>H848/(100-BE848)*100</f>
        <v>0</v>
      </c>
      <c r="BE848" s="55">
        <v>0</v>
      </c>
      <c r="BF848" s="55">
        <f>K848</f>
        <v>0.05673</v>
      </c>
      <c r="BH848" s="55">
        <f>G848*AO848</f>
        <v>0</v>
      </c>
      <c r="BI848" s="55">
        <f>G848*AP848</f>
        <v>0</v>
      </c>
      <c r="BJ848" s="55">
        <f>G848*H848</f>
        <v>0</v>
      </c>
      <c r="BK848" s="55"/>
      <c r="BL848" s="55">
        <v>762</v>
      </c>
      <c r="BW848" s="55">
        <v>21</v>
      </c>
    </row>
    <row r="849" spans="1:12" ht="13.5" customHeight="1">
      <c r="A849" s="59"/>
      <c r="D849" s="218" t="s">
        <v>1746</v>
      </c>
      <c r="E849" s="219"/>
      <c r="F849" s="219"/>
      <c r="G849" s="219"/>
      <c r="H849" s="220"/>
      <c r="I849" s="219"/>
      <c r="J849" s="219"/>
      <c r="K849" s="219"/>
      <c r="L849" s="221"/>
    </row>
    <row r="850" spans="1:12" ht="14.4">
      <c r="A850" s="59"/>
      <c r="D850" s="60" t="s">
        <v>313</v>
      </c>
      <c r="E850" s="60" t="s">
        <v>4</v>
      </c>
      <c r="G850" s="68">
        <v>61</v>
      </c>
      <c r="L850" s="69"/>
    </row>
    <row r="851" spans="1:75" ht="13.5" customHeight="1">
      <c r="A851" s="1" t="s">
        <v>1747</v>
      </c>
      <c r="B851" s="2" t="s">
        <v>116</v>
      </c>
      <c r="C851" s="2" t="s">
        <v>1748</v>
      </c>
      <c r="D851" s="147" t="s">
        <v>1749</v>
      </c>
      <c r="E851" s="148"/>
      <c r="F851" s="2" t="s">
        <v>729</v>
      </c>
      <c r="G851" s="55">
        <v>61</v>
      </c>
      <c r="H851" s="56">
        <v>0</v>
      </c>
      <c r="I851" s="55">
        <f>G851*H851</f>
        <v>0</v>
      </c>
      <c r="J851" s="55">
        <v>0.0015</v>
      </c>
      <c r="K851" s="55">
        <f>G851*J851</f>
        <v>0.0915</v>
      </c>
      <c r="L851" s="57" t="s">
        <v>124</v>
      </c>
      <c r="Z851" s="55">
        <f>IF(AQ851="5",BJ851,0)</f>
        <v>0</v>
      </c>
      <c r="AB851" s="55">
        <f>IF(AQ851="1",BH851,0)</f>
        <v>0</v>
      </c>
      <c r="AC851" s="55">
        <f>IF(AQ851="1",BI851,0)</f>
        <v>0</v>
      </c>
      <c r="AD851" s="55">
        <f>IF(AQ851="7",BH851,0)</f>
        <v>0</v>
      </c>
      <c r="AE851" s="55">
        <f>IF(AQ851="7",BI851,0)</f>
        <v>0</v>
      </c>
      <c r="AF851" s="55">
        <f>IF(AQ851="2",BH851,0)</f>
        <v>0</v>
      </c>
      <c r="AG851" s="55">
        <f>IF(AQ851="2",BI851,0)</f>
        <v>0</v>
      </c>
      <c r="AH851" s="55">
        <f>IF(AQ851="0",BJ851,0)</f>
        <v>0</v>
      </c>
      <c r="AI851" s="34" t="s">
        <v>116</v>
      </c>
      <c r="AJ851" s="55">
        <f>IF(AN851=0,I851,0)</f>
        <v>0</v>
      </c>
      <c r="AK851" s="55">
        <f>IF(AN851=12,I851,0)</f>
        <v>0</v>
      </c>
      <c r="AL851" s="55">
        <f>IF(AN851=21,I851,0)</f>
        <v>0</v>
      </c>
      <c r="AN851" s="55">
        <v>21</v>
      </c>
      <c r="AO851" s="55">
        <f>H851*0.487179487</f>
        <v>0</v>
      </c>
      <c r="AP851" s="55">
        <f>H851*(1-0.487179487)</f>
        <v>0</v>
      </c>
      <c r="AQ851" s="58" t="s">
        <v>125</v>
      </c>
      <c r="AV851" s="55">
        <f>AW851+AX851</f>
        <v>0</v>
      </c>
      <c r="AW851" s="55">
        <f>G851*AO851</f>
        <v>0</v>
      </c>
      <c r="AX851" s="55">
        <f>G851*AP851</f>
        <v>0</v>
      </c>
      <c r="AY851" s="58" t="s">
        <v>1668</v>
      </c>
      <c r="AZ851" s="58" t="s">
        <v>1669</v>
      </c>
      <c r="BA851" s="34" t="s">
        <v>128</v>
      </c>
      <c r="BB851" s="67">
        <v>100014</v>
      </c>
      <c r="BC851" s="55">
        <f>AW851+AX851</f>
        <v>0</v>
      </c>
      <c r="BD851" s="55">
        <f>H851/(100-BE851)*100</f>
        <v>0</v>
      </c>
      <c r="BE851" s="55">
        <v>0</v>
      </c>
      <c r="BF851" s="55">
        <f>K851</f>
        <v>0.0915</v>
      </c>
      <c r="BH851" s="55">
        <f>G851*AO851</f>
        <v>0</v>
      </c>
      <c r="BI851" s="55">
        <f>G851*AP851</f>
        <v>0</v>
      </c>
      <c r="BJ851" s="55">
        <f>G851*H851</f>
        <v>0</v>
      </c>
      <c r="BK851" s="55"/>
      <c r="BL851" s="55">
        <v>762</v>
      </c>
      <c r="BW851" s="55">
        <v>21</v>
      </c>
    </row>
    <row r="852" spans="1:12" ht="13.5" customHeight="1">
      <c r="A852" s="59"/>
      <c r="D852" s="218" t="s">
        <v>1746</v>
      </c>
      <c r="E852" s="219"/>
      <c r="F852" s="219"/>
      <c r="G852" s="219"/>
      <c r="H852" s="220"/>
      <c r="I852" s="219"/>
      <c r="J852" s="219"/>
      <c r="K852" s="219"/>
      <c r="L852" s="221"/>
    </row>
    <row r="853" spans="1:12" ht="14.4">
      <c r="A853" s="59"/>
      <c r="D853" s="60" t="s">
        <v>313</v>
      </c>
      <c r="E853" s="60" t="s">
        <v>4</v>
      </c>
      <c r="G853" s="68">
        <v>61</v>
      </c>
      <c r="L853" s="69"/>
    </row>
    <row r="854" spans="1:75" ht="13.5" customHeight="1">
      <c r="A854" s="1" t="s">
        <v>1750</v>
      </c>
      <c r="B854" s="2" t="s">
        <v>116</v>
      </c>
      <c r="C854" s="2" t="s">
        <v>1751</v>
      </c>
      <c r="D854" s="147" t="s">
        <v>1752</v>
      </c>
      <c r="E854" s="148"/>
      <c r="F854" s="2" t="s">
        <v>729</v>
      </c>
      <c r="G854" s="55">
        <v>61</v>
      </c>
      <c r="H854" s="56">
        <v>0</v>
      </c>
      <c r="I854" s="55">
        <f>G854*H854</f>
        <v>0</v>
      </c>
      <c r="J854" s="55">
        <v>0.01468</v>
      </c>
      <c r="K854" s="55">
        <f>G854*J854</f>
        <v>0.89548</v>
      </c>
      <c r="L854" s="57" t="s">
        <v>785</v>
      </c>
      <c r="Z854" s="55">
        <f>IF(AQ854="5",BJ854,0)</f>
        <v>0</v>
      </c>
      <c r="AB854" s="55">
        <f>IF(AQ854="1",BH854,0)</f>
        <v>0</v>
      </c>
      <c r="AC854" s="55">
        <f>IF(AQ854="1",BI854,0)</f>
        <v>0</v>
      </c>
      <c r="AD854" s="55">
        <f>IF(AQ854="7",BH854,0)</f>
        <v>0</v>
      </c>
      <c r="AE854" s="55">
        <f>IF(AQ854="7",BI854,0)</f>
        <v>0</v>
      </c>
      <c r="AF854" s="55">
        <f>IF(AQ854="2",BH854,0)</f>
        <v>0</v>
      </c>
      <c r="AG854" s="55">
        <f>IF(AQ854="2",BI854,0)</f>
        <v>0</v>
      </c>
      <c r="AH854" s="55">
        <f>IF(AQ854="0",BJ854,0)</f>
        <v>0</v>
      </c>
      <c r="AI854" s="34" t="s">
        <v>116</v>
      </c>
      <c r="AJ854" s="55">
        <f>IF(AN854=0,I854,0)</f>
        <v>0</v>
      </c>
      <c r="AK854" s="55">
        <f>IF(AN854=12,I854,0)</f>
        <v>0</v>
      </c>
      <c r="AL854" s="55">
        <f>IF(AN854=21,I854,0)</f>
        <v>0</v>
      </c>
      <c r="AN854" s="55">
        <v>21</v>
      </c>
      <c r="AO854" s="55">
        <f>H854*0.650979323</f>
        <v>0</v>
      </c>
      <c r="AP854" s="55">
        <f>H854*(1-0.650979323)</f>
        <v>0</v>
      </c>
      <c r="AQ854" s="58" t="s">
        <v>125</v>
      </c>
      <c r="AV854" s="55">
        <f>AW854+AX854</f>
        <v>0</v>
      </c>
      <c r="AW854" s="55">
        <f>G854*AO854</f>
        <v>0</v>
      </c>
      <c r="AX854" s="55">
        <f>G854*AP854</f>
        <v>0</v>
      </c>
      <c r="AY854" s="58" t="s">
        <v>1668</v>
      </c>
      <c r="AZ854" s="58" t="s">
        <v>1669</v>
      </c>
      <c r="BA854" s="34" t="s">
        <v>128</v>
      </c>
      <c r="BB854" s="67">
        <v>100014</v>
      </c>
      <c r="BC854" s="55">
        <f>AW854+AX854</f>
        <v>0</v>
      </c>
      <c r="BD854" s="55">
        <f>H854/(100-BE854)*100</f>
        <v>0</v>
      </c>
      <c r="BE854" s="55">
        <v>0</v>
      </c>
      <c r="BF854" s="55">
        <f>K854</f>
        <v>0.89548</v>
      </c>
      <c r="BH854" s="55">
        <f>G854*AO854</f>
        <v>0</v>
      </c>
      <c r="BI854" s="55">
        <f>G854*AP854</f>
        <v>0</v>
      </c>
      <c r="BJ854" s="55">
        <f>G854*H854</f>
        <v>0</v>
      </c>
      <c r="BK854" s="55"/>
      <c r="BL854" s="55">
        <v>762</v>
      </c>
      <c r="BW854" s="55">
        <v>21</v>
      </c>
    </row>
    <row r="855" spans="1:12" ht="13.5" customHeight="1">
      <c r="A855" s="59"/>
      <c r="D855" s="218" t="s">
        <v>1753</v>
      </c>
      <c r="E855" s="219"/>
      <c r="F855" s="219"/>
      <c r="G855" s="219"/>
      <c r="H855" s="220"/>
      <c r="I855" s="219"/>
      <c r="J855" s="219"/>
      <c r="K855" s="219"/>
      <c r="L855" s="221"/>
    </row>
    <row r="856" spans="1:12" ht="14.4">
      <c r="A856" s="59"/>
      <c r="D856" s="60" t="s">
        <v>313</v>
      </c>
      <c r="E856" s="60" t="s">
        <v>816</v>
      </c>
      <c r="G856" s="68">
        <v>61</v>
      </c>
      <c r="L856" s="69"/>
    </row>
    <row r="857" spans="1:75" ht="13.5" customHeight="1">
      <c r="A857" s="1" t="s">
        <v>1754</v>
      </c>
      <c r="B857" s="2" t="s">
        <v>116</v>
      </c>
      <c r="C857" s="2" t="s">
        <v>1755</v>
      </c>
      <c r="D857" s="147" t="s">
        <v>1756</v>
      </c>
      <c r="E857" s="148"/>
      <c r="F857" s="2" t="s">
        <v>729</v>
      </c>
      <c r="G857" s="55">
        <v>30.2</v>
      </c>
      <c r="H857" s="56">
        <v>0</v>
      </c>
      <c r="I857" s="55">
        <f>G857*H857</f>
        <v>0</v>
      </c>
      <c r="J857" s="55">
        <v>0</v>
      </c>
      <c r="K857" s="55">
        <f>G857*J857</f>
        <v>0</v>
      </c>
      <c r="L857" s="57" t="s">
        <v>785</v>
      </c>
      <c r="Z857" s="55">
        <f>IF(AQ857="5",BJ857,0)</f>
        <v>0</v>
      </c>
      <c r="AB857" s="55">
        <f>IF(AQ857="1",BH857,0)</f>
        <v>0</v>
      </c>
      <c r="AC857" s="55">
        <f>IF(AQ857="1",BI857,0)</f>
        <v>0</v>
      </c>
      <c r="AD857" s="55">
        <f>IF(AQ857="7",BH857,0)</f>
        <v>0</v>
      </c>
      <c r="AE857" s="55">
        <f>IF(AQ857="7",BI857,0)</f>
        <v>0</v>
      </c>
      <c r="AF857" s="55">
        <f>IF(AQ857="2",BH857,0)</f>
        <v>0</v>
      </c>
      <c r="AG857" s="55">
        <f>IF(AQ857="2",BI857,0)</f>
        <v>0</v>
      </c>
      <c r="AH857" s="55">
        <f>IF(AQ857="0",BJ857,0)</f>
        <v>0</v>
      </c>
      <c r="AI857" s="34" t="s">
        <v>116</v>
      </c>
      <c r="AJ857" s="55">
        <f>IF(AN857=0,I857,0)</f>
        <v>0</v>
      </c>
      <c r="AK857" s="55">
        <f>IF(AN857=12,I857,0)</f>
        <v>0</v>
      </c>
      <c r="AL857" s="55">
        <f>IF(AN857=21,I857,0)</f>
        <v>0</v>
      </c>
      <c r="AN857" s="55">
        <v>21</v>
      </c>
      <c r="AO857" s="55">
        <f>H857*0</f>
        <v>0</v>
      </c>
      <c r="AP857" s="55">
        <f>H857*(1-0)</f>
        <v>0</v>
      </c>
      <c r="AQ857" s="58" t="s">
        <v>125</v>
      </c>
      <c r="AV857" s="55">
        <f>AW857+AX857</f>
        <v>0</v>
      </c>
      <c r="AW857" s="55">
        <f>G857*AO857</f>
        <v>0</v>
      </c>
      <c r="AX857" s="55">
        <f>G857*AP857</f>
        <v>0</v>
      </c>
      <c r="AY857" s="58" t="s">
        <v>1668</v>
      </c>
      <c r="AZ857" s="58" t="s">
        <v>1669</v>
      </c>
      <c r="BA857" s="34" t="s">
        <v>128</v>
      </c>
      <c r="BB857" s="67">
        <v>100014</v>
      </c>
      <c r="BC857" s="55">
        <f>AW857+AX857</f>
        <v>0</v>
      </c>
      <c r="BD857" s="55">
        <f>H857/(100-BE857)*100</f>
        <v>0</v>
      </c>
      <c r="BE857" s="55">
        <v>0</v>
      </c>
      <c r="BF857" s="55">
        <f>K857</f>
        <v>0</v>
      </c>
      <c r="BH857" s="55">
        <f>G857*AO857</f>
        <v>0</v>
      </c>
      <c r="BI857" s="55">
        <f>G857*AP857</f>
        <v>0</v>
      </c>
      <c r="BJ857" s="55">
        <f>G857*H857</f>
        <v>0</v>
      </c>
      <c r="BK857" s="55"/>
      <c r="BL857" s="55">
        <v>762</v>
      </c>
      <c r="BW857" s="55">
        <v>21</v>
      </c>
    </row>
    <row r="858" spans="1:12" ht="13.5" customHeight="1">
      <c r="A858" s="59"/>
      <c r="D858" s="218" t="s">
        <v>1757</v>
      </c>
      <c r="E858" s="219"/>
      <c r="F858" s="219"/>
      <c r="G858" s="219"/>
      <c r="H858" s="220"/>
      <c r="I858" s="219"/>
      <c r="J858" s="219"/>
      <c r="K858" s="219"/>
      <c r="L858" s="221"/>
    </row>
    <row r="859" spans="1:12" ht="14.4">
      <c r="A859" s="59"/>
      <c r="D859" s="60" t="s">
        <v>1758</v>
      </c>
      <c r="E859" s="60" t="s">
        <v>816</v>
      </c>
      <c r="G859" s="68">
        <v>30.2</v>
      </c>
      <c r="L859" s="69"/>
    </row>
    <row r="860" spans="1:75" ht="13.5" customHeight="1">
      <c r="A860" s="61" t="s">
        <v>1759</v>
      </c>
      <c r="B860" s="62" t="s">
        <v>116</v>
      </c>
      <c r="C860" s="62" t="s">
        <v>1760</v>
      </c>
      <c r="D860" s="224" t="s">
        <v>1761</v>
      </c>
      <c r="E860" s="225"/>
      <c r="F860" s="62" t="s">
        <v>792</v>
      </c>
      <c r="G860" s="63">
        <v>0.98</v>
      </c>
      <c r="H860" s="64">
        <v>0</v>
      </c>
      <c r="I860" s="63">
        <f>G860*H860</f>
        <v>0</v>
      </c>
      <c r="J860" s="63">
        <v>0.55</v>
      </c>
      <c r="K860" s="63">
        <f>G860*J860</f>
        <v>0.539</v>
      </c>
      <c r="L860" s="65" t="s">
        <v>785</v>
      </c>
      <c r="Z860" s="55">
        <f>IF(AQ860="5",BJ860,0)</f>
        <v>0</v>
      </c>
      <c r="AB860" s="55">
        <f>IF(AQ860="1",BH860,0)</f>
        <v>0</v>
      </c>
      <c r="AC860" s="55">
        <f>IF(AQ860="1",BI860,0)</f>
        <v>0</v>
      </c>
      <c r="AD860" s="55">
        <f>IF(AQ860="7",BH860,0)</f>
        <v>0</v>
      </c>
      <c r="AE860" s="55">
        <f>IF(AQ860="7",BI860,0)</f>
        <v>0</v>
      </c>
      <c r="AF860" s="55">
        <f>IF(AQ860="2",BH860,0)</f>
        <v>0</v>
      </c>
      <c r="AG860" s="55">
        <f>IF(AQ860="2",BI860,0)</f>
        <v>0</v>
      </c>
      <c r="AH860" s="55">
        <f>IF(AQ860="0",BJ860,0)</f>
        <v>0</v>
      </c>
      <c r="AI860" s="34" t="s">
        <v>116</v>
      </c>
      <c r="AJ860" s="63">
        <f>IF(AN860=0,I860,0)</f>
        <v>0</v>
      </c>
      <c r="AK860" s="63">
        <f>IF(AN860=12,I860,0)</f>
        <v>0</v>
      </c>
      <c r="AL860" s="63">
        <f>IF(AN860=21,I860,0)</f>
        <v>0</v>
      </c>
      <c r="AN860" s="55">
        <v>21</v>
      </c>
      <c r="AO860" s="55">
        <f>H860*1</f>
        <v>0</v>
      </c>
      <c r="AP860" s="55">
        <f>H860*(1-1)</f>
        <v>0</v>
      </c>
      <c r="AQ860" s="66" t="s">
        <v>125</v>
      </c>
      <c r="AV860" s="55">
        <f>AW860+AX860</f>
        <v>0</v>
      </c>
      <c r="AW860" s="55">
        <f>G860*AO860</f>
        <v>0</v>
      </c>
      <c r="AX860" s="55">
        <f>G860*AP860</f>
        <v>0</v>
      </c>
      <c r="AY860" s="58" t="s">
        <v>1668</v>
      </c>
      <c r="AZ860" s="58" t="s">
        <v>1669</v>
      </c>
      <c r="BA860" s="34" t="s">
        <v>128</v>
      </c>
      <c r="BC860" s="55">
        <f>AW860+AX860</f>
        <v>0</v>
      </c>
      <c r="BD860" s="55">
        <f>H860/(100-BE860)*100</f>
        <v>0</v>
      </c>
      <c r="BE860" s="55">
        <v>0</v>
      </c>
      <c r="BF860" s="55">
        <f>K860</f>
        <v>0.539</v>
      </c>
      <c r="BH860" s="63">
        <f>G860*AO860</f>
        <v>0</v>
      </c>
      <c r="BI860" s="63">
        <f>G860*AP860</f>
        <v>0</v>
      </c>
      <c r="BJ860" s="63">
        <f>G860*H860</f>
        <v>0</v>
      </c>
      <c r="BK860" s="63"/>
      <c r="BL860" s="55">
        <v>762</v>
      </c>
      <c r="BW860" s="55">
        <v>21</v>
      </c>
    </row>
    <row r="861" spans="1:12" ht="14.4">
      <c r="A861" s="59"/>
      <c r="D861" s="60" t="s">
        <v>1762</v>
      </c>
      <c r="E861" s="60" t="s">
        <v>4</v>
      </c>
      <c r="G861" s="68">
        <v>0.91</v>
      </c>
      <c r="L861" s="69"/>
    </row>
    <row r="862" spans="1:12" ht="14.4">
      <c r="A862" s="59"/>
      <c r="D862" s="60" t="s">
        <v>1763</v>
      </c>
      <c r="E862" s="60" t="s">
        <v>4</v>
      </c>
      <c r="G862" s="68">
        <v>0.07</v>
      </c>
      <c r="L862" s="69"/>
    </row>
    <row r="863" spans="1:75" ht="13.5" customHeight="1">
      <c r="A863" s="1" t="s">
        <v>1764</v>
      </c>
      <c r="B863" s="2" t="s">
        <v>116</v>
      </c>
      <c r="C863" s="2" t="s">
        <v>1765</v>
      </c>
      <c r="D863" s="147" t="s">
        <v>1766</v>
      </c>
      <c r="E863" s="148"/>
      <c r="F863" s="2" t="s">
        <v>174</v>
      </c>
      <c r="G863" s="55">
        <v>93.1</v>
      </c>
      <c r="H863" s="56">
        <v>0</v>
      </c>
      <c r="I863" s="55">
        <f>G863*H863</f>
        <v>0</v>
      </c>
      <c r="J863" s="55">
        <v>0.00544</v>
      </c>
      <c r="K863" s="55">
        <f>G863*J863</f>
        <v>0.506464</v>
      </c>
      <c r="L863" s="57" t="s">
        <v>785</v>
      </c>
      <c r="Z863" s="55">
        <f>IF(AQ863="5",BJ863,0)</f>
        <v>0</v>
      </c>
      <c r="AB863" s="55">
        <f>IF(AQ863="1",BH863,0)</f>
        <v>0</v>
      </c>
      <c r="AC863" s="55">
        <f>IF(AQ863="1",BI863,0)</f>
        <v>0</v>
      </c>
      <c r="AD863" s="55">
        <f>IF(AQ863="7",BH863,0)</f>
        <v>0</v>
      </c>
      <c r="AE863" s="55">
        <f>IF(AQ863="7",BI863,0)</f>
        <v>0</v>
      </c>
      <c r="AF863" s="55">
        <f>IF(AQ863="2",BH863,0)</f>
        <v>0</v>
      </c>
      <c r="AG863" s="55">
        <f>IF(AQ863="2",BI863,0)</f>
        <v>0</v>
      </c>
      <c r="AH863" s="55">
        <f>IF(AQ863="0",BJ863,0)</f>
        <v>0</v>
      </c>
      <c r="AI863" s="34" t="s">
        <v>116</v>
      </c>
      <c r="AJ863" s="55">
        <f>IF(AN863=0,I863,0)</f>
        <v>0</v>
      </c>
      <c r="AK863" s="55">
        <f>IF(AN863=12,I863,0)</f>
        <v>0</v>
      </c>
      <c r="AL863" s="55">
        <f>IF(AN863=21,I863,0)</f>
        <v>0</v>
      </c>
      <c r="AN863" s="55">
        <v>21</v>
      </c>
      <c r="AO863" s="55">
        <f>H863*0.426470968</f>
        <v>0</v>
      </c>
      <c r="AP863" s="55">
        <f>H863*(1-0.426470968)</f>
        <v>0</v>
      </c>
      <c r="AQ863" s="58" t="s">
        <v>125</v>
      </c>
      <c r="AV863" s="55">
        <f>AW863+AX863</f>
        <v>0</v>
      </c>
      <c r="AW863" s="55">
        <f>G863*AO863</f>
        <v>0</v>
      </c>
      <c r="AX863" s="55">
        <f>G863*AP863</f>
        <v>0</v>
      </c>
      <c r="AY863" s="58" t="s">
        <v>1668</v>
      </c>
      <c r="AZ863" s="58" t="s">
        <v>1669</v>
      </c>
      <c r="BA863" s="34" t="s">
        <v>128</v>
      </c>
      <c r="BB863" s="67">
        <v>100014</v>
      </c>
      <c r="BC863" s="55">
        <f>AW863+AX863</f>
        <v>0</v>
      </c>
      <c r="BD863" s="55">
        <f>H863/(100-BE863)*100</f>
        <v>0</v>
      </c>
      <c r="BE863" s="55">
        <v>0</v>
      </c>
      <c r="BF863" s="55">
        <f>K863</f>
        <v>0.506464</v>
      </c>
      <c r="BH863" s="55">
        <f>G863*AO863</f>
        <v>0</v>
      </c>
      <c r="BI863" s="55">
        <f>G863*AP863</f>
        <v>0</v>
      </c>
      <c r="BJ863" s="55">
        <f>G863*H863</f>
        <v>0</v>
      </c>
      <c r="BK863" s="55"/>
      <c r="BL863" s="55">
        <v>762</v>
      </c>
      <c r="BW863" s="55">
        <v>21</v>
      </c>
    </row>
    <row r="864" spans="1:12" ht="13.5" customHeight="1">
      <c r="A864" s="59"/>
      <c r="D864" s="218" t="s">
        <v>1767</v>
      </c>
      <c r="E864" s="219"/>
      <c r="F864" s="219"/>
      <c r="G864" s="219"/>
      <c r="H864" s="220"/>
      <c r="I864" s="219"/>
      <c r="J864" s="219"/>
      <c r="K864" s="219"/>
      <c r="L864" s="221"/>
    </row>
    <row r="865" spans="1:12" ht="14.4">
      <c r="A865" s="59"/>
      <c r="D865" s="60" t="s">
        <v>1768</v>
      </c>
      <c r="E865" s="60" t="s">
        <v>816</v>
      </c>
      <c r="G865" s="68">
        <v>93.1</v>
      </c>
      <c r="L865" s="69"/>
    </row>
    <row r="866" spans="1:75" ht="13.5" customHeight="1">
      <c r="A866" s="61" t="s">
        <v>1769</v>
      </c>
      <c r="B866" s="62" t="s">
        <v>116</v>
      </c>
      <c r="C866" s="62" t="s">
        <v>1770</v>
      </c>
      <c r="D866" s="224" t="s">
        <v>1771</v>
      </c>
      <c r="E866" s="225"/>
      <c r="F866" s="62" t="s">
        <v>792</v>
      </c>
      <c r="G866" s="63">
        <v>1.21</v>
      </c>
      <c r="H866" s="64">
        <v>0</v>
      </c>
      <c r="I866" s="63">
        <f>G866*H866</f>
        <v>0</v>
      </c>
      <c r="J866" s="63">
        <v>0.55</v>
      </c>
      <c r="K866" s="63">
        <f>G866*J866</f>
        <v>0.6655</v>
      </c>
      <c r="L866" s="65" t="s">
        <v>785</v>
      </c>
      <c r="Z866" s="55">
        <f>IF(AQ866="5",BJ866,0)</f>
        <v>0</v>
      </c>
      <c r="AB866" s="55">
        <f>IF(AQ866="1",BH866,0)</f>
        <v>0</v>
      </c>
      <c r="AC866" s="55">
        <f>IF(AQ866="1",BI866,0)</f>
        <v>0</v>
      </c>
      <c r="AD866" s="55">
        <f>IF(AQ866="7",BH866,0)</f>
        <v>0</v>
      </c>
      <c r="AE866" s="55">
        <f>IF(AQ866="7",BI866,0)</f>
        <v>0</v>
      </c>
      <c r="AF866" s="55">
        <f>IF(AQ866="2",BH866,0)</f>
        <v>0</v>
      </c>
      <c r="AG866" s="55">
        <f>IF(AQ866="2",BI866,0)</f>
        <v>0</v>
      </c>
      <c r="AH866" s="55">
        <f>IF(AQ866="0",BJ866,0)</f>
        <v>0</v>
      </c>
      <c r="AI866" s="34" t="s">
        <v>116</v>
      </c>
      <c r="AJ866" s="63">
        <f>IF(AN866=0,I866,0)</f>
        <v>0</v>
      </c>
      <c r="AK866" s="63">
        <f>IF(AN866=12,I866,0)</f>
        <v>0</v>
      </c>
      <c r="AL866" s="63">
        <f>IF(AN866=21,I866,0)</f>
        <v>0</v>
      </c>
      <c r="AN866" s="55">
        <v>21</v>
      </c>
      <c r="AO866" s="55">
        <f>H866*1</f>
        <v>0</v>
      </c>
      <c r="AP866" s="55">
        <f>H866*(1-1)</f>
        <v>0</v>
      </c>
      <c r="AQ866" s="66" t="s">
        <v>125</v>
      </c>
      <c r="AV866" s="55">
        <f>AW866+AX866</f>
        <v>0</v>
      </c>
      <c r="AW866" s="55">
        <f>G866*AO866</f>
        <v>0</v>
      </c>
      <c r="AX866" s="55">
        <f>G866*AP866</f>
        <v>0</v>
      </c>
      <c r="AY866" s="58" t="s">
        <v>1668</v>
      </c>
      <c r="AZ866" s="58" t="s">
        <v>1669</v>
      </c>
      <c r="BA866" s="34" t="s">
        <v>128</v>
      </c>
      <c r="BC866" s="55">
        <f>AW866+AX866</f>
        <v>0</v>
      </c>
      <c r="BD866" s="55">
        <f>H866/(100-BE866)*100</f>
        <v>0</v>
      </c>
      <c r="BE866" s="55">
        <v>0</v>
      </c>
      <c r="BF866" s="55">
        <f>K866</f>
        <v>0.6655</v>
      </c>
      <c r="BH866" s="63">
        <f>G866*AO866</f>
        <v>0</v>
      </c>
      <c r="BI866" s="63">
        <f>G866*AP866</f>
        <v>0</v>
      </c>
      <c r="BJ866" s="63">
        <f>G866*H866</f>
        <v>0</v>
      </c>
      <c r="BK866" s="63"/>
      <c r="BL866" s="55">
        <v>762</v>
      </c>
      <c r="BW866" s="55">
        <v>21</v>
      </c>
    </row>
    <row r="867" spans="1:12" ht="14.4">
      <c r="A867" s="59"/>
      <c r="D867" s="60" t="s">
        <v>1772</v>
      </c>
      <c r="E867" s="60" t="s">
        <v>4</v>
      </c>
      <c r="G867" s="68">
        <v>1.12</v>
      </c>
      <c r="L867" s="69"/>
    </row>
    <row r="868" spans="1:12" ht="14.4">
      <c r="A868" s="59"/>
      <c r="D868" s="60" t="s">
        <v>1773</v>
      </c>
      <c r="E868" s="60" t="s">
        <v>4</v>
      </c>
      <c r="G868" s="68">
        <v>0.09</v>
      </c>
      <c r="L868" s="69"/>
    </row>
    <row r="869" spans="1:75" ht="13.5" customHeight="1">
      <c r="A869" s="1" t="s">
        <v>1774</v>
      </c>
      <c r="B869" s="2" t="s">
        <v>116</v>
      </c>
      <c r="C869" s="2" t="s">
        <v>1775</v>
      </c>
      <c r="D869" s="147" t="s">
        <v>1776</v>
      </c>
      <c r="E869" s="148"/>
      <c r="F869" s="2" t="s">
        <v>174</v>
      </c>
      <c r="G869" s="55">
        <v>115.9</v>
      </c>
      <c r="H869" s="56">
        <v>0</v>
      </c>
      <c r="I869" s="55">
        <f>G869*H869</f>
        <v>0</v>
      </c>
      <c r="J869" s="55">
        <v>0</v>
      </c>
      <c r="K869" s="55">
        <f>G869*J869</f>
        <v>0</v>
      </c>
      <c r="L869" s="57" t="s">
        <v>785</v>
      </c>
      <c r="Z869" s="55">
        <f>IF(AQ869="5",BJ869,0)</f>
        <v>0</v>
      </c>
      <c r="AB869" s="55">
        <f>IF(AQ869="1",BH869,0)</f>
        <v>0</v>
      </c>
      <c r="AC869" s="55">
        <f>IF(AQ869="1",BI869,0)</f>
        <v>0</v>
      </c>
      <c r="AD869" s="55">
        <f>IF(AQ869="7",BH869,0)</f>
        <v>0</v>
      </c>
      <c r="AE869" s="55">
        <f>IF(AQ869="7",BI869,0)</f>
        <v>0</v>
      </c>
      <c r="AF869" s="55">
        <f>IF(AQ869="2",BH869,0)</f>
        <v>0</v>
      </c>
      <c r="AG869" s="55">
        <f>IF(AQ869="2",BI869,0)</f>
        <v>0</v>
      </c>
      <c r="AH869" s="55">
        <f>IF(AQ869="0",BJ869,0)</f>
        <v>0</v>
      </c>
      <c r="AI869" s="34" t="s">
        <v>116</v>
      </c>
      <c r="AJ869" s="55">
        <f>IF(AN869=0,I869,0)</f>
        <v>0</v>
      </c>
      <c r="AK869" s="55">
        <f>IF(AN869=12,I869,0)</f>
        <v>0</v>
      </c>
      <c r="AL869" s="55">
        <f>IF(AN869=21,I869,0)</f>
        <v>0</v>
      </c>
      <c r="AN869" s="55">
        <v>21</v>
      </c>
      <c r="AO869" s="55">
        <f>H869*0</f>
        <v>0</v>
      </c>
      <c r="AP869" s="55">
        <f>H869*(1-0)</f>
        <v>0</v>
      </c>
      <c r="AQ869" s="58" t="s">
        <v>125</v>
      </c>
      <c r="AV869" s="55">
        <f>AW869+AX869</f>
        <v>0</v>
      </c>
      <c r="AW869" s="55">
        <f>G869*AO869</f>
        <v>0</v>
      </c>
      <c r="AX869" s="55">
        <f>G869*AP869</f>
        <v>0</v>
      </c>
      <c r="AY869" s="58" t="s">
        <v>1668</v>
      </c>
      <c r="AZ869" s="58" t="s">
        <v>1669</v>
      </c>
      <c r="BA869" s="34" t="s">
        <v>128</v>
      </c>
      <c r="BB869" s="67">
        <v>100014</v>
      </c>
      <c r="BC869" s="55">
        <f>AW869+AX869</f>
        <v>0</v>
      </c>
      <c r="BD869" s="55">
        <f>H869/(100-BE869)*100</f>
        <v>0</v>
      </c>
      <c r="BE869" s="55">
        <v>0</v>
      </c>
      <c r="BF869" s="55">
        <f>K869</f>
        <v>0</v>
      </c>
      <c r="BH869" s="55">
        <f>G869*AO869</f>
        <v>0</v>
      </c>
      <c r="BI869" s="55">
        <f>G869*AP869</f>
        <v>0</v>
      </c>
      <c r="BJ869" s="55">
        <f>G869*H869</f>
        <v>0</v>
      </c>
      <c r="BK869" s="55"/>
      <c r="BL869" s="55">
        <v>762</v>
      </c>
      <c r="BW869" s="55">
        <v>21</v>
      </c>
    </row>
    <row r="870" spans="1:12" ht="14.4">
      <c r="A870" s="59"/>
      <c r="D870" s="60" t="s">
        <v>1777</v>
      </c>
      <c r="E870" s="60" t="s">
        <v>4</v>
      </c>
      <c r="G870" s="68">
        <v>115.9</v>
      </c>
      <c r="L870" s="69"/>
    </row>
    <row r="871" spans="1:75" ht="13.5" customHeight="1">
      <c r="A871" s="61" t="s">
        <v>1778</v>
      </c>
      <c r="B871" s="62" t="s">
        <v>116</v>
      </c>
      <c r="C871" s="62" t="s">
        <v>1779</v>
      </c>
      <c r="D871" s="224" t="s">
        <v>1780</v>
      </c>
      <c r="E871" s="225"/>
      <c r="F871" s="62" t="s">
        <v>792</v>
      </c>
      <c r="G871" s="63">
        <v>0.59</v>
      </c>
      <c r="H871" s="64">
        <v>0</v>
      </c>
      <c r="I871" s="63">
        <f>G871*H871</f>
        <v>0</v>
      </c>
      <c r="J871" s="63">
        <v>0.55</v>
      </c>
      <c r="K871" s="63">
        <f>G871*J871</f>
        <v>0.3245</v>
      </c>
      <c r="L871" s="65" t="s">
        <v>785</v>
      </c>
      <c r="Z871" s="55">
        <f>IF(AQ871="5",BJ871,0)</f>
        <v>0</v>
      </c>
      <c r="AB871" s="55">
        <f>IF(AQ871="1",BH871,0)</f>
        <v>0</v>
      </c>
      <c r="AC871" s="55">
        <f>IF(AQ871="1",BI871,0)</f>
        <v>0</v>
      </c>
      <c r="AD871" s="55">
        <f>IF(AQ871="7",BH871,0)</f>
        <v>0</v>
      </c>
      <c r="AE871" s="55">
        <f>IF(AQ871="7",BI871,0)</f>
        <v>0</v>
      </c>
      <c r="AF871" s="55">
        <f>IF(AQ871="2",BH871,0)</f>
        <v>0</v>
      </c>
      <c r="AG871" s="55">
        <f>IF(AQ871="2",BI871,0)</f>
        <v>0</v>
      </c>
      <c r="AH871" s="55">
        <f>IF(AQ871="0",BJ871,0)</f>
        <v>0</v>
      </c>
      <c r="AI871" s="34" t="s">
        <v>116</v>
      </c>
      <c r="AJ871" s="63">
        <f>IF(AN871=0,I871,0)</f>
        <v>0</v>
      </c>
      <c r="AK871" s="63">
        <f>IF(AN871=12,I871,0)</f>
        <v>0</v>
      </c>
      <c r="AL871" s="63">
        <f>IF(AN871=21,I871,0)</f>
        <v>0</v>
      </c>
      <c r="AN871" s="55">
        <v>21</v>
      </c>
      <c r="AO871" s="55">
        <f>H871*1</f>
        <v>0</v>
      </c>
      <c r="AP871" s="55">
        <f>H871*(1-1)</f>
        <v>0</v>
      </c>
      <c r="AQ871" s="66" t="s">
        <v>125</v>
      </c>
      <c r="AV871" s="55">
        <f>AW871+AX871</f>
        <v>0</v>
      </c>
      <c r="AW871" s="55">
        <f>G871*AO871</f>
        <v>0</v>
      </c>
      <c r="AX871" s="55">
        <f>G871*AP871</f>
        <v>0</v>
      </c>
      <c r="AY871" s="58" t="s">
        <v>1668</v>
      </c>
      <c r="AZ871" s="58" t="s">
        <v>1669</v>
      </c>
      <c r="BA871" s="34" t="s">
        <v>128</v>
      </c>
      <c r="BC871" s="55">
        <f>AW871+AX871</f>
        <v>0</v>
      </c>
      <c r="BD871" s="55">
        <f>H871/(100-BE871)*100</f>
        <v>0</v>
      </c>
      <c r="BE871" s="55">
        <v>0</v>
      </c>
      <c r="BF871" s="55">
        <f>K871</f>
        <v>0.3245</v>
      </c>
      <c r="BH871" s="63">
        <f>G871*AO871</f>
        <v>0</v>
      </c>
      <c r="BI871" s="63">
        <f>G871*AP871</f>
        <v>0</v>
      </c>
      <c r="BJ871" s="63">
        <f>G871*H871</f>
        <v>0</v>
      </c>
      <c r="BK871" s="63"/>
      <c r="BL871" s="55">
        <v>762</v>
      </c>
      <c r="BW871" s="55">
        <v>21</v>
      </c>
    </row>
    <row r="872" spans="1:12" ht="14.4">
      <c r="A872" s="59"/>
      <c r="D872" s="60" t="s">
        <v>1781</v>
      </c>
      <c r="E872" s="60" t="s">
        <v>4</v>
      </c>
      <c r="G872" s="68">
        <v>0.56</v>
      </c>
      <c r="L872" s="69"/>
    </row>
    <row r="873" spans="1:12" ht="14.4">
      <c r="A873" s="59"/>
      <c r="D873" s="60" t="s">
        <v>1782</v>
      </c>
      <c r="E873" s="60" t="s">
        <v>4</v>
      </c>
      <c r="G873" s="68">
        <v>0.03</v>
      </c>
      <c r="L873" s="69"/>
    </row>
    <row r="874" spans="1:75" ht="13.5" customHeight="1">
      <c r="A874" s="1" t="s">
        <v>1783</v>
      </c>
      <c r="B874" s="2" t="s">
        <v>116</v>
      </c>
      <c r="C874" s="2" t="s">
        <v>1784</v>
      </c>
      <c r="D874" s="147" t="s">
        <v>1785</v>
      </c>
      <c r="E874" s="148"/>
      <c r="F874" s="2" t="s">
        <v>729</v>
      </c>
      <c r="G874" s="55">
        <v>44.2</v>
      </c>
      <c r="H874" s="56">
        <v>0</v>
      </c>
      <c r="I874" s="55">
        <f>G874*H874</f>
        <v>0</v>
      </c>
      <c r="J874" s="55">
        <v>0.03</v>
      </c>
      <c r="K874" s="55">
        <f>G874*J874</f>
        <v>1.326</v>
      </c>
      <c r="L874" s="57" t="s">
        <v>785</v>
      </c>
      <c r="Z874" s="55">
        <f>IF(AQ874="5",BJ874,0)</f>
        <v>0</v>
      </c>
      <c r="AB874" s="55">
        <f>IF(AQ874="1",BH874,0)</f>
        <v>0</v>
      </c>
      <c r="AC874" s="55">
        <f>IF(AQ874="1",BI874,0)</f>
        <v>0</v>
      </c>
      <c r="AD874" s="55">
        <f>IF(AQ874="7",BH874,0)</f>
        <v>0</v>
      </c>
      <c r="AE874" s="55">
        <f>IF(AQ874="7",BI874,0)</f>
        <v>0</v>
      </c>
      <c r="AF874" s="55">
        <f>IF(AQ874="2",BH874,0)</f>
        <v>0</v>
      </c>
      <c r="AG874" s="55">
        <f>IF(AQ874="2",BI874,0)</f>
        <v>0</v>
      </c>
      <c r="AH874" s="55">
        <f>IF(AQ874="0",BJ874,0)</f>
        <v>0</v>
      </c>
      <c r="AI874" s="34" t="s">
        <v>116</v>
      </c>
      <c r="AJ874" s="55">
        <f>IF(AN874=0,I874,0)</f>
        <v>0</v>
      </c>
      <c r="AK874" s="55">
        <f>IF(AN874=12,I874,0)</f>
        <v>0</v>
      </c>
      <c r="AL874" s="55">
        <f>IF(AN874=21,I874,0)</f>
        <v>0</v>
      </c>
      <c r="AN874" s="55">
        <v>21</v>
      </c>
      <c r="AO874" s="55">
        <f>H874*0</f>
        <v>0</v>
      </c>
      <c r="AP874" s="55">
        <f>H874*(1-0)</f>
        <v>0</v>
      </c>
      <c r="AQ874" s="58" t="s">
        <v>125</v>
      </c>
      <c r="AV874" s="55">
        <f>AW874+AX874</f>
        <v>0</v>
      </c>
      <c r="AW874" s="55">
        <f>G874*AO874</f>
        <v>0</v>
      </c>
      <c r="AX874" s="55">
        <f>G874*AP874</f>
        <v>0</v>
      </c>
      <c r="AY874" s="58" t="s">
        <v>1668</v>
      </c>
      <c r="AZ874" s="58" t="s">
        <v>1669</v>
      </c>
      <c r="BA874" s="34" t="s">
        <v>128</v>
      </c>
      <c r="BB874" s="67">
        <v>100014</v>
      </c>
      <c r="BC874" s="55">
        <f>AW874+AX874</f>
        <v>0</v>
      </c>
      <c r="BD874" s="55">
        <f>H874/(100-BE874)*100</f>
        <v>0</v>
      </c>
      <c r="BE874" s="55">
        <v>0</v>
      </c>
      <c r="BF874" s="55">
        <f>K874</f>
        <v>1.326</v>
      </c>
      <c r="BH874" s="55">
        <f>G874*AO874</f>
        <v>0</v>
      </c>
      <c r="BI874" s="55">
        <f>G874*AP874</f>
        <v>0</v>
      </c>
      <c r="BJ874" s="55">
        <f>G874*H874</f>
        <v>0</v>
      </c>
      <c r="BK874" s="55"/>
      <c r="BL874" s="55">
        <v>762</v>
      </c>
      <c r="BW874" s="55">
        <v>21</v>
      </c>
    </row>
    <row r="875" spans="1:12" ht="13.5" customHeight="1">
      <c r="A875" s="59"/>
      <c r="D875" s="218" t="s">
        <v>1786</v>
      </c>
      <c r="E875" s="219"/>
      <c r="F875" s="219"/>
      <c r="G875" s="219"/>
      <c r="H875" s="220"/>
      <c r="I875" s="219"/>
      <c r="J875" s="219"/>
      <c r="K875" s="219"/>
      <c r="L875" s="221"/>
    </row>
    <row r="876" spans="1:12" ht="14.4">
      <c r="A876" s="59"/>
      <c r="D876" s="60" t="s">
        <v>1787</v>
      </c>
      <c r="E876" s="60" t="s">
        <v>4</v>
      </c>
      <c r="G876" s="68">
        <v>44.2</v>
      </c>
      <c r="L876" s="69"/>
    </row>
    <row r="877" spans="1:75" ht="13.5" customHeight="1">
      <c r="A877" s="1" t="s">
        <v>1788</v>
      </c>
      <c r="B877" s="2" t="s">
        <v>116</v>
      </c>
      <c r="C877" s="2" t="s">
        <v>1789</v>
      </c>
      <c r="D877" s="147" t="s">
        <v>1790</v>
      </c>
      <c r="E877" s="148"/>
      <c r="F877" s="2" t="s">
        <v>1791</v>
      </c>
      <c r="G877" s="55">
        <v>16</v>
      </c>
      <c r="H877" s="56">
        <v>0</v>
      </c>
      <c r="I877" s="55">
        <f>G877*H877</f>
        <v>0</v>
      </c>
      <c r="J877" s="55">
        <v>0</v>
      </c>
      <c r="K877" s="55">
        <f>G877*J877</f>
        <v>0</v>
      </c>
      <c r="L877" s="57" t="s">
        <v>124</v>
      </c>
      <c r="Z877" s="55">
        <f>IF(AQ877="5",BJ877,0)</f>
        <v>0</v>
      </c>
      <c r="AB877" s="55">
        <f>IF(AQ877="1",BH877,0)</f>
        <v>0</v>
      </c>
      <c r="AC877" s="55">
        <f>IF(AQ877="1",BI877,0)</f>
        <v>0</v>
      </c>
      <c r="AD877" s="55">
        <f>IF(AQ877="7",BH877,0)</f>
        <v>0</v>
      </c>
      <c r="AE877" s="55">
        <f>IF(AQ877="7",BI877,0)</f>
        <v>0</v>
      </c>
      <c r="AF877" s="55">
        <f>IF(AQ877="2",BH877,0)</f>
        <v>0</v>
      </c>
      <c r="AG877" s="55">
        <f>IF(AQ877="2",BI877,0)</f>
        <v>0</v>
      </c>
      <c r="AH877" s="55">
        <f>IF(AQ877="0",BJ877,0)</f>
        <v>0</v>
      </c>
      <c r="AI877" s="34" t="s">
        <v>116</v>
      </c>
      <c r="AJ877" s="55">
        <f>IF(AN877=0,I877,0)</f>
        <v>0</v>
      </c>
      <c r="AK877" s="55">
        <f>IF(AN877=12,I877,0)</f>
        <v>0</v>
      </c>
      <c r="AL877" s="55">
        <f>IF(AN877=21,I877,0)</f>
        <v>0</v>
      </c>
      <c r="AN877" s="55">
        <v>21</v>
      </c>
      <c r="AO877" s="55">
        <f>H877*0</f>
        <v>0</v>
      </c>
      <c r="AP877" s="55">
        <f>H877*(1-0)</f>
        <v>0</v>
      </c>
      <c r="AQ877" s="58" t="s">
        <v>125</v>
      </c>
      <c r="AV877" s="55">
        <f>AW877+AX877</f>
        <v>0</v>
      </c>
      <c r="AW877" s="55">
        <f>G877*AO877</f>
        <v>0</v>
      </c>
      <c r="AX877" s="55">
        <f>G877*AP877</f>
        <v>0</v>
      </c>
      <c r="AY877" s="58" t="s">
        <v>1668</v>
      </c>
      <c r="AZ877" s="58" t="s">
        <v>1669</v>
      </c>
      <c r="BA877" s="34" t="s">
        <v>128</v>
      </c>
      <c r="BB877" s="67">
        <v>100014</v>
      </c>
      <c r="BC877" s="55">
        <f>AW877+AX877</f>
        <v>0</v>
      </c>
      <c r="BD877" s="55">
        <f>H877/(100-BE877)*100</f>
        <v>0</v>
      </c>
      <c r="BE877" s="55">
        <v>0</v>
      </c>
      <c r="BF877" s="55">
        <f>K877</f>
        <v>0</v>
      </c>
      <c r="BH877" s="55">
        <f>G877*AO877</f>
        <v>0</v>
      </c>
      <c r="BI877" s="55">
        <f>G877*AP877</f>
        <v>0</v>
      </c>
      <c r="BJ877" s="55">
        <f>G877*H877</f>
        <v>0</v>
      </c>
      <c r="BK877" s="55"/>
      <c r="BL877" s="55">
        <v>762</v>
      </c>
      <c r="BW877" s="55">
        <v>21</v>
      </c>
    </row>
    <row r="878" spans="1:12" ht="13.5" customHeight="1">
      <c r="A878" s="59"/>
      <c r="D878" s="218" t="s">
        <v>1792</v>
      </c>
      <c r="E878" s="219"/>
      <c r="F878" s="219"/>
      <c r="G878" s="219"/>
      <c r="H878" s="220"/>
      <c r="I878" s="219"/>
      <c r="J878" s="219"/>
      <c r="K878" s="219"/>
      <c r="L878" s="221"/>
    </row>
    <row r="879" spans="1:12" ht="14.4">
      <c r="A879" s="59"/>
      <c r="D879" s="60" t="s">
        <v>171</v>
      </c>
      <c r="E879" s="60" t="s">
        <v>4</v>
      </c>
      <c r="G879" s="68">
        <v>16</v>
      </c>
      <c r="L879" s="69"/>
    </row>
    <row r="880" spans="1:75" ht="13.5" customHeight="1">
      <c r="A880" s="1" t="s">
        <v>1793</v>
      </c>
      <c r="B880" s="2" t="s">
        <v>116</v>
      </c>
      <c r="C880" s="2" t="s">
        <v>1794</v>
      </c>
      <c r="D880" s="147" t="s">
        <v>1795</v>
      </c>
      <c r="E880" s="148"/>
      <c r="F880" s="2" t="s">
        <v>792</v>
      </c>
      <c r="G880" s="55">
        <v>10.84</v>
      </c>
      <c r="H880" s="56">
        <v>0</v>
      </c>
      <c r="I880" s="55">
        <f>G880*H880</f>
        <v>0</v>
      </c>
      <c r="J880" s="55">
        <v>0.02357</v>
      </c>
      <c r="K880" s="55">
        <f>G880*J880</f>
        <v>0.2554988</v>
      </c>
      <c r="L880" s="57" t="s">
        <v>785</v>
      </c>
      <c r="Z880" s="55">
        <f>IF(AQ880="5",BJ880,0)</f>
        <v>0</v>
      </c>
      <c r="AB880" s="55">
        <f>IF(AQ880="1",BH880,0)</f>
        <v>0</v>
      </c>
      <c r="AC880" s="55">
        <f>IF(AQ880="1",BI880,0)</f>
        <v>0</v>
      </c>
      <c r="AD880" s="55">
        <f>IF(AQ880="7",BH880,0)</f>
        <v>0</v>
      </c>
      <c r="AE880" s="55">
        <f>IF(AQ880="7",BI880,0)</f>
        <v>0</v>
      </c>
      <c r="AF880" s="55">
        <f>IF(AQ880="2",BH880,0)</f>
        <v>0</v>
      </c>
      <c r="AG880" s="55">
        <f>IF(AQ880="2",BI880,0)</f>
        <v>0</v>
      </c>
      <c r="AH880" s="55">
        <f>IF(AQ880="0",BJ880,0)</f>
        <v>0</v>
      </c>
      <c r="AI880" s="34" t="s">
        <v>116</v>
      </c>
      <c r="AJ880" s="55">
        <f>IF(AN880=0,I880,0)</f>
        <v>0</v>
      </c>
      <c r="AK880" s="55">
        <f>IF(AN880=12,I880,0)</f>
        <v>0</v>
      </c>
      <c r="AL880" s="55">
        <f>IF(AN880=21,I880,0)</f>
        <v>0</v>
      </c>
      <c r="AN880" s="55">
        <v>21</v>
      </c>
      <c r="AO880" s="55">
        <f>H880*0.999999057</f>
        <v>0</v>
      </c>
      <c r="AP880" s="55">
        <f>H880*(1-0.999999057)</f>
        <v>0</v>
      </c>
      <c r="AQ880" s="58" t="s">
        <v>125</v>
      </c>
      <c r="AV880" s="55">
        <f>AW880+AX880</f>
        <v>0</v>
      </c>
      <c r="AW880" s="55">
        <f>G880*AO880</f>
        <v>0</v>
      </c>
      <c r="AX880" s="55">
        <f>G880*AP880</f>
        <v>0</v>
      </c>
      <c r="AY880" s="58" t="s">
        <v>1668</v>
      </c>
      <c r="AZ880" s="58" t="s">
        <v>1669</v>
      </c>
      <c r="BA880" s="34" t="s">
        <v>128</v>
      </c>
      <c r="BB880" s="67">
        <v>100014</v>
      </c>
      <c r="BC880" s="55">
        <f>AW880+AX880</f>
        <v>0</v>
      </c>
      <c r="BD880" s="55">
        <f>H880/(100-BE880)*100</f>
        <v>0</v>
      </c>
      <c r="BE880" s="55">
        <v>0</v>
      </c>
      <c r="BF880" s="55">
        <f>K880</f>
        <v>0.2554988</v>
      </c>
      <c r="BH880" s="55">
        <f>G880*AO880</f>
        <v>0</v>
      </c>
      <c r="BI880" s="55">
        <f>G880*AP880</f>
        <v>0</v>
      </c>
      <c r="BJ880" s="55">
        <f>G880*H880</f>
        <v>0</v>
      </c>
      <c r="BK880" s="55"/>
      <c r="BL880" s="55">
        <v>762</v>
      </c>
      <c r="BW880" s="55">
        <v>21</v>
      </c>
    </row>
    <row r="881" spans="1:12" ht="14.4">
      <c r="A881" s="59"/>
      <c r="D881" s="60" t="s">
        <v>1796</v>
      </c>
      <c r="E881" s="60" t="s">
        <v>1797</v>
      </c>
      <c r="G881" s="68">
        <v>8.34</v>
      </c>
      <c r="L881" s="69"/>
    </row>
    <row r="882" spans="1:12" ht="14.4">
      <c r="A882" s="59"/>
      <c r="D882" s="60" t="s">
        <v>1708</v>
      </c>
      <c r="E882" s="60" t="s">
        <v>1798</v>
      </c>
      <c r="G882" s="68">
        <v>2.5</v>
      </c>
      <c r="L882" s="69"/>
    </row>
    <row r="883" spans="1:75" ht="13.5" customHeight="1">
      <c r="A883" s="1" t="s">
        <v>1799</v>
      </c>
      <c r="B883" s="2" t="s">
        <v>116</v>
      </c>
      <c r="C883" s="2" t="s">
        <v>1800</v>
      </c>
      <c r="D883" s="147" t="s">
        <v>1801</v>
      </c>
      <c r="E883" s="148"/>
      <c r="F883" s="2" t="s">
        <v>792</v>
      </c>
      <c r="G883" s="55">
        <v>2.09</v>
      </c>
      <c r="H883" s="56">
        <v>0</v>
      </c>
      <c r="I883" s="55">
        <f>G883*H883</f>
        <v>0</v>
      </c>
      <c r="J883" s="55">
        <v>0.01549</v>
      </c>
      <c r="K883" s="55">
        <f>G883*J883</f>
        <v>0.032374099999999996</v>
      </c>
      <c r="L883" s="57" t="s">
        <v>785</v>
      </c>
      <c r="Z883" s="55">
        <f>IF(AQ883="5",BJ883,0)</f>
        <v>0</v>
      </c>
      <c r="AB883" s="55">
        <f>IF(AQ883="1",BH883,0)</f>
        <v>0</v>
      </c>
      <c r="AC883" s="55">
        <f>IF(AQ883="1",BI883,0)</f>
        <v>0</v>
      </c>
      <c r="AD883" s="55">
        <f>IF(AQ883="7",BH883,0)</f>
        <v>0</v>
      </c>
      <c r="AE883" s="55">
        <f>IF(AQ883="7",BI883,0)</f>
        <v>0</v>
      </c>
      <c r="AF883" s="55">
        <f>IF(AQ883="2",BH883,0)</f>
        <v>0</v>
      </c>
      <c r="AG883" s="55">
        <f>IF(AQ883="2",BI883,0)</f>
        <v>0</v>
      </c>
      <c r="AH883" s="55">
        <f>IF(AQ883="0",BJ883,0)</f>
        <v>0</v>
      </c>
      <c r="AI883" s="34" t="s">
        <v>116</v>
      </c>
      <c r="AJ883" s="55">
        <f>IF(AN883=0,I883,0)</f>
        <v>0</v>
      </c>
      <c r="AK883" s="55">
        <f>IF(AN883=12,I883,0)</f>
        <v>0</v>
      </c>
      <c r="AL883" s="55">
        <f>IF(AN883=21,I883,0)</f>
        <v>0</v>
      </c>
      <c r="AN883" s="55">
        <v>21</v>
      </c>
      <c r="AO883" s="55">
        <f>H883*0.999966658</f>
        <v>0</v>
      </c>
      <c r="AP883" s="55">
        <f>H883*(1-0.999966658)</f>
        <v>0</v>
      </c>
      <c r="AQ883" s="58" t="s">
        <v>125</v>
      </c>
      <c r="AV883" s="55">
        <f>AW883+AX883</f>
        <v>0</v>
      </c>
      <c r="AW883" s="55">
        <f>G883*AO883</f>
        <v>0</v>
      </c>
      <c r="AX883" s="55">
        <f>G883*AP883</f>
        <v>0</v>
      </c>
      <c r="AY883" s="58" t="s">
        <v>1668</v>
      </c>
      <c r="AZ883" s="58" t="s">
        <v>1669</v>
      </c>
      <c r="BA883" s="34" t="s">
        <v>128</v>
      </c>
      <c r="BB883" s="67">
        <v>100014</v>
      </c>
      <c r="BC883" s="55">
        <f>AW883+AX883</f>
        <v>0</v>
      </c>
      <c r="BD883" s="55">
        <f>H883/(100-BE883)*100</f>
        <v>0</v>
      </c>
      <c r="BE883" s="55">
        <v>0</v>
      </c>
      <c r="BF883" s="55">
        <f>K883</f>
        <v>0.032374099999999996</v>
      </c>
      <c r="BH883" s="55">
        <f>G883*AO883</f>
        <v>0</v>
      </c>
      <c r="BI883" s="55">
        <f>G883*AP883</f>
        <v>0</v>
      </c>
      <c r="BJ883" s="55">
        <f>G883*H883</f>
        <v>0</v>
      </c>
      <c r="BK883" s="55"/>
      <c r="BL883" s="55">
        <v>762</v>
      </c>
      <c r="BW883" s="55">
        <v>21</v>
      </c>
    </row>
    <row r="884" spans="1:12" ht="14.4">
      <c r="A884" s="59"/>
      <c r="D884" s="60" t="s">
        <v>1802</v>
      </c>
      <c r="E884" s="60" t="s">
        <v>1803</v>
      </c>
      <c r="G884" s="68">
        <v>1.53</v>
      </c>
      <c r="L884" s="69"/>
    </row>
    <row r="885" spans="1:12" ht="14.4">
      <c r="A885" s="59"/>
      <c r="D885" s="60" t="s">
        <v>1804</v>
      </c>
      <c r="E885" s="60" t="s">
        <v>1805</v>
      </c>
      <c r="G885" s="68">
        <v>0.56</v>
      </c>
      <c r="L885" s="69"/>
    </row>
    <row r="886" spans="1:75" ht="13.5" customHeight="1">
      <c r="A886" s="1" t="s">
        <v>1806</v>
      </c>
      <c r="B886" s="2" t="s">
        <v>116</v>
      </c>
      <c r="C886" s="2" t="s">
        <v>1807</v>
      </c>
      <c r="D886" s="147" t="s">
        <v>1808</v>
      </c>
      <c r="E886" s="148"/>
      <c r="F886" s="2" t="s">
        <v>939</v>
      </c>
      <c r="G886" s="55">
        <v>9.12</v>
      </c>
      <c r="H886" s="56">
        <v>0</v>
      </c>
      <c r="I886" s="55">
        <f>G886*H886</f>
        <v>0</v>
      </c>
      <c r="J886" s="55">
        <v>0</v>
      </c>
      <c r="K886" s="55">
        <f>G886*J886</f>
        <v>0</v>
      </c>
      <c r="L886" s="57" t="s">
        <v>785</v>
      </c>
      <c r="Z886" s="55">
        <f>IF(AQ886="5",BJ886,0)</f>
        <v>0</v>
      </c>
      <c r="AB886" s="55">
        <f>IF(AQ886="1",BH886,0)</f>
        <v>0</v>
      </c>
      <c r="AC886" s="55">
        <f>IF(AQ886="1",BI886,0)</f>
        <v>0</v>
      </c>
      <c r="AD886" s="55">
        <f>IF(AQ886="7",BH886,0)</f>
        <v>0</v>
      </c>
      <c r="AE886" s="55">
        <f>IF(AQ886="7",BI886,0)</f>
        <v>0</v>
      </c>
      <c r="AF886" s="55">
        <f>IF(AQ886="2",BH886,0)</f>
        <v>0</v>
      </c>
      <c r="AG886" s="55">
        <f>IF(AQ886="2",BI886,0)</f>
        <v>0</v>
      </c>
      <c r="AH886" s="55">
        <f>IF(AQ886="0",BJ886,0)</f>
        <v>0</v>
      </c>
      <c r="AI886" s="34" t="s">
        <v>116</v>
      </c>
      <c r="AJ886" s="55">
        <f>IF(AN886=0,I886,0)</f>
        <v>0</v>
      </c>
      <c r="AK886" s="55">
        <f>IF(AN886=12,I886,0)</f>
        <v>0</v>
      </c>
      <c r="AL886" s="55">
        <f>IF(AN886=21,I886,0)</f>
        <v>0</v>
      </c>
      <c r="AN886" s="55">
        <v>21</v>
      </c>
      <c r="AO886" s="55">
        <f>H886*0</f>
        <v>0</v>
      </c>
      <c r="AP886" s="55">
        <f>H886*(1-0)</f>
        <v>0</v>
      </c>
      <c r="AQ886" s="58" t="s">
        <v>139</v>
      </c>
      <c r="AV886" s="55">
        <f>AW886+AX886</f>
        <v>0</v>
      </c>
      <c r="AW886" s="55">
        <f>G886*AO886</f>
        <v>0</v>
      </c>
      <c r="AX886" s="55">
        <f>G886*AP886</f>
        <v>0</v>
      </c>
      <c r="AY886" s="58" t="s">
        <v>1668</v>
      </c>
      <c r="AZ886" s="58" t="s">
        <v>1669</v>
      </c>
      <c r="BA886" s="34" t="s">
        <v>128</v>
      </c>
      <c r="BC886" s="55">
        <f>AW886+AX886</f>
        <v>0</v>
      </c>
      <c r="BD886" s="55">
        <f>H886/(100-BE886)*100</f>
        <v>0</v>
      </c>
      <c r="BE886" s="55">
        <v>0</v>
      </c>
      <c r="BF886" s="55">
        <f>K886</f>
        <v>0</v>
      </c>
      <c r="BH886" s="55">
        <f>G886*AO886</f>
        <v>0</v>
      </c>
      <c r="BI886" s="55">
        <f>G886*AP886</f>
        <v>0</v>
      </c>
      <c r="BJ886" s="55">
        <f>G886*H886</f>
        <v>0</v>
      </c>
      <c r="BK886" s="55"/>
      <c r="BL886" s="55">
        <v>762</v>
      </c>
      <c r="BW886" s="55">
        <v>21</v>
      </c>
    </row>
    <row r="887" spans="1:12" ht="14.4">
      <c r="A887" s="59"/>
      <c r="D887" s="60" t="s">
        <v>1809</v>
      </c>
      <c r="E887" s="60" t="s">
        <v>1306</v>
      </c>
      <c r="G887" s="68">
        <v>9.12</v>
      </c>
      <c r="L887" s="69"/>
    </row>
    <row r="888" spans="1:75" ht="13.5" customHeight="1">
      <c r="A888" s="1" t="s">
        <v>1810</v>
      </c>
      <c r="B888" s="2" t="s">
        <v>116</v>
      </c>
      <c r="C888" s="2" t="s">
        <v>1811</v>
      </c>
      <c r="D888" s="147" t="s">
        <v>1812</v>
      </c>
      <c r="E888" s="148"/>
      <c r="F888" s="2" t="s">
        <v>374</v>
      </c>
      <c r="G888" s="55">
        <v>150</v>
      </c>
      <c r="H888" s="56">
        <v>0</v>
      </c>
      <c r="I888" s="55">
        <f>G888*H888</f>
        <v>0</v>
      </c>
      <c r="J888" s="55">
        <v>0</v>
      </c>
      <c r="K888" s="55">
        <f>G888*J888</f>
        <v>0</v>
      </c>
      <c r="L888" s="57" t="s">
        <v>785</v>
      </c>
      <c r="Z888" s="55">
        <f>IF(AQ888="5",BJ888,0)</f>
        <v>0</v>
      </c>
      <c r="AB888" s="55">
        <f>IF(AQ888="1",BH888,0)</f>
        <v>0</v>
      </c>
      <c r="AC888" s="55">
        <f>IF(AQ888="1",BI888,0)</f>
        <v>0</v>
      </c>
      <c r="AD888" s="55">
        <f>IF(AQ888="7",BH888,0)</f>
        <v>0</v>
      </c>
      <c r="AE888" s="55">
        <f>IF(AQ888="7",BI888,0)</f>
        <v>0</v>
      </c>
      <c r="AF888" s="55">
        <f>IF(AQ888="2",BH888,0)</f>
        <v>0</v>
      </c>
      <c r="AG888" s="55">
        <f>IF(AQ888="2",BI888,0)</f>
        <v>0</v>
      </c>
      <c r="AH888" s="55">
        <f>IF(AQ888="0",BJ888,0)</f>
        <v>0</v>
      </c>
      <c r="AI888" s="34" t="s">
        <v>116</v>
      </c>
      <c r="AJ888" s="55">
        <f>IF(AN888=0,I888,0)</f>
        <v>0</v>
      </c>
      <c r="AK888" s="55">
        <f>IF(AN888=12,I888,0)</f>
        <v>0</v>
      </c>
      <c r="AL888" s="55">
        <f>IF(AN888=21,I888,0)</f>
        <v>0</v>
      </c>
      <c r="AN888" s="55">
        <v>21</v>
      </c>
      <c r="AO888" s="55">
        <f>H888*0</f>
        <v>0</v>
      </c>
      <c r="AP888" s="55">
        <f>H888*(1-0)</f>
        <v>0</v>
      </c>
      <c r="AQ888" s="58" t="s">
        <v>125</v>
      </c>
      <c r="AV888" s="55">
        <f>AW888+AX888</f>
        <v>0</v>
      </c>
      <c r="AW888" s="55">
        <f>G888*AO888</f>
        <v>0</v>
      </c>
      <c r="AX888" s="55">
        <f>G888*AP888</f>
        <v>0</v>
      </c>
      <c r="AY888" s="58" t="s">
        <v>1668</v>
      </c>
      <c r="AZ888" s="58" t="s">
        <v>1669</v>
      </c>
      <c r="BA888" s="34" t="s">
        <v>128</v>
      </c>
      <c r="BC888" s="55">
        <f>AW888+AX888</f>
        <v>0</v>
      </c>
      <c r="BD888" s="55">
        <f>H888/(100-BE888)*100</f>
        <v>0</v>
      </c>
      <c r="BE888" s="55">
        <v>0</v>
      </c>
      <c r="BF888" s="55">
        <f>K888</f>
        <v>0</v>
      </c>
      <c r="BH888" s="55">
        <f>G888*AO888</f>
        <v>0</v>
      </c>
      <c r="BI888" s="55">
        <f>G888*AP888</f>
        <v>0</v>
      </c>
      <c r="BJ888" s="55">
        <f>G888*H888</f>
        <v>0</v>
      </c>
      <c r="BK888" s="55"/>
      <c r="BL888" s="55">
        <v>762</v>
      </c>
      <c r="BW888" s="55">
        <v>21</v>
      </c>
    </row>
    <row r="889" spans="1:12" ht="13.5" customHeight="1">
      <c r="A889" s="59"/>
      <c r="D889" s="218" t="s">
        <v>1813</v>
      </c>
      <c r="E889" s="219"/>
      <c r="F889" s="219"/>
      <c r="G889" s="219"/>
      <c r="H889" s="220"/>
      <c r="I889" s="219"/>
      <c r="J889" s="219"/>
      <c r="K889" s="219"/>
      <c r="L889" s="221"/>
    </row>
    <row r="890" spans="1:12" ht="14.4">
      <c r="A890" s="59"/>
      <c r="D890" s="60" t="s">
        <v>1814</v>
      </c>
      <c r="E890" s="60" t="s">
        <v>4</v>
      </c>
      <c r="G890" s="68">
        <v>150</v>
      </c>
      <c r="L890" s="69"/>
    </row>
    <row r="891" spans="1:75" ht="13.5" customHeight="1">
      <c r="A891" s="61" t="s">
        <v>1815</v>
      </c>
      <c r="B891" s="62" t="s">
        <v>116</v>
      </c>
      <c r="C891" s="62" t="s">
        <v>1816</v>
      </c>
      <c r="D891" s="224" t="s">
        <v>1817</v>
      </c>
      <c r="E891" s="225"/>
      <c r="F891" s="62" t="s">
        <v>374</v>
      </c>
      <c r="G891" s="63">
        <v>150</v>
      </c>
      <c r="H891" s="64">
        <v>0</v>
      </c>
      <c r="I891" s="63">
        <f>G891*H891</f>
        <v>0</v>
      </c>
      <c r="J891" s="63">
        <v>0.00025</v>
      </c>
      <c r="K891" s="63">
        <f>G891*J891</f>
        <v>0.0375</v>
      </c>
      <c r="L891" s="65" t="s">
        <v>785</v>
      </c>
      <c r="Z891" s="55">
        <f>IF(AQ891="5",BJ891,0)</f>
        <v>0</v>
      </c>
      <c r="AB891" s="55">
        <f>IF(AQ891="1",BH891,0)</f>
        <v>0</v>
      </c>
      <c r="AC891" s="55">
        <f>IF(AQ891="1",BI891,0)</f>
        <v>0</v>
      </c>
      <c r="AD891" s="55">
        <f>IF(AQ891="7",BH891,0)</f>
        <v>0</v>
      </c>
      <c r="AE891" s="55">
        <f>IF(AQ891="7",BI891,0)</f>
        <v>0</v>
      </c>
      <c r="AF891" s="55">
        <f>IF(AQ891="2",BH891,0)</f>
        <v>0</v>
      </c>
      <c r="AG891" s="55">
        <f>IF(AQ891="2",BI891,0)</f>
        <v>0</v>
      </c>
      <c r="AH891" s="55">
        <f>IF(AQ891="0",BJ891,0)</f>
        <v>0</v>
      </c>
      <c r="AI891" s="34" t="s">
        <v>116</v>
      </c>
      <c r="AJ891" s="63">
        <f>IF(AN891=0,I891,0)</f>
        <v>0</v>
      </c>
      <c r="AK891" s="63">
        <f>IF(AN891=12,I891,0)</f>
        <v>0</v>
      </c>
      <c r="AL891" s="63">
        <f>IF(AN891=21,I891,0)</f>
        <v>0</v>
      </c>
      <c r="AN891" s="55">
        <v>21</v>
      </c>
      <c r="AO891" s="55">
        <f>H891*1</f>
        <v>0</v>
      </c>
      <c r="AP891" s="55">
        <f>H891*(1-1)</f>
        <v>0</v>
      </c>
      <c r="AQ891" s="66" t="s">
        <v>125</v>
      </c>
      <c r="AV891" s="55">
        <f>AW891+AX891</f>
        <v>0</v>
      </c>
      <c r="AW891" s="55">
        <f>G891*AO891</f>
        <v>0</v>
      </c>
      <c r="AX891" s="55">
        <f>G891*AP891</f>
        <v>0</v>
      </c>
      <c r="AY891" s="58" t="s">
        <v>1668</v>
      </c>
      <c r="AZ891" s="58" t="s">
        <v>1669</v>
      </c>
      <c r="BA891" s="34" t="s">
        <v>128</v>
      </c>
      <c r="BC891" s="55">
        <f>AW891+AX891</f>
        <v>0</v>
      </c>
      <c r="BD891" s="55">
        <f>H891/(100-BE891)*100</f>
        <v>0</v>
      </c>
      <c r="BE891" s="55">
        <v>0</v>
      </c>
      <c r="BF891" s="55">
        <f>K891</f>
        <v>0.0375</v>
      </c>
      <c r="BH891" s="63">
        <f>G891*AO891</f>
        <v>0</v>
      </c>
      <c r="BI891" s="63">
        <f>G891*AP891</f>
        <v>0</v>
      </c>
      <c r="BJ891" s="63">
        <f>G891*H891</f>
        <v>0</v>
      </c>
      <c r="BK891" s="63"/>
      <c r="BL891" s="55">
        <v>762</v>
      </c>
      <c r="BW891" s="55">
        <v>21</v>
      </c>
    </row>
    <row r="892" spans="1:12" ht="14.4">
      <c r="A892" s="59"/>
      <c r="D892" s="60" t="s">
        <v>600</v>
      </c>
      <c r="E892" s="60" t="s">
        <v>4</v>
      </c>
      <c r="G892" s="68">
        <v>150</v>
      </c>
      <c r="L892" s="69"/>
    </row>
    <row r="893" spans="1:75" ht="13.5" customHeight="1">
      <c r="A893" s="1" t="s">
        <v>1818</v>
      </c>
      <c r="B893" s="2" t="s">
        <v>116</v>
      </c>
      <c r="C893" s="2" t="s">
        <v>1819</v>
      </c>
      <c r="D893" s="147" t="s">
        <v>1820</v>
      </c>
      <c r="E893" s="148"/>
      <c r="F893" s="2" t="s">
        <v>374</v>
      </c>
      <c r="G893" s="55">
        <v>150</v>
      </c>
      <c r="H893" s="56">
        <v>0</v>
      </c>
      <c r="I893" s="55">
        <f>G893*H893</f>
        <v>0</v>
      </c>
      <c r="J893" s="55">
        <v>0</v>
      </c>
      <c r="K893" s="55">
        <f>G893*J893</f>
        <v>0</v>
      </c>
      <c r="L893" s="57" t="s">
        <v>785</v>
      </c>
      <c r="Z893" s="55">
        <f>IF(AQ893="5",BJ893,0)</f>
        <v>0</v>
      </c>
      <c r="AB893" s="55">
        <f>IF(AQ893="1",BH893,0)</f>
        <v>0</v>
      </c>
      <c r="AC893" s="55">
        <f>IF(AQ893="1",BI893,0)</f>
        <v>0</v>
      </c>
      <c r="AD893" s="55">
        <f>IF(AQ893="7",BH893,0)</f>
        <v>0</v>
      </c>
      <c r="AE893" s="55">
        <f>IF(AQ893="7",BI893,0)</f>
        <v>0</v>
      </c>
      <c r="AF893" s="55">
        <f>IF(AQ893="2",BH893,0)</f>
        <v>0</v>
      </c>
      <c r="AG893" s="55">
        <f>IF(AQ893="2",BI893,0)</f>
        <v>0</v>
      </c>
      <c r="AH893" s="55">
        <f>IF(AQ893="0",BJ893,0)</f>
        <v>0</v>
      </c>
      <c r="AI893" s="34" t="s">
        <v>116</v>
      </c>
      <c r="AJ893" s="55">
        <f>IF(AN893=0,I893,0)</f>
        <v>0</v>
      </c>
      <c r="AK893" s="55">
        <f>IF(AN893=12,I893,0)</f>
        <v>0</v>
      </c>
      <c r="AL893" s="55">
        <f>IF(AN893=21,I893,0)</f>
        <v>0</v>
      </c>
      <c r="AN893" s="55">
        <v>21</v>
      </c>
      <c r="AO893" s="55">
        <f>H893*0</f>
        <v>0</v>
      </c>
      <c r="AP893" s="55">
        <f>H893*(1-0)</f>
        <v>0</v>
      </c>
      <c r="AQ893" s="58" t="s">
        <v>125</v>
      </c>
      <c r="AV893" s="55">
        <f>AW893+AX893</f>
        <v>0</v>
      </c>
      <c r="AW893" s="55">
        <f>G893*AO893</f>
        <v>0</v>
      </c>
      <c r="AX893" s="55">
        <f>G893*AP893</f>
        <v>0</v>
      </c>
      <c r="AY893" s="58" t="s">
        <v>1668</v>
      </c>
      <c r="AZ893" s="58" t="s">
        <v>1669</v>
      </c>
      <c r="BA893" s="34" t="s">
        <v>128</v>
      </c>
      <c r="BC893" s="55">
        <f>AW893+AX893</f>
        <v>0</v>
      </c>
      <c r="BD893" s="55">
        <f>H893/(100-BE893)*100</f>
        <v>0</v>
      </c>
      <c r="BE893" s="55">
        <v>0</v>
      </c>
      <c r="BF893" s="55">
        <f>K893</f>
        <v>0</v>
      </c>
      <c r="BH893" s="55">
        <f>G893*AO893</f>
        <v>0</v>
      </c>
      <c r="BI893" s="55">
        <f>G893*AP893</f>
        <v>0</v>
      </c>
      <c r="BJ893" s="55">
        <f>G893*H893</f>
        <v>0</v>
      </c>
      <c r="BK893" s="55"/>
      <c r="BL893" s="55">
        <v>762</v>
      </c>
      <c r="BW893" s="55">
        <v>21</v>
      </c>
    </row>
    <row r="894" spans="1:12" ht="14.4">
      <c r="A894" s="59"/>
      <c r="D894" s="60" t="s">
        <v>600</v>
      </c>
      <c r="E894" s="60" t="s">
        <v>4</v>
      </c>
      <c r="G894" s="68">
        <v>150</v>
      </c>
      <c r="L894" s="69"/>
    </row>
    <row r="895" spans="1:75" ht="13.5" customHeight="1">
      <c r="A895" s="61" t="s">
        <v>1821</v>
      </c>
      <c r="B895" s="62" t="s">
        <v>116</v>
      </c>
      <c r="C895" s="62" t="s">
        <v>1822</v>
      </c>
      <c r="D895" s="224" t="s">
        <v>1823</v>
      </c>
      <c r="E895" s="225"/>
      <c r="F895" s="62" t="s">
        <v>374</v>
      </c>
      <c r="G895" s="63">
        <v>150</v>
      </c>
      <c r="H895" s="64">
        <v>0</v>
      </c>
      <c r="I895" s="63">
        <f>G895*H895</f>
        <v>0</v>
      </c>
      <c r="J895" s="63">
        <v>5E-05</v>
      </c>
      <c r="K895" s="63">
        <f>G895*J895</f>
        <v>0.007500000000000001</v>
      </c>
      <c r="L895" s="65" t="s">
        <v>785</v>
      </c>
      <c r="Z895" s="55">
        <f>IF(AQ895="5",BJ895,0)</f>
        <v>0</v>
      </c>
      <c r="AB895" s="55">
        <f>IF(AQ895="1",BH895,0)</f>
        <v>0</v>
      </c>
      <c r="AC895" s="55">
        <f>IF(AQ895="1",BI895,0)</f>
        <v>0</v>
      </c>
      <c r="AD895" s="55">
        <f>IF(AQ895="7",BH895,0)</f>
        <v>0</v>
      </c>
      <c r="AE895" s="55">
        <f>IF(AQ895="7",BI895,0)</f>
        <v>0</v>
      </c>
      <c r="AF895" s="55">
        <f>IF(AQ895="2",BH895,0)</f>
        <v>0</v>
      </c>
      <c r="AG895" s="55">
        <f>IF(AQ895="2",BI895,0)</f>
        <v>0</v>
      </c>
      <c r="AH895" s="55">
        <f>IF(AQ895="0",BJ895,0)</f>
        <v>0</v>
      </c>
      <c r="AI895" s="34" t="s">
        <v>116</v>
      </c>
      <c r="AJ895" s="63">
        <f>IF(AN895=0,I895,0)</f>
        <v>0</v>
      </c>
      <c r="AK895" s="63">
        <f>IF(AN895=12,I895,0)</f>
        <v>0</v>
      </c>
      <c r="AL895" s="63">
        <f>IF(AN895=21,I895,0)</f>
        <v>0</v>
      </c>
      <c r="AN895" s="55">
        <v>21</v>
      </c>
      <c r="AO895" s="55">
        <f>H895*1</f>
        <v>0</v>
      </c>
      <c r="AP895" s="55">
        <f>H895*(1-1)</f>
        <v>0</v>
      </c>
      <c r="AQ895" s="66" t="s">
        <v>125</v>
      </c>
      <c r="AV895" s="55">
        <f>AW895+AX895</f>
        <v>0</v>
      </c>
      <c r="AW895" s="55">
        <f>G895*AO895</f>
        <v>0</v>
      </c>
      <c r="AX895" s="55">
        <f>G895*AP895</f>
        <v>0</v>
      </c>
      <c r="AY895" s="58" t="s">
        <v>1668</v>
      </c>
      <c r="AZ895" s="58" t="s">
        <v>1669</v>
      </c>
      <c r="BA895" s="34" t="s">
        <v>128</v>
      </c>
      <c r="BC895" s="55">
        <f>AW895+AX895</f>
        <v>0</v>
      </c>
      <c r="BD895" s="55">
        <f>H895/(100-BE895)*100</f>
        <v>0</v>
      </c>
      <c r="BE895" s="55">
        <v>0</v>
      </c>
      <c r="BF895" s="55">
        <f>K895</f>
        <v>0.007500000000000001</v>
      </c>
      <c r="BH895" s="63">
        <f>G895*AO895</f>
        <v>0</v>
      </c>
      <c r="BI895" s="63">
        <f>G895*AP895</f>
        <v>0</v>
      </c>
      <c r="BJ895" s="63">
        <f>G895*H895</f>
        <v>0</v>
      </c>
      <c r="BK895" s="63"/>
      <c r="BL895" s="55">
        <v>762</v>
      </c>
      <c r="BW895" s="55">
        <v>21</v>
      </c>
    </row>
    <row r="896" spans="1:12" ht="14.4">
      <c r="A896" s="59"/>
      <c r="D896" s="60" t="s">
        <v>600</v>
      </c>
      <c r="E896" s="60" t="s">
        <v>4</v>
      </c>
      <c r="G896" s="68">
        <v>150</v>
      </c>
      <c r="L896" s="69"/>
    </row>
    <row r="897" spans="1:75" ht="13.5" customHeight="1">
      <c r="A897" s="1" t="s">
        <v>1824</v>
      </c>
      <c r="B897" s="2" t="s">
        <v>116</v>
      </c>
      <c r="C897" s="2" t="s">
        <v>1807</v>
      </c>
      <c r="D897" s="147" t="s">
        <v>1808</v>
      </c>
      <c r="E897" s="148"/>
      <c r="F897" s="2" t="s">
        <v>939</v>
      </c>
      <c r="G897" s="55">
        <v>11</v>
      </c>
      <c r="H897" s="56">
        <v>0</v>
      </c>
      <c r="I897" s="55">
        <f>G897*H897</f>
        <v>0</v>
      </c>
      <c r="J897" s="55">
        <v>0</v>
      </c>
      <c r="K897" s="55">
        <f>G897*J897</f>
        <v>0</v>
      </c>
      <c r="L897" s="57" t="s">
        <v>785</v>
      </c>
      <c r="Z897" s="55">
        <f>IF(AQ897="5",BJ897,0)</f>
        <v>0</v>
      </c>
      <c r="AB897" s="55">
        <f>IF(AQ897="1",BH897,0)</f>
        <v>0</v>
      </c>
      <c r="AC897" s="55">
        <f>IF(AQ897="1",BI897,0)</f>
        <v>0</v>
      </c>
      <c r="AD897" s="55">
        <f>IF(AQ897="7",BH897,0)</f>
        <v>0</v>
      </c>
      <c r="AE897" s="55">
        <f>IF(AQ897="7",BI897,0)</f>
        <v>0</v>
      </c>
      <c r="AF897" s="55">
        <f>IF(AQ897="2",BH897,0)</f>
        <v>0</v>
      </c>
      <c r="AG897" s="55">
        <f>IF(AQ897="2",BI897,0)</f>
        <v>0</v>
      </c>
      <c r="AH897" s="55">
        <f>IF(AQ897="0",BJ897,0)</f>
        <v>0</v>
      </c>
      <c r="AI897" s="34" t="s">
        <v>116</v>
      </c>
      <c r="AJ897" s="55">
        <f>IF(AN897=0,I897,0)</f>
        <v>0</v>
      </c>
      <c r="AK897" s="55">
        <f>IF(AN897=12,I897,0)</f>
        <v>0</v>
      </c>
      <c r="AL897" s="55">
        <f>IF(AN897=21,I897,0)</f>
        <v>0</v>
      </c>
      <c r="AN897" s="55">
        <v>21</v>
      </c>
      <c r="AO897" s="55">
        <f>H897*0</f>
        <v>0</v>
      </c>
      <c r="AP897" s="55">
        <f>H897*(1-0)</f>
        <v>0</v>
      </c>
      <c r="AQ897" s="58" t="s">
        <v>139</v>
      </c>
      <c r="AV897" s="55">
        <f>AW897+AX897</f>
        <v>0</v>
      </c>
      <c r="AW897" s="55">
        <f>G897*AO897</f>
        <v>0</v>
      </c>
      <c r="AX897" s="55">
        <f>G897*AP897</f>
        <v>0</v>
      </c>
      <c r="AY897" s="58" t="s">
        <v>1668</v>
      </c>
      <c r="AZ897" s="58" t="s">
        <v>1669</v>
      </c>
      <c r="BA897" s="34" t="s">
        <v>128</v>
      </c>
      <c r="BC897" s="55">
        <f>AW897+AX897</f>
        <v>0</v>
      </c>
      <c r="BD897" s="55">
        <f>H897/(100-BE897)*100</f>
        <v>0</v>
      </c>
      <c r="BE897" s="55">
        <v>0</v>
      </c>
      <c r="BF897" s="55">
        <f>K897</f>
        <v>0</v>
      </c>
      <c r="BH897" s="55">
        <f>G897*AO897</f>
        <v>0</v>
      </c>
      <c r="BI897" s="55">
        <f>G897*AP897</f>
        <v>0</v>
      </c>
      <c r="BJ897" s="55">
        <f>G897*H897</f>
        <v>0</v>
      </c>
      <c r="BK897" s="55"/>
      <c r="BL897" s="55">
        <v>762</v>
      </c>
      <c r="BW897" s="55">
        <v>21</v>
      </c>
    </row>
    <row r="898" spans="1:12" ht="14.4">
      <c r="A898" s="59"/>
      <c r="D898" s="60" t="s">
        <v>1825</v>
      </c>
      <c r="E898" s="60" t="s">
        <v>4</v>
      </c>
      <c r="G898" s="68">
        <v>11</v>
      </c>
      <c r="L898" s="69"/>
    </row>
    <row r="899" spans="1:47" ht="14.4">
      <c r="A899" s="50" t="s">
        <v>4</v>
      </c>
      <c r="B899" s="51" t="s">
        <v>116</v>
      </c>
      <c r="C899" s="51" t="s">
        <v>1826</v>
      </c>
      <c r="D899" s="222" t="s">
        <v>1827</v>
      </c>
      <c r="E899" s="223"/>
      <c r="F899" s="52" t="s">
        <v>79</v>
      </c>
      <c r="G899" s="52" t="s">
        <v>79</v>
      </c>
      <c r="H899" s="53" t="s">
        <v>79</v>
      </c>
      <c r="I899" s="27">
        <f>SUM(I900:I924)</f>
        <v>0</v>
      </c>
      <c r="J899" s="34" t="s">
        <v>4</v>
      </c>
      <c r="K899" s="27">
        <f>SUM(K900:K924)</f>
        <v>17.8905136</v>
      </c>
      <c r="L899" s="54" t="s">
        <v>4</v>
      </c>
      <c r="AI899" s="34" t="s">
        <v>116</v>
      </c>
      <c r="AS899" s="27">
        <f>SUM(AJ900:AJ924)</f>
        <v>0</v>
      </c>
      <c r="AT899" s="27">
        <f>SUM(AK900:AK924)</f>
        <v>0</v>
      </c>
      <c r="AU899" s="27">
        <f>SUM(AL900:AL924)</f>
        <v>0</v>
      </c>
    </row>
    <row r="900" spans="1:75" ht="13.5" customHeight="1">
      <c r="A900" s="1" t="s">
        <v>1828</v>
      </c>
      <c r="B900" s="2" t="s">
        <v>116</v>
      </c>
      <c r="C900" s="2" t="s">
        <v>1829</v>
      </c>
      <c r="D900" s="147" t="s">
        <v>1830</v>
      </c>
      <c r="E900" s="148"/>
      <c r="F900" s="2" t="s">
        <v>174</v>
      </c>
      <c r="G900" s="55">
        <v>1226.56</v>
      </c>
      <c r="H900" s="56">
        <v>0</v>
      </c>
      <c r="I900" s="55">
        <f>G900*H900</f>
        <v>0</v>
      </c>
      <c r="J900" s="55">
        <v>5E-05</v>
      </c>
      <c r="K900" s="55">
        <f>G900*J900</f>
        <v>0.061328</v>
      </c>
      <c r="L900" s="57" t="s">
        <v>785</v>
      </c>
      <c r="Z900" s="55">
        <f>IF(AQ900="5",BJ900,0)</f>
        <v>0</v>
      </c>
      <c r="AB900" s="55">
        <f>IF(AQ900="1",BH900,0)</f>
        <v>0</v>
      </c>
      <c r="AC900" s="55">
        <f>IF(AQ900="1",BI900,0)</f>
        <v>0</v>
      </c>
      <c r="AD900" s="55">
        <f>IF(AQ900="7",BH900,0)</f>
        <v>0</v>
      </c>
      <c r="AE900" s="55">
        <f>IF(AQ900="7",BI900,0)</f>
        <v>0</v>
      </c>
      <c r="AF900" s="55">
        <f>IF(AQ900="2",BH900,0)</f>
        <v>0</v>
      </c>
      <c r="AG900" s="55">
        <f>IF(AQ900="2",BI900,0)</f>
        <v>0</v>
      </c>
      <c r="AH900" s="55">
        <f>IF(AQ900="0",BJ900,0)</f>
        <v>0</v>
      </c>
      <c r="AI900" s="34" t="s">
        <v>116</v>
      </c>
      <c r="AJ900" s="55">
        <f>IF(AN900=0,I900,0)</f>
        <v>0</v>
      </c>
      <c r="AK900" s="55">
        <f>IF(AN900=12,I900,0)</f>
        <v>0</v>
      </c>
      <c r="AL900" s="55">
        <f>IF(AN900=21,I900,0)</f>
        <v>0</v>
      </c>
      <c r="AN900" s="55">
        <v>21</v>
      </c>
      <c r="AO900" s="55">
        <f>H900*0.087058813</f>
        <v>0</v>
      </c>
      <c r="AP900" s="55">
        <f>H900*(1-0.087058813)</f>
        <v>0</v>
      </c>
      <c r="AQ900" s="58" t="s">
        <v>125</v>
      </c>
      <c r="AV900" s="55">
        <f>AW900+AX900</f>
        <v>0</v>
      </c>
      <c r="AW900" s="55">
        <f>G900*AO900</f>
        <v>0</v>
      </c>
      <c r="AX900" s="55">
        <f>G900*AP900</f>
        <v>0</v>
      </c>
      <c r="AY900" s="58" t="s">
        <v>1831</v>
      </c>
      <c r="AZ900" s="58" t="s">
        <v>1669</v>
      </c>
      <c r="BA900" s="34" t="s">
        <v>128</v>
      </c>
      <c r="BB900" s="67">
        <v>100028</v>
      </c>
      <c r="BC900" s="55">
        <f>AW900+AX900</f>
        <v>0</v>
      </c>
      <c r="BD900" s="55">
        <f>H900/(100-BE900)*100</f>
        <v>0</v>
      </c>
      <c r="BE900" s="55">
        <v>0</v>
      </c>
      <c r="BF900" s="55">
        <f>K900</f>
        <v>0.061328</v>
      </c>
      <c r="BH900" s="55">
        <f>G900*AO900</f>
        <v>0</v>
      </c>
      <c r="BI900" s="55">
        <f>G900*AP900</f>
        <v>0</v>
      </c>
      <c r="BJ900" s="55">
        <f>G900*H900</f>
        <v>0</v>
      </c>
      <c r="BK900" s="55"/>
      <c r="BL900" s="55">
        <v>763</v>
      </c>
      <c r="BW900" s="55">
        <v>21</v>
      </c>
    </row>
    <row r="901" spans="1:12" ht="13.5" customHeight="1">
      <c r="A901" s="59"/>
      <c r="D901" s="218" t="s">
        <v>1832</v>
      </c>
      <c r="E901" s="219"/>
      <c r="F901" s="219"/>
      <c r="G901" s="219"/>
      <c r="H901" s="220"/>
      <c r="I901" s="219"/>
      <c r="J901" s="219"/>
      <c r="K901" s="219"/>
      <c r="L901" s="221"/>
    </row>
    <row r="902" spans="1:12" ht="14.4">
      <c r="A902" s="59"/>
      <c r="D902" s="60" t="s">
        <v>1833</v>
      </c>
      <c r="E902" s="60" t="s">
        <v>1834</v>
      </c>
      <c r="G902" s="68">
        <v>1122.56</v>
      </c>
      <c r="L902" s="69"/>
    </row>
    <row r="903" spans="1:12" ht="14.4">
      <c r="A903" s="59"/>
      <c r="D903" s="60" t="s">
        <v>1835</v>
      </c>
      <c r="E903" s="60" t="s">
        <v>1836</v>
      </c>
      <c r="G903" s="68">
        <v>104</v>
      </c>
      <c r="L903" s="69"/>
    </row>
    <row r="904" spans="1:75" ht="13.5" customHeight="1">
      <c r="A904" s="61" t="s">
        <v>1837</v>
      </c>
      <c r="B904" s="62" t="s">
        <v>116</v>
      </c>
      <c r="C904" s="62" t="s">
        <v>1838</v>
      </c>
      <c r="D904" s="224" t="s">
        <v>1839</v>
      </c>
      <c r="E904" s="225"/>
      <c r="F904" s="62" t="s">
        <v>792</v>
      </c>
      <c r="G904" s="63">
        <v>3.77</v>
      </c>
      <c r="H904" s="64">
        <v>0</v>
      </c>
      <c r="I904" s="63">
        <f>G904*H904</f>
        <v>0</v>
      </c>
      <c r="J904" s="63">
        <v>0.55</v>
      </c>
      <c r="K904" s="63">
        <f>G904*J904</f>
        <v>2.0735</v>
      </c>
      <c r="L904" s="65" t="s">
        <v>785</v>
      </c>
      <c r="Z904" s="55">
        <f>IF(AQ904="5",BJ904,0)</f>
        <v>0</v>
      </c>
      <c r="AB904" s="55">
        <f>IF(AQ904="1",BH904,0)</f>
        <v>0</v>
      </c>
      <c r="AC904" s="55">
        <f>IF(AQ904="1",BI904,0)</f>
        <v>0</v>
      </c>
      <c r="AD904" s="55">
        <f>IF(AQ904="7",BH904,0)</f>
        <v>0</v>
      </c>
      <c r="AE904" s="55">
        <f>IF(AQ904="7",BI904,0)</f>
        <v>0</v>
      </c>
      <c r="AF904" s="55">
        <f>IF(AQ904="2",BH904,0)</f>
        <v>0</v>
      </c>
      <c r="AG904" s="55">
        <f>IF(AQ904="2",BI904,0)</f>
        <v>0</v>
      </c>
      <c r="AH904" s="55">
        <f>IF(AQ904="0",BJ904,0)</f>
        <v>0</v>
      </c>
      <c r="AI904" s="34" t="s">
        <v>116</v>
      </c>
      <c r="AJ904" s="63">
        <f>IF(AN904=0,I904,0)</f>
        <v>0</v>
      </c>
      <c r="AK904" s="63">
        <f>IF(AN904=12,I904,0)</f>
        <v>0</v>
      </c>
      <c r="AL904" s="63">
        <f>IF(AN904=21,I904,0)</f>
        <v>0</v>
      </c>
      <c r="AN904" s="55">
        <v>21</v>
      </c>
      <c r="AO904" s="55">
        <f>H904*1</f>
        <v>0</v>
      </c>
      <c r="AP904" s="55">
        <f>H904*(1-1)</f>
        <v>0</v>
      </c>
      <c r="AQ904" s="66" t="s">
        <v>125</v>
      </c>
      <c r="AV904" s="55">
        <f>AW904+AX904</f>
        <v>0</v>
      </c>
      <c r="AW904" s="55">
        <f>G904*AO904</f>
        <v>0</v>
      </c>
      <c r="AX904" s="55">
        <f>G904*AP904</f>
        <v>0</v>
      </c>
      <c r="AY904" s="58" t="s">
        <v>1831</v>
      </c>
      <c r="AZ904" s="58" t="s">
        <v>1669</v>
      </c>
      <c r="BA904" s="34" t="s">
        <v>128</v>
      </c>
      <c r="BC904" s="55">
        <f>AW904+AX904</f>
        <v>0</v>
      </c>
      <c r="BD904" s="55">
        <f>H904/(100-BE904)*100</f>
        <v>0</v>
      </c>
      <c r="BE904" s="55">
        <v>0</v>
      </c>
      <c r="BF904" s="55">
        <f>K904</f>
        <v>2.0735</v>
      </c>
      <c r="BH904" s="63">
        <f>G904*AO904</f>
        <v>0</v>
      </c>
      <c r="BI904" s="63">
        <f>G904*AP904</f>
        <v>0</v>
      </c>
      <c r="BJ904" s="63">
        <f>G904*H904</f>
        <v>0</v>
      </c>
      <c r="BK904" s="63"/>
      <c r="BL904" s="55">
        <v>763</v>
      </c>
      <c r="BW904" s="55">
        <v>21</v>
      </c>
    </row>
    <row r="905" spans="1:12" ht="14.4">
      <c r="A905" s="59"/>
      <c r="D905" s="60" t="s">
        <v>1840</v>
      </c>
      <c r="E905" s="60" t="s">
        <v>4</v>
      </c>
      <c r="G905" s="68">
        <v>3.59</v>
      </c>
      <c r="L905" s="69"/>
    </row>
    <row r="906" spans="1:12" ht="14.4">
      <c r="A906" s="59"/>
      <c r="D906" s="60" t="s">
        <v>1841</v>
      </c>
      <c r="E906" s="60" t="s">
        <v>4</v>
      </c>
      <c r="G906" s="68">
        <v>0.18</v>
      </c>
      <c r="L906" s="69"/>
    </row>
    <row r="907" spans="1:75" ht="13.5" customHeight="1">
      <c r="A907" s="61" t="s">
        <v>1842</v>
      </c>
      <c r="B907" s="62" t="s">
        <v>116</v>
      </c>
      <c r="C907" s="62" t="s">
        <v>1838</v>
      </c>
      <c r="D907" s="224" t="s">
        <v>1843</v>
      </c>
      <c r="E907" s="225"/>
      <c r="F907" s="62" t="s">
        <v>792</v>
      </c>
      <c r="G907" s="63">
        <v>0.5</v>
      </c>
      <c r="H907" s="64">
        <v>0</v>
      </c>
      <c r="I907" s="63">
        <f>G907*H907</f>
        <v>0</v>
      </c>
      <c r="J907" s="63">
        <v>0.55</v>
      </c>
      <c r="K907" s="63">
        <f>G907*J907</f>
        <v>0.275</v>
      </c>
      <c r="L907" s="65" t="s">
        <v>785</v>
      </c>
      <c r="Z907" s="55">
        <f>IF(AQ907="5",BJ907,0)</f>
        <v>0</v>
      </c>
      <c r="AB907" s="55">
        <f>IF(AQ907="1",BH907,0)</f>
        <v>0</v>
      </c>
      <c r="AC907" s="55">
        <f>IF(AQ907="1",BI907,0)</f>
        <v>0</v>
      </c>
      <c r="AD907" s="55">
        <f>IF(AQ907="7",BH907,0)</f>
        <v>0</v>
      </c>
      <c r="AE907" s="55">
        <f>IF(AQ907="7",BI907,0)</f>
        <v>0</v>
      </c>
      <c r="AF907" s="55">
        <f>IF(AQ907="2",BH907,0)</f>
        <v>0</v>
      </c>
      <c r="AG907" s="55">
        <f>IF(AQ907="2",BI907,0)</f>
        <v>0</v>
      </c>
      <c r="AH907" s="55">
        <f>IF(AQ907="0",BJ907,0)</f>
        <v>0</v>
      </c>
      <c r="AI907" s="34" t="s">
        <v>116</v>
      </c>
      <c r="AJ907" s="63">
        <f>IF(AN907=0,I907,0)</f>
        <v>0</v>
      </c>
      <c r="AK907" s="63">
        <f>IF(AN907=12,I907,0)</f>
        <v>0</v>
      </c>
      <c r="AL907" s="63">
        <f>IF(AN907=21,I907,0)</f>
        <v>0</v>
      </c>
      <c r="AN907" s="55">
        <v>21</v>
      </c>
      <c r="AO907" s="55">
        <f>H907*1</f>
        <v>0</v>
      </c>
      <c r="AP907" s="55">
        <f>H907*(1-1)</f>
        <v>0</v>
      </c>
      <c r="AQ907" s="66" t="s">
        <v>125</v>
      </c>
      <c r="AV907" s="55">
        <f>AW907+AX907</f>
        <v>0</v>
      </c>
      <c r="AW907" s="55">
        <f>G907*AO907</f>
        <v>0</v>
      </c>
      <c r="AX907" s="55">
        <f>G907*AP907</f>
        <v>0</v>
      </c>
      <c r="AY907" s="58" t="s">
        <v>1831</v>
      </c>
      <c r="AZ907" s="58" t="s">
        <v>1669</v>
      </c>
      <c r="BA907" s="34" t="s">
        <v>128</v>
      </c>
      <c r="BC907" s="55">
        <f>AW907+AX907</f>
        <v>0</v>
      </c>
      <c r="BD907" s="55">
        <f>H907/(100-BE907)*100</f>
        <v>0</v>
      </c>
      <c r="BE907" s="55">
        <v>0</v>
      </c>
      <c r="BF907" s="55">
        <f>K907</f>
        <v>0.275</v>
      </c>
      <c r="BH907" s="63">
        <f>G907*AO907</f>
        <v>0</v>
      </c>
      <c r="BI907" s="63">
        <f>G907*AP907</f>
        <v>0</v>
      </c>
      <c r="BJ907" s="63">
        <f>G907*H907</f>
        <v>0</v>
      </c>
      <c r="BK907" s="63"/>
      <c r="BL907" s="55">
        <v>763</v>
      </c>
      <c r="BW907" s="55">
        <v>21</v>
      </c>
    </row>
    <row r="908" spans="1:12" ht="14.4">
      <c r="A908" s="59"/>
      <c r="D908" s="60" t="s">
        <v>1844</v>
      </c>
      <c r="E908" s="60" t="s">
        <v>4</v>
      </c>
      <c r="G908" s="68">
        <v>0.5</v>
      </c>
      <c r="L908" s="69"/>
    </row>
    <row r="909" spans="1:75" ht="13.5" customHeight="1">
      <c r="A909" s="1" t="s">
        <v>1845</v>
      </c>
      <c r="B909" s="2" t="s">
        <v>116</v>
      </c>
      <c r="C909" s="2" t="s">
        <v>1846</v>
      </c>
      <c r="D909" s="147" t="s">
        <v>1847</v>
      </c>
      <c r="E909" s="148"/>
      <c r="F909" s="2" t="s">
        <v>729</v>
      </c>
      <c r="G909" s="55">
        <v>49.5</v>
      </c>
      <c r="H909" s="56">
        <v>0</v>
      </c>
      <c r="I909" s="55">
        <f>G909*H909</f>
        <v>0</v>
      </c>
      <c r="J909" s="55">
        <v>0.00073</v>
      </c>
      <c r="K909" s="55">
        <f>G909*J909</f>
        <v>0.036135</v>
      </c>
      <c r="L909" s="57" t="s">
        <v>785</v>
      </c>
      <c r="Z909" s="55">
        <f>IF(AQ909="5",BJ909,0)</f>
        <v>0</v>
      </c>
      <c r="AB909" s="55">
        <f>IF(AQ909="1",BH909,0)</f>
        <v>0</v>
      </c>
      <c r="AC909" s="55">
        <f>IF(AQ909="1",BI909,0)</f>
        <v>0</v>
      </c>
      <c r="AD909" s="55">
        <f>IF(AQ909="7",BH909,0)</f>
        <v>0</v>
      </c>
      <c r="AE909" s="55">
        <f>IF(AQ909="7",BI909,0)</f>
        <v>0</v>
      </c>
      <c r="AF909" s="55">
        <f>IF(AQ909="2",BH909,0)</f>
        <v>0</v>
      </c>
      <c r="AG909" s="55">
        <f>IF(AQ909="2",BI909,0)</f>
        <v>0</v>
      </c>
      <c r="AH909" s="55">
        <f>IF(AQ909="0",BJ909,0)</f>
        <v>0</v>
      </c>
      <c r="AI909" s="34" t="s">
        <v>116</v>
      </c>
      <c r="AJ909" s="55">
        <f>IF(AN909=0,I909,0)</f>
        <v>0</v>
      </c>
      <c r="AK909" s="55">
        <f>IF(AN909=12,I909,0)</f>
        <v>0</v>
      </c>
      <c r="AL909" s="55">
        <f>IF(AN909=21,I909,0)</f>
        <v>0</v>
      </c>
      <c r="AN909" s="55">
        <v>21</v>
      </c>
      <c r="AO909" s="55">
        <f>H909*0.169685921</f>
        <v>0</v>
      </c>
      <c r="AP909" s="55">
        <f>H909*(1-0.169685921)</f>
        <v>0</v>
      </c>
      <c r="AQ909" s="58" t="s">
        <v>125</v>
      </c>
      <c r="AV909" s="55">
        <f>AW909+AX909</f>
        <v>0</v>
      </c>
      <c r="AW909" s="55">
        <f>G909*AO909</f>
        <v>0</v>
      </c>
      <c r="AX909" s="55">
        <f>G909*AP909</f>
        <v>0</v>
      </c>
      <c r="AY909" s="58" t="s">
        <v>1831</v>
      </c>
      <c r="AZ909" s="58" t="s">
        <v>1669</v>
      </c>
      <c r="BA909" s="34" t="s">
        <v>128</v>
      </c>
      <c r="BB909" s="67">
        <v>100028</v>
      </c>
      <c r="BC909" s="55">
        <f>AW909+AX909</f>
        <v>0</v>
      </c>
      <c r="BD909" s="55">
        <f>H909/(100-BE909)*100</f>
        <v>0</v>
      </c>
      <c r="BE909" s="55">
        <v>0</v>
      </c>
      <c r="BF909" s="55">
        <f>K909</f>
        <v>0.036135</v>
      </c>
      <c r="BH909" s="55">
        <f>G909*AO909</f>
        <v>0</v>
      </c>
      <c r="BI909" s="55">
        <f>G909*AP909</f>
        <v>0</v>
      </c>
      <c r="BJ909" s="55">
        <f>G909*H909</f>
        <v>0</v>
      </c>
      <c r="BK909" s="55"/>
      <c r="BL909" s="55">
        <v>763</v>
      </c>
      <c r="BW909" s="55">
        <v>21</v>
      </c>
    </row>
    <row r="910" spans="1:12" ht="13.5" customHeight="1">
      <c r="A910" s="59"/>
      <c r="D910" s="218" t="s">
        <v>1848</v>
      </c>
      <c r="E910" s="219"/>
      <c r="F910" s="219"/>
      <c r="G910" s="219"/>
      <c r="H910" s="220"/>
      <c r="I910" s="219"/>
      <c r="J910" s="219"/>
      <c r="K910" s="219"/>
      <c r="L910" s="221"/>
    </row>
    <row r="911" spans="1:12" ht="14.4">
      <c r="A911" s="59"/>
      <c r="D911" s="60" t="s">
        <v>1207</v>
      </c>
      <c r="E911" s="60" t="s">
        <v>816</v>
      </c>
      <c r="G911" s="68">
        <v>49.5</v>
      </c>
      <c r="L911" s="69"/>
    </row>
    <row r="912" spans="1:75" ht="13.5" customHeight="1">
      <c r="A912" s="61" t="s">
        <v>1849</v>
      </c>
      <c r="B912" s="62" t="s">
        <v>116</v>
      </c>
      <c r="C912" s="62" t="s">
        <v>1850</v>
      </c>
      <c r="D912" s="224" t="s">
        <v>1851</v>
      </c>
      <c r="E912" s="225"/>
      <c r="F912" s="62" t="s">
        <v>729</v>
      </c>
      <c r="G912" s="63">
        <v>54.45</v>
      </c>
      <c r="H912" s="64">
        <v>0</v>
      </c>
      <c r="I912" s="63">
        <f>G912*H912</f>
        <v>0</v>
      </c>
      <c r="J912" s="63">
        <v>0.015</v>
      </c>
      <c r="K912" s="63">
        <f>G912*J912</f>
        <v>0.81675</v>
      </c>
      <c r="L912" s="65" t="s">
        <v>785</v>
      </c>
      <c r="Z912" s="55">
        <f>IF(AQ912="5",BJ912,0)</f>
        <v>0</v>
      </c>
      <c r="AB912" s="55">
        <f>IF(AQ912="1",BH912,0)</f>
        <v>0</v>
      </c>
      <c r="AC912" s="55">
        <f>IF(AQ912="1",BI912,0)</f>
        <v>0</v>
      </c>
      <c r="AD912" s="55">
        <f>IF(AQ912="7",BH912,0)</f>
        <v>0</v>
      </c>
      <c r="AE912" s="55">
        <f>IF(AQ912="7",BI912,0)</f>
        <v>0</v>
      </c>
      <c r="AF912" s="55">
        <f>IF(AQ912="2",BH912,0)</f>
        <v>0</v>
      </c>
      <c r="AG912" s="55">
        <f>IF(AQ912="2",BI912,0)</f>
        <v>0</v>
      </c>
      <c r="AH912" s="55">
        <f>IF(AQ912="0",BJ912,0)</f>
        <v>0</v>
      </c>
      <c r="AI912" s="34" t="s">
        <v>116</v>
      </c>
      <c r="AJ912" s="63">
        <f>IF(AN912=0,I912,0)</f>
        <v>0</v>
      </c>
      <c r="AK912" s="63">
        <f>IF(AN912=12,I912,0)</f>
        <v>0</v>
      </c>
      <c r="AL912" s="63">
        <f>IF(AN912=21,I912,0)</f>
        <v>0</v>
      </c>
      <c r="AN912" s="55">
        <v>21</v>
      </c>
      <c r="AO912" s="55">
        <f>H912*1</f>
        <v>0</v>
      </c>
      <c r="AP912" s="55">
        <f>H912*(1-1)</f>
        <v>0</v>
      </c>
      <c r="AQ912" s="66" t="s">
        <v>125</v>
      </c>
      <c r="AV912" s="55">
        <f>AW912+AX912</f>
        <v>0</v>
      </c>
      <c r="AW912" s="55">
        <f>G912*AO912</f>
        <v>0</v>
      </c>
      <c r="AX912" s="55">
        <f>G912*AP912</f>
        <v>0</v>
      </c>
      <c r="AY912" s="58" t="s">
        <v>1831</v>
      </c>
      <c r="AZ912" s="58" t="s">
        <v>1669</v>
      </c>
      <c r="BA912" s="34" t="s">
        <v>128</v>
      </c>
      <c r="BC912" s="55">
        <f>AW912+AX912</f>
        <v>0</v>
      </c>
      <c r="BD912" s="55">
        <f>H912/(100-BE912)*100</f>
        <v>0</v>
      </c>
      <c r="BE912" s="55">
        <v>0</v>
      </c>
      <c r="BF912" s="55">
        <f>K912</f>
        <v>0.81675</v>
      </c>
      <c r="BH912" s="63">
        <f>G912*AO912</f>
        <v>0</v>
      </c>
      <c r="BI912" s="63">
        <f>G912*AP912</f>
        <v>0</v>
      </c>
      <c r="BJ912" s="63">
        <f>G912*H912</f>
        <v>0</v>
      </c>
      <c r="BK912" s="63"/>
      <c r="BL912" s="55">
        <v>763</v>
      </c>
      <c r="BW912" s="55">
        <v>21</v>
      </c>
    </row>
    <row r="913" spans="1:12" ht="14.4">
      <c r="A913" s="59"/>
      <c r="D913" s="60" t="s">
        <v>1207</v>
      </c>
      <c r="E913" s="60" t="s">
        <v>4</v>
      </c>
      <c r="G913" s="68">
        <v>49.5</v>
      </c>
      <c r="L913" s="69"/>
    </row>
    <row r="914" spans="1:12" ht="14.4">
      <c r="A914" s="59"/>
      <c r="D914" s="60" t="s">
        <v>1852</v>
      </c>
      <c r="E914" s="60" t="s">
        <v>4</v>
      </c>
      <c r="G914" s="68">
        <v>4.95</v>
      </c>
      <c r="L914" s="69"/>
    </row>
    <row r="915" spans="1:75" ht="13.5" customHeight="1">
      <c r="A915" s="1" t="s">
        <v>1853</v>
      </c>
      <c r="B915" s="2" t="s">
        <v>116</v>
      </c>
      <c r="C915" s="2" t="s">
        <v>1854</v>
      </c>
      <c r="D915" s="147" t="s">
        <v>1855</v>
      </c>
      <c r="E915" s="148"/>
      <c r="F915" s="2" t="s">
        <v>729</v>
      </c>
      <c r="G915" s="55">
        <v>350.8</v>
      </c>
      <c r="H915" s="56">
        <v>0</v>
      </c>
      <c r="I915" s="55">
        <f>G915*H915</f>
        <v>0</v>
      </c>
      <c r="J915" s="55">
        <v>8E-05</v>
      </c>
      <c r="K915" s="55">
        <f>G915*J915</f>
        <v>0.028064000000000002</v>
      </c>
      <c r="L915" s="57" t="s">
        <v>785</v>
      </c>
      <c r="Z915" s="55">
        <f>IF(AQ915="5",BJ915,0)</f>
        <v>0</v>
      </c>
      <c r="AB915" s="55">
        <f>IF(AQ915="1",BH915,0)</f>
        <v>0</v>
      </c>
      <c r="AC915" s="55">
        <f>IF(AQ915="1",BI915,0)</f>
        <v>0</v>
      </c>
      <c r="AD915" s="55">
        <f>IF(AQ915="7",BH915,0)</f>
        <v>0</v>
      </c>
      <c r="AE915" s="55">
        <f>IF(AQ915="7",BI915,0)</f>
        <v>0</v>
      </c>
      <c r="AF915" s="55">
        <f>IF(AQ915="2",BH915,0)</f>
        <v>0</v>
      </c>
      <c r="AG915" s="55">
        <f>IF(AQ915="2",BI915,0)</f>
        <v>0</v>
      </c>
      <c r="AH915" s="55">
        <f>IF(AQ915="0",BJ915,0)</f>
        <v>0</v>
      </c>
      <c r="AI915" s="34" t="s">
        <v>116</v>
      </c>
      <c r="AJ915" s="55">
        <f>IF(AN915=0,I915,0)</f>
        <v>0</v>
      </c>
      <c r="AK915" s="55">
        <f>IF(AN915=12,I915,0)</f>
        <v>0</v>
      </c>
      <c r="AL915" s="55">
        <f>IF(AN915=21,I915,0)</f>
        <v>0</v>
      </c>
      <c r="AN915" s="55">
        <v>21</v>
      </c>
      <c r="AO915" s="55">
        <f>H915*0.118798799</f>
        <v>0</v>
      </c>
      <c r="AP915" s="55">
        <f>H915*(1-0.118798799)</f>
        <v>0</v>
      </c>
      <c r="AQ915" s="58" t="s">
        <v>125</v>
      </c>
      <c r="AV915" s="55">
        <f>AW915+AX915</f>
        <v>0</v>
      </c>
      <c r="AW915" s="55">
        <f>G915*AO915</f>
        <v>0</v>
      </c>
      <c r="AX915" s="55">
        <f>G915*AP915</f>
        <v>0</v>
      </c>
      <c r="AY915" s="58" t="s">
        <v>1831</v>
      </c>
      <c r="AZ915" s="58" t="s">
        <v>1669</v>
      </c>
      <c r="BA915" s="34" t="s">
        <v>128</v>
      </c>
      <c r="BB915" s="67">
        <v>100028</v>
      </c>
      <c r="BC915" s="55">
        <f>AW915+AX915</f>
        <v>0</v>
      </c>
      <c r="BD915" s="55">
        <f>H915/(100-BE915)*100</f>
        <v>0</v>
      </c>
      <c r="BE915" s="55">
        <v>0</v>
      </c>
      <c r="BF915" s="55">
        <f>K915</f>
        <v>0.028064000000000002</v>
      </c>
      <c r="BH915" s="55">
        <f>G915*AO915</f>
        <v>0</v>
      </c>
      <c r="BI915" s="55">
        <f>G915*AP915</f>
        <v>0</v>
      </c>
      <c r="BJ915" s="55">
        <f>G915*H915</f>
        <v>0</v>
      </c>
      <c r="BK915" s="55"/>
      <c r="BL915" s="55">
        <v>763</v>
      </c>
      <c r="BW915" s="55">
        <v>21</v>
      </c>
    </row>
    <row r="916" spans="1:12" ht="13.5" customHeight="1">
      <c r="A916" s="59"/>
      <c r="D916" s="218" t="s">
        <v>1848</v>
      </c>
      <c r="E916" s="219"/>
      <c r="F916" s="219"/>
      <c r="G916" s="219"/>
      <c r="H916" s="220"/>
      <c r="I916" s="219"/>
      <c r="J916" s="219"/>
      <c r="K916" s="219"/>
      <c r="L916" s="221"/>
    </row>
    <row r="917" spans="1:12" ht="14.4">
      <c r="A917" s="59"/>
      <c r="D917" s="60" t="s">
        <v>1856</v>
      </c>
      <c r="E917" s="60" t="s">
        <v>869</v>
      </c>
      <c r="G917" s="68">
        <v>350.8</v>
      </c>
      <c r="L917" s="69"/>
    </row>
    <row r="918" spans="1:75" ht="13.5" customHeight="1">
      <c r="A918" s="61" t="s">
        <v>1857</v>
      </c>
      <c r="B918" s="62" t="s">
        <v>116</v>
      </c>
      <c r="C918" s="62" t="s">
        <v>1858</v>
      </c>
      <c r="D918" s="224" t="s">
        <v>1859</v>
      </c>
      <c r="E918" s="225"/>
      <c r="F918" s="62" t="s">
        <v>729</v>
      </c>
      <c r="G918" s="63">
        <v>368.34</v>
      </c>
      <c r="H918" s="64">
        <v>0</v>
      </c>
      <c r="I918" s="63">
        <f>G918*H918</f>
        <v>0</v>
      </c>
      <c r="J918" s="63">
        <v>0.0392</v>
      </c>
      <c r="K918" s="63">
        <f>G918*J918</f>
        <v>14.438927999999999</v>
      </c>
      <c r="L918" s="65" t="s">
        <v>785</v>
      </c>
      <c r="Z918" s="55">
        <f>IF(AQ918="5",BJ918,0)</f>
        <v>0</v>
      </c>
      <c r="AB918" s="55">
        <f>IF(AQ918="1",BH918,0)</f>
        <v>0</v>
      </c>
      <c r="AC918" s="55">
        <f>IF(AQ918="1",BI918,0)</f>
        <v>0</v>
      </c>
      <c r="AD918" s="55">
        <f>IF(AQ918="7",BH918,0)</f>
        <v>0</v>
      </c>
      <c r="AE918" s="55">
        <f>IF(AQ918="7",BI918,0)</f>
        <v>0</v>
      </c>
      <c r="AF918" s="55">
        <f>IF(AQ918="2",BH918,0)</f>
        <v>0</v>
      </c>
      <c r="AG918" s="55">
        <f>IF(AQ918="2",BI918,0)</f>
        <v>0</v>
      </c>
      <c r="AH918" s="55">
        <f>IF(AQ918="0",BJ918,0)</f>
        <v>0</v>
      </c>
      <c r="AI918" s="34" t="s">
        <v>116</v>
      </c>
      <c r="AJ918" s="63">
        <f>IF(AN918=0,I918,0)</f>
        <v>0</v>
      </c>
      <c r="AK918" s="63">
        <f>IF(AN918=12,I918,0)</f>
        <v>0</v>
      </c>
      <c r="AL918" s="63">
        <f>IF(AN918=21,I918,0)</f>
        <v>0</v>
      </c>
      <c r="AN918" s="55">
        <v>21</v>
      </c>
      <c r="AO918" s="55">
        <f>H918*1</f>
        <v>0</v>
      </c>
      <c r="AP918" s="55">
        <f>H918*(1-1)</f>
        <v>0</v>
      </c>
      <c r="AQ918" s="66" t="s">
        <v>125</v>
      </c>
      <c r="AV918" s="55">
        <f>AW918+AX918</f>
        <v>0</v>
      </c>
      <c r="AW918" s="55">
        <f>G918*AO918</f>
        <v>0</v>
      </c>
      <c r="AX918" s="55">
        <f>G918*AP918</f>
        <v>0</v>
      </c>
      <c r="AY918" s="58" t="s">
        <v>1831</v>
      </c>
      <c r="AZ918" s="58" t="s">
        <v>1669</v>
      </c>
      <c r="BA918" s="34" t="s">
        <v>128</v>
      </c>
      <c r="BC918" s="55">
        <f>AW918+AX918</f>
        <v>0</v>
      </c>
      <c r="BD918" s="55">
        <f>H918/(100-BE918)*100</f>
        <v>0</v>
      </c>
      <c r="BE918" s="55">
        <v>0</v>
      </c>
      <c r="BF918" s="55">
        <f>K918</f>
        <v>14.438927999999999</v>
      </c>
      <c r="BH918" s="63">
        <f>G918*AO918</f>
        <v>0</v>
      </c>
      <c r="BI918" s="63">
        <f>G918*AP918</f>
        <v>0</v>
      </c>
      <c r="BJ918" s="63">
        <f>G918*H918</f>
        <v>0</v>
      </c>
      <c r="BK918" s="63"/>
      <c r="BL918" s="55">
        <v>763</v>
      </c>
      <c r="BW918" s="55">
        <v>21</v>
      </c>
    </row>
    <row r="919" spans="1:12" ht="14.4">
      <c r="A919" s="59"/>
      <c r="D919" s="60" t="s">
        <v>1856</v>
      </c>
      <c r="E919" s="60" t="s">
        <v>4</v>
      </c>
      <c r="G919" s="68">
        <v>350.8</v>
      </c>
      <c r="L919" s="69"/>
    </row>
    <row r="920" spans="1:12" ht="14.4">
      <c r="A920" s="59"/>
      <c r="D920" s="60" t="s">
        <v>1860</v>
      </c>
      <c r="E920" s="60" t="s">
        <v>4</v>
      </c>
      <c r="G920" s="68">
        <v>17.54</v>
      </c>
      <c r="L920" s="69"/>
    </row>
    <row r="921" spans="1:75" ht="27" customHeight="1">
      <c r="A921" s="1" t="s">
        <v>1861</v>
      </c>
      <c r="B921" s="2" t="s">
        <v>116</v>
      </c>
      <c r="C921" s="2" t="s">
        <v>1862</v>
      </c>
      <c r="D921" s="147" t="s">
        <v>1863</v>
      </c>
      <c r="E921" s="148"/>
      <c r="F921" s="2" t="s">
        <v>729</v>
      </c>
      <c r="G921" s="55">
        <v>3.79</v>
      </c>
      <c r="H921" s="56">
        <v>0</v>
      </c>
      <c r="I921" s="55">
        <f>G921*H921</f>
        <v>0</v>
      </c>
      <c r="J921" s="55">
        <v>0.00074</v>
      </c>
      <c r="K921" s="55">
        <f>G921*J921</f>
        <v>0.0028046</v>
      </c>
      <c r="L921" s="57" t="s">
        <v>785</v>
      </c>
      <c r="Z921" s="55">
        <f>IF(AQ921="5",BJ921,0)</f>
        <v>0</v>
      </c>
      <c r="AB921" s="55">
        <f>IF(AQ921="1",BH921,0)</f>
        <v>0</v>
      </c>
      <c r="AC921" s="55">
        <f>IF(AQ921="1",BI921,0)</f>
        <v>0</v>
      </c>
      <c r="AD921" s="55">
        <f>IF(AQ921="7",BH921,0)</f>
        <v>0</v>
      </c>
      <c r="AE921" s="55">
        <f>IF(AQ921="7",BI921,0)</f>
        <v>0</v>
      </c>
      <c r="AF921" s="55">
        <f>IF(AQ921="2",BH921,0)</f>
        <v>0</v>
      </c>
      <c r="AG921" s="55">
        <f>IF(AQ921="2",BI921,0)</f>
        <v>0</v>
      </c>
      <c r="AH921" s="55">
        <f>IF(AQ921="0",BJ921,0)</f>
        <v>0</v>
      </c>
      <c r="AI921" s="34" t="s">
        <v>116</v>
      </c>
      <c r="AJ921" s="55">
        <f>IF(AN921=0,I921,0)</f>
        <v>0</v>
      </c>
      <c r="AK921" s="55">
        <f>IF(AN921=12,I921,0)</f>
        <v>0</v>
      </c>
      <c r="AL921" s="55">
        <f>IF(AN921=21,I921,0)</f>
        <v>0</v>
      </c>
      <c r="AN921" s="55">
        <v>21</v>
      </c>
      <c r="AO921" s="55">
        <f>H921*0.184771956</f>
        <v>0</v>
      </c>
      <c r="AP921" s="55">
        <f>H921*(1-0.184771956)</f>
        <v>0</v>
      </c>
      <c r="AQ921" s="58" t="s">
        <v>125</v>
      </c>
      <c r="AV921" s="55">
        <f>AW921+AX921</f>
        <v>0</v>
      </c>
      <c r="AW921" s="55">
        <f>G921*AO921</f>
        <v>0</v>
      </c>
      <c r="AX921" s="55">
        <f>G921*AP921</f>
        <v>0</v>
      </c>
      <c r="AY921" s="58" t="s">
        <v>1831</v>
      </c>
      <c r="AZ921" s="58" t="s">
        <v>1669</v>
      </c>
      <c r="BA921" s="34" t="s">
        <v>128</v>
      </c>
      <c r="BB921" s="67">
        <v>100028</v>
      </c>
      <c r="BC921" s="55">
        <f>AW921+AX921</f>
        <v>0</v>
      </c>
      <c r="BD921" s="55">
        <f>H921/(100-BE921)*100</f>
        <v>0</v>
      </c>
      <c r="BE921" s="55">
        <v>0</v>
      </c>
      <c r="BF921" s="55">
        <f>K921</f>
        <v>0.0028046</v>
      </c>
      <c r="BH921" s="55">
        <f>G921*AO921</f>
        <v>0</v>
      </c>
      <c r="BI921" s="55">
        <f>G921*AP921</f>
        <v>0</v>
      </c>
      <c r="BJ921" s="55">
        <f>G921*H921</f>
        <v>0</v>
      </c>
      <c r="BK921" s="55"/>
      <c r="BL921" s="55">
        <v>763</v>
      </c>
      <c r="BW921" s="55">
        <v>21</v>
      </c>
    </row>
    <row r="922" spans="1:12" ht="13.5" customHeight="1">
      <c r="A922" s="59"/>
      <c r="D922" s="218" t="s">
        <v>1848</v>
      </c>
      <c r="E922" s="219"/>
      <c r="F922" s="219"/>
      <c r="G922" s="219"/>
      <c r="H922" s="220"/>
      <c r="I922" s="219"/>
      <c r="J922" s="219"/>
      <c r="K922" s="219"/>
      <c r="L922" s="221"/>
    </row>
    <row r="923" spans="1:12" ht="14.4">
      <c r="A923" s="59"/>
      <c r="D923" s="60" t="s">
        <v>1864</v>
      </c>
      <c r="E923" s="60" t="s">
        <v>4</v>
      </c>
      <c r="G923" s="68">
        <v>3.79</v>
      </c>
      <c r="L923" s="69"/>
    </row>
    <row r="924" spans="1:75" ht="13.5" customHeight="1">
      <c r="A924" s="61" t="s">
        <v>1865</v>
      </c>
      <c r="B924" s="62" t="s">
        <v>116</v>
      </c>
      <c r="C924" s="62" t="s">
        <v>1866</v>
      </c>
      <c r="D924" s="224" t="s">
        <v>1867</v>
      </c>
      <c r="E924" s="225"/>
      <c r="F924" s="62" t="s">
        <v>729</v>
      </c>
      <c r="G924" s="63">
        <v>4.18</v>
      </c>
      <c r="H924" s="64">
        <v>0</v>
      </c>
      <c r="I924" s="63">
        <f>G924*H924</f>
        <v>0</v>
      </c>
      <c r="J924" s="63">
        <v>0.0378</v>
      </c>
      <c r="K924" s="63">
        <f>G924*J924</f>
        <v>0.15800399999999998</v>
      </c>
      <c r="L924" s="65" t="s">
        <v>785</v>
      </c>
      <c r="Z924" s="55">
        <f>IF(AQ924="5",BJ924,0)</f>
        <v>0</v>
      </c>
      <c r="AB924" s="55">
        <f>IF(AQ924="1",BH924,0)</f>
        <v>0</v>
      </c>
      <c r="AC924" s="55">
        <f>IF(AQ924="1",BI924,0)</f>
        <v>0</v>
      </c>
      <c r="AD924" s="55">
        <f>IF(AQ924="7",BH924,0)</f>
        <v>0</v>
      </c>
      <c r="AE924" s="55">
        <f>IF(AQ924="7",BI924,0)</f>
        <v>0</v>
      </c>
      <c r="AF924" s="55">
        <f>IF(AQ924="2",BH924,0)</f>
        <v>0</v>
      </c>
      <c r="AG924" s="55">
        <f>IF(AQ924="2",BI924,0)</f>
        <v>0</v>
      </c>
      <c r="AH924" s="55">
        <f>IF(AQ924="0",BJ924,0)</f>
        <v>0</v>
      </c>
      <c r="AI924" s="34" t="s">
        <v>116</v>
      </c>
      <c r="AJ924" s="63">
        <f>IF(AN924=0,I924,0)</f>
        <v>0</v>
      </c>
      <c r="AK924" s="63">
        <f>IF(AN924=12,I924,0)</f>
        <v>0</v>
      </c>
      <c r="AL924" s="63">
        <f>IF(AN924=21,I924,0)</f>
        <v>0</v>
      </c>
      <c r="AN924" s="55">
        <v>21</v>
      </c>
      <c r="AO924" s="55">
        <f>H924*1</f>
        <v>0</v>
      </c>
      <c r="AP924" s="55">
        <f>H924*(1-1)</f>
        <v>0</v>
      </c>
      <c r="AQ924" s="66" t="s">
        <v>125</v>
      </c>
      <c r="AV924" s="55">
        <f>AW924+AX924</f>
        <v>0</v>
      </c>
      <c r="AW924" s="55">
        <f>G924*AO924</f>
        <v>0</v>
      </c>
      <c r="AX924" s="55">
        <f>G924*AP924</f>
        <v>0</v>
      </c>
      <c r="AY924" s="58" t="s">
        <v>1831</v>
      </c>
      <c r="AZ924" s="58" t="s">
        <v>1669</v>
      </c>
      <c r="BA924" s="34" t="s">
        <v>128</v>
      </c>
      <c r="BC924" s="55">
        <f>AW924+AX924</f>
        <v>0</v>
      </c>
      <c r="BD924" s="55">
        <f>H924/(100-BE924)*100</f>
        <v>0</v>
      </c>
      <c r="BE924" s="55">
        <v>0</v>
      </c>
      <c r="BF924" s="55">
        <f>K924</f>
        <v>0.15800399999999998</v>
      </c>
      <c r="BH924" s="63">
        <f>G924*AO924</f>
        <v>0</v>
      </c>
      <c r="BI924" s="63">
        <f>G924*AP924</f>
        <v>0</v>
      </c>
      <c r="BJ924" s="63">
        <f>G924*H924</f>
        <v>0</v>
      </c>
      <c r="BK924" s="63"/>
      <c r="BL924" s="55">
        <v>763</v>
      </c>
      <c r="BW924" s="55">
        <v>21</v>
      </c>
    </row>
    <row r="925" spans="1:12" ht="14.4">
      <c r="A925" s="59"/>
      <c r="D925" s="60" t="s">
        <v>1868</v>
      </c>
      <c r="E925" s="60" t="s">
        <v>4</v>
      </c>
      <c r="G925" s="68">
        <v>3.8</v>
      </c>
      <c r="L925" s="69"/>
    </row>
    <row r="926" spans="1:12" ht="14.4">
      <c r="A926" s="59"/>
      <c r="D926" s="60" t="s">
        <v>1869</v>
      </c>
      <c r="E926" s="60" t="s">
        <v>4</v>
      </c>
      <c r="G926" s="68">
        <v>0.38</v>
      </c>
      <c r="L926" s="69"/>
    </row>
    <row r="927" spans="1:47" ht="14.4">
      <c r="A927" s="50" t="s">
        <v>4</v>
      </c>
      <c r="B927" s="51" t="s">
        <v>116</v>
      </c>
      <c r="C927" s="51" t="s">
        <v>1870</v>
      </c>
      <c r="D927" s="222" t="s">
        <v>1871</v>
      </c>
      <c r="E927" s="223"/>
      <c r="F927" s="52" t="s">
        <v>79</v>
      </c>
      <c r="G927" s="52" t="s">
        <v>79</v>
      </c>
      <c r="H927" s="53" t="s">
        <v>79</v>
      </c>
      <c r="I927" s="27">
        <f>SUM(I928:I941)</f>
        <v>0</v>
      </c>
      <c r="J927" s="34" t="s">
        <v>4</v>
      </c>
      <c r="K927" s="27">
        <f>SUM(K928:K941)</f>
        <v>1.4604616</v>
      </c>
      <c r="L927" s="54" t="s">
        <v>4</v>
      </c>
      <c r="AI927" s="34" t="s">
        <v>116</v>
      </c>
      <c r="AS927" s="27">
        <f>SUM(AJ928:AJ941)</f>
        <v>0</v>
      </c>
      <c r="AT927" s="27">
        <f>SUM(AK928:AK941)</f>
        <v>0</v>
      </c>
      <c r="AU927" s="27">
        <f>SUM(AL928:AL941)</f>
        <v>0</v>
      </c>
    </row>
    <row r="928" spans="1:75" ht="13.5" customHeight="1">
      <c r="A928" s="1" t="s">
        <v>1872</v>
      </c>
      <c r="B928" s="2" t="s">
        <v>116</v>
      </c>
      <c r="C928" s="2" t="s">
        <v>1873</v>
      </c>
      <c r="D928" s="147" t="s">
        <v>1874</v>
      </c>
      <c r="E928" s="148"/>
      <c r="F928" s="2" t="s">
        <v>174</v>
      </c>
      <c r="G928" s="55">
        <v>6.4</v>
      </c>
      <c r="H928" s="56">
        <v>0</v>
      </c>
      <c r="I928" s="55">
        <f>G928*H928</f>
        <v>0</v>
      </c>
      <c r="J928" s="55">
        <v>0.00096</v>
      </c>
      <c r="K928" s="55">
        <f>G928*J928</f>
        <v>0.006144</v>
      </c>
      <c r="L928" s="57" t="s">
        <v>785</v>
      </c>
      <c r="Z928" s="55">
        <f>IF(AQ928="5",BJ928,0)</f>
        <v>0</v>
      </c>
      <c r="AB928" s="55">
        <f>IF(AQ928="1",BH928,0)</f>
        <v>0</v>
      </c>
      <c r="AC928" s="55">
        <f>IF(AQ928="1",BI928,0)</f>
        <v>0</v>
      </c>
      <c r="AD928" s="55">
        <f>IF(AQ928="7",BH928,0)</f>
        <v>0</v>
      </c>
      <c r="AE928" s="55">
        <f>IF(AQ928="7",BI928,0)</f>
        <v>0</v>
      </c>
      <c r="AF928" s="55">
        <f>IF(AQ928="2",BH928,0)</f>
        <v>0</v>
      </c>
      <c r="AG928" s="55">
        <f>IF(AQ928="2",BI928,0)</f>
        <v>0</v>
      </c>
      <c r="AH928" s="55">
        <f>IF(AQ928="0",BJ928,0)</f>
        <v>0</v>
      </c>
      <c r="AI928" s="34" t="s">
        <v>116</v>
      </c>
      <c r="AJ928" s="55">
        <f>IF(AN928=0,I928,0)</f>
        <v>0</v>
      </c>
      <c r="AK928" s="55">
        <f>IF(AN928=12,I928,0)</f>
        <v>0</v>
      </c>
      <c r="AL928" s="55">
        <f>IF(AN928=21,I928,0)</f>
        <v>0</v>
      </c>
      <c r="AN928" s="55">
        <v>21</v>
      </c>
      <c r="AO928" s="55">
        <f>H928*0.284618768</f>
        <v>0</v>
      </c>
      <c r="AP928" s="55">
        <f>H928*(1-0.284618768)</f>
        <v>0</v>
      </c>
      <c r="AQ928" s="58" t="s">
        <v>125</v>
      </c>
      <c r="AV928" s="55">
        <f>AW928+AX928</f>
        <v>0</v>
      </c>
      <c r="AW928" s="55">
        <f>G928*AO928</f>
        <v>0</v>
      </c>
      <c r="AX928" s="55">
        <f>G928*AP928</f>
        <v>0</v>
      </c>
      <c r="AY928" s="58" t="s">
        <v>1875</v>
      </c>
      <c r="AZ928" s="58" t="s">
        <v>1669</v>
      </c>
      <c r="BA928" s="34" t="s">
        <v>128</v>
      </c>
      <c r="BB928" s="67">
        <v>100011</v>
      </c>
      <c r="BC928" s="55">
        <f>AW928+AX928</f>
        <v>0</v>
      </c>
      <c r="BD928" s="55">
        <f>H928/(100-BE928)*100</f>
        <v>0</v>
      </c>
      <c r="BE928" s="55">
        <v>0</v>
      </c>
      <c r="BF928" s="55">
        <f>K928</f>
        <v>0.006144</v>
      </c>
      <c r="BH928" s="55">
        <f>G928*AO928</f>
        <v>0</v>
      </c>
      <c r="BI928" s="55">
        <f>G928*AP928</f>
        <v>0</v>
      </c>
      <c r="BJ928" s="55">
        <f>G928*H928</f>
        <v>0</v>
      </c>
      <c r="BK928" s="55"/>
      <c r="BL928" s="55">
        <v>764</v>
      </c>
      <c r="BW928" s="55">
        <v>21</v>
      </c>
    </row>
    <row r="929" spans="1:12" ht="14.4">
      <c r="A929" s="59"/>
      <c r="D929" s="60" t="s">
        <v>1876</v>
      </c>
      <c r="E929" s="60" t="s">
        <v>4</v>
      </c>
      <c r="G929" s="68">
        <v>6.4</v>
      </c>
      <c r="L929" s="69"/>
    </row>
    <row r="930" spans="1:75" ht="13.5" customHeight="1">
      <c r="A930" s="1" t="s">
        <v>1877</v>
      </c>
      <c r="B930" s="2" t="s">
        <v>116</v>
      </c>
      <c r="C930" s="2" t="s">
        <v>1878</v>
      </c>
      <c r="D930" s="147" t="s">
        <v>1879</v>
      </c>
      <c r="E930" s="148"/>
      <c r="F930" s="2" t="s">
        <v>174</v>
      </c>
      <c r="G930" s="55">
        <v>1.8</v>
      </c>
      <c r="H930" s="56">
        <v>0</v>
      </c>
      <c r="I930" s="55">
        <f>G930*H930</f>
        <v>0</v>
      </c>
      <c r="J930" s="55">
        <v>0.00124</v>
      </c>
      <c r="K930" s="55">
        <f>G930*J930</f>
        <v>0.002232</v>
      </c>
      <c r="L930" s="57" t="s">
        <v>785</v>
      </c>
      <c r="Z930" s="55">
        <f>IF(AQ930="5",BJ930,0)</f>
        <v>0</v>
      </c>
      <c r="AB930" s="55">
        <f>IF(AQ930="1",BH930,0)</f>
        <v>0</v>
      </c>
      <c r="AC930" s="55">
        <f>IF(AQ930="1",BI930,0)</f>
        <v>0</v>
      </c>
      <c r="AD930" s="55">
        <f>IF(AQ930="7",BH930,0)</f>
        <v>0</v>
      </c>
      <c r="AE930" s="55">
        <f>IF(AQ930="7",BI930,0)</f>
        <v>0</v>
      </c>
      <c r="AF930" s="55">
        <f>IF(AQ930="2",BH930,0)</f>
        <v>0</v>
      </c>
      <c r="AG930" s="55">
        <f>IF(AQ930="2",BI930,0)</f>
        <v>0</v>
      </c>
      <c r="AH930" s="55">
        <f>IF(AQ930="0",BJ930,0)</f>
        <v>0</v>
      </c>
      <c r="AI930" s="34" t="s">
        <v>116</v>
      </c>
      <c r="AJ930" s="55">
        <f>IF(AN930=0,I930,0)</f>
        <v>0</v>
      </c>
      <c r="AK930" s="55">
        <f>IF(AN930=12,I930,0)</f>
        <v>0</v>
      </c>
      <c r="AL930" s="55">
        <f>IF(AN930=21,I930,0)</f>
        <v>0</v>
      </c>
      <c r="AN930" s="55">
        <v>21</v>
      </c>
      <c r="AO930" s="55">
        <f>H930*0.324342105</f>
        <v>0</v>
      </c>
      <c r="AP930" s="55">
        <f>H930*(1-0.324342105)</f>
        <v>0</v>
      </c>
      <c r="AQ930" s="58" t="s">
        <v>125</v>
      </c>
      <c r="AV930" s="55">
        <f>AW930+AX930</f>
        <v>0</v>
      </c>
      <c r="AW930" s="55">
        <f>G930*AO930</f>
        <v>0</v>
      </c>
      <c r="AX930" s="55">
        <f>G930*AP930</f>
        <v>0</v>
      </c>
      <c r="AY930" s="58" t="s">
        <v>1875</v>
      </c>
      <c r="AZ930" s="58" t="s">
        <v>1669</v>
      </c>
      <c r="BA930" s="34" t="s">
        <v>128</v>
      </c>
      <c r="BB930" s="67">
        <v>100011</v>
      </c>
      <c r="BC930" s="55">
        <f>AW930+AX930</f>
        <v>0</v>
      </c>
      <c r="BD930" s="55">
        <f>H930/(100-BE930)*100</f>
        <v>0</v>
      </c>
      <c r="BE930" s="55">
        <v>0</v>
      </c>
      <c r="BF930" s="55">
        <f>K930</f>
        <v>0.002232</v>
      </c>
      <c r="BH930" s="55">
        <f>G930*AO930</f>
        <v>0</v>
      </c>
      <c r="BI930" s="55">
        <f>G930*AP930</f>
        <v>0</v>
      </c>
      <c r="BJ930" s="55">
        <f>G930*H930</f>
        <v>0</v>
      </c>
      <c r="BK930" s="55"/>
      <c r="BL930" s="55">
        <v>764</v>
      </c>
      <c r="BW930" s="55">
        <v>21</v>
      </c>
    </row>
    <row r="931" spans="1:12" ht="14.4">
      <c r="A931" s="59"/>
      <c r="D931" s="60" t="s">
        <v>1880</v>
      </c>
      <c r="E931" s="60" t="s">
        <v>4</v>
      </c>
      <c r="G931" s="68">
        <v>1.8</v>
      </c>
      <c r="L931" s="69"/>
    </row>
    <row r="932" spans="1:75" ht="13.5" customHeight="1">
      <c r="A932" s="1" t="s">
        <v>1881</v>
      </c>
      <c r="B932" s="2" t="s">
        <v>116</v>
      </c>
      <c r="C932" s="2" t="s">
        <v>1882</v>
      </c>
      <c r="D932" s="147" t="s">
        <v>1883</v>
      </c>
      <c r="E932" s="148"/>
      <c r="F932" s="2" t="s">
        <v>729</v>
      </c>
      <c r="G932" s="55">
        <v>95.2</v>
      </c>
      <c r="H932" s="56">
        <v>0</v>
      </c>
      <c r="I932" s="55">
        <f>G932*H932</f>
        <v>0</v>
      </c>
      <c r="J932" s="55">
        <v>0.01313</v>
      </c>
      <c r="K932" s="55">
        <f>G932*J932</f>
        <v>1.249976</v>
      </c>
      <c r="L932" s="57" t="s">
        <v>785</v>
      </c>
      <c r="Z932" s="55">
        <f>IF(AQ932="5",BJ932,0)</f>
        <v>0</v>
      </c>
      <c r="AB932" s="55">
        <f>IF(AQ932="1",BH932,0)</f>
        <v>0</v>
      </c>
      <c r="AC932" s="55">
        <f>IF(AQ932="1",BI932,0)</f>
        <v>0</v>
      </c>
      <c r="AD932" s="55">
        <f>IF(AQ932="7",BH932,0)</f>
        <v>0</v>
      </c>
      <c r="AE932" s="55">
        <f>IF(AQ932="7",BI932,0)</f>
        <v>0</v>
      </c>
      <c r="AF932" s="55">
        <f>IF(AQ932="2",BH932,0)</f>
        <v>0</v>
      </c>
      <c r="AG932" s="55">
        <f>IF(AQ932="2",BI932,0)</f>
        <v>0</v>
      </c>
      <c r="AH932" s="55">
        <f>IF(AQ932="0",BJ932,0)</f>
        <v>0</v>
      </c>
      <c r="AI932" s="34" t="s">
        <v>116</v>
      </c>
      <c r="AJ932" s="55">
        <f>IF(AN932=0,I932,0)</f>
        <v>0</v>
      </c>
      <c r="AK932" s="55">
        <f>IF(AN932=12,I932,0)</f>
        <v>0</v>
      </c>
      <c r="AL932" s="55">
        <f>IF(AN932=21,I932,0)</f>
        <v>0</v>
      </c>
      <c r="AN932" s="55">
        <v>21</v>
      </c>
      <c r="AO932" s="55">
        <f>H932*0.102413793</f>
        <v>0</v>
      </c>
      <c r="AP932" s="55">
        <f>H932*(1-0.102413793)</f>
        <v>0</v>
      </c>
      <c r="AQ932" s="58" t="s">
        <v>125</v>
      </c>
      <c r="AV932" s="55">
        <f>AW932+AX932</f>
        <v>0</v>
      </c>
      <c r="AW932" s="55">
        <f>G932*AO932</f>
        <v>0</v>
      </c>
      <c r="AX932" s="55">
        <f>G932*AP932</f>
        <v>0</v>
      </c>
      <c r="AY932" s="58" t="s">
        <v>1875</v>
      </c>
      <c r="AZ932" s="58" t="s">
        <v>1669</v>
      </c>
      <c r="BA932" s="34" t="s">
        <v>128</v>
      </c>
      <c r="BB932" s="67">
        <v>100011</v>
      </c>
      <c r="BC932" s="55">
        <f>AW932+AX932</f>
        <v>0</v>
      </c>
      <c r="BD932" s="55">
        <f>H932/(100-BE932)*100</f>
        <v>0</v>
      </c>
      <c r="BE932" s="55">
        <v>0</v>
      </c>
      <c r="BF932" s="55">
        <f>K932</f>
        <v>1.249976</v>
      </c>
      <c r="BH932" s="55">
        <f>G932*AO932</f>
        <v>0</v>
      </c>
      <c r="BI932" s="55">
        <f>G932*AP932</f>
        <v>0</v>
      </c>
      <c r="BJ932" s="55">
        <f>G932*H932</f>
        <v>0</v>
      </c>
      <c r="BK932" s="55"/>
      <c r="BL932" s="55">
        <v>764</v>
      </c>
      <c r="BW932" s="55">
        <v>21</v>
      </c>
    </row>
    <row r="933" spans="1:12" ht="13.5" customHeight="1">
      <c r="A933" s="59"/>
      <c r="D933" s="218" t="s">
        <v>1884</v>
      </c>
      <c r="E933" s="219"/>
      <c r="F933" s="219"/>
      <c r="G933" s="219"/>
      <c r="H933" s="220"/>
      <c r="I933" s="219"/>
      <c r="J933" s="219"/>
      <c r="K933" s="219"/>
      <c r="L933" s="221"/>
    </row>
    <row r="934" spans="1:12" ht="14.4">
      <c r="A934" s="59"/>
      <c r="D934" s="60" t="s">
        <v>313</v>
      </c>
      <c r="E934" s="60" t="s">
        <v>1885</v>
      </c>
      <c r="G934" s="68">
        <v>61</v>
      </c>
      <c r="L934" s="69"/>
    </row>
    <row r="935" spans="1:12" ht="14.4">
      <c r="A935" s="59"/>
      <c r="D935" s="60" t="s">
        <v>139</v>
      </c>
      <c r="E935" s="60" t="s">
        <v>1886</v>
      </c>
      <c r="G935" s="68">
        <v>5</v>
      </c>
      <c r="L935" s="69"/>
    </row>
    <row r="936" spans="1:12" ht="14.4">
      <c r="A936" s="59"/>
      <c r="D936" s="60" t="s">
        <v>1887</v>
      </c>
      <c r="E936" s="60" t="s">
        <v>1888</v>
      </c>
      <c r="G936" s="68">
        <v>26.4</v>
      </c>
      <c r="L936" s="69"/>
    </row>
    <row r="937" spans="1:12" ht="14.4">
      <c r="A937" s="59"/>
      <c r="D937" s="60" t="s">
        <v>1889</v>
      </c>
      <c r="E937" s="60" t="s">
        <v>1890</v>
      </c>
      <c r="G937" s="68">
        <v>2.8</v>
      </c>
      <c r="L937" s="69"/>
    </row>
    <row r="938" spans="1:75" ht="13.5" customHeight="1">
      <c r="A938" s="61" t="s">
        <v>1891</v>
      </c>
      <c r="B938" s="62" t="s">
        <v>116</v>
      </c>
      <c r="C938" s="62" t="s">
        <v>1892</v>
      </c>
      <c r="D938" s="224" t="s">
        <v>1893</v>
      </c>
      <c r="E938" s="225"/>
      <c r="F938" s="62" t="s">
        <v>729</v>
      </c>
      <c r="G938" s="63">
        <v>104.72</v>
      </c>
      <c r="H938" s="64">
        <v>0</v>
      </c>
      <c r="I938" s="63">
        <f>G938*H938</f>
        <v>0</v>
      </c>
      <c r="J938" s="63">
        <v>0.00193</v>
      </c>
      <c r="K938" s="63">
        <f>G938*J938</f>
        <v>0.2021096</v>
      </c>
      <c r="L938" s="65" t="s">
        <v>785</v>
      </c>
      <c r="Z938" s="55">
        <f>IF(AQ938="5",BJ938,0)</f>
        <v>0</v>
      </c>
      <c r="AB938" s="55">
        <f>IF(AQ938="1",BH938,0)</f>
        <v>0</v>
      </c>
      <c r="AC938" s="55">
        <f>IF(AQ938="1",BI938,0)</f>
        <v>0</v>
      </c>
      <c r="AD938" s="55">
        <f>IF(AQ938="7",BH938,0)</f>
        <v>0</v>
      </c>
      <c r="AE938" s="55">
        <f>IF(AQ938="7",BI938,0)</f>
        <v>0</v>
      </c>
      <c r="AF938" s="55">
        <f>IF(AQ938="2",BH938,0)</f>
        <v>0</v>
      </c>
      <c r="AG938" s="55">
        <f>IF(AQ938="2",BI938,0)</f>
        <v>0</v>
      </c>
      <c r="AH938" s="55">
        <f>IF(AQ938="0",BJ938,0)</f>
        <v>0</v>
      </c>
      <c r="AI938" s="34" t="s">
        <v>116</v>
      </c>
      <c r="AJ938" s="63">
        <f>IF(AN938=0,I938,0)</f>
        <v>0</v>
      </c>
      <c r="AK938" s="63">
        <f>IF(AN938=12,I938,0)</f>
        <v>0</v>
      </c>
      <c r="AL938" s="63">
        <f>IF(AN938=21,I938,0)</f>
        <v>0</v>
      </c>
      <c r="AN938" s="55">
        <v>21</v>
      </c>
      <c r="AO938" s="55">
        <f>H938*1</f>
        <v>0</v>
      </c>
      <c r="AP938" s="55">
        <f>H938*(1-1)</f>
        <v>0</v>
      </c>
      <c r="AQ938" s="66" t="s">
        <v>125</v>
      </c>
      <c r="AV938" s="55">
        <f>AW938+AX938</f>
        <v>0</v>
      </c>
      <c r="AW938" s="55">
        <f>G938*AO938</f>
        <v>0</v>
      </c>
      <c r="AX938" s="55">
        <f>G938*AP938</f>
        <v>0</v>
      </c>
      <c r="AY938" s="58" t="s">
        <v>1875</v>
      </c>
      <c r="AZ938" s="58" t="s">
        <v>1669</v>
      </c>
      <c r="BA938" s="34" t="s">
        <v>128</v>
      </c>
      <c r="BC938" s="55">
        <f>AW938+AX938</f>
        <v>0</v>
      </c>
      <c r="BD938" s="55">
        <f>H938/(100-BE938)*100</f>
        <v>0</v>
      </c>
      <c r="BE938" s="55">
        <v>0</v>
      </c>
      <c r="BF938" s="55">
        <f>K938</f>
        <v>0.2021096</v>
      </c>
      <c r="BH938" s="63">
        <f>G938*AO938</f>
        <v>0</v>
      </c>
      <c r="BI938" s="63">
        <f>G938*AP938</f>
        <v>0</v>
      </c>
      <c r="BJ938" s="63">
        <f>G938*H938</f>
        <v>0</v>
      </c>
      <c r="BK938" s="63"/>
      <c r="BL938" s="55">
        <v>764</v>
      </c>
      <c r="BW938" s="55">
        <v>21</v>
      </c>
    </row>
    <row r="939" spans="1:12" ht="14.4">
      <c r="A939" s="59"/>
      <c r="D939" s="60" t="s">
        <v>1894</v>
      </c>
      <c r="E939" s="60" t="s">
        <v>4</v>
      </c>
      <c r="G939" s="68">
        <v>95.2</v>
      </c>
      <c r="L939" s="69"/>
    </row>
    <row r="940" spans="1:12" ht="14.4">
      <c r="A940" s="59"/>
      <c r="D940" s="60" t="s">
        <v>1895</v>
      </c>
      <c r="E940" s="60" t="s">
        <v>4</v>
      </c>
      <c r="G940" s="68">
        <v>9.52</v>
      </c>
      <c r="L940" s="69"/>
    </row>
    <row r="941" spans="1:75" ht="13.5" customHeight="1">
      <c r="A941" s="1" t="s">
        <v>1896</v>
      </c>
      <c r="B941" s="2" t="s">
        <v>116</v>
      </c>
      <c r="C941" s="2" t="s">
        <v>1897</v>
      </c>
      <c r="D941" s="147" t="s">
        <v>1898</v>
      </c>
      <c r="E941" s="148"/>
      <c r="F941" s="2" t="s">
        <v>939</v>
      </c>
      <c r="G941" s="55">
        <v>1.46</v>
      </c>
      <c r="H941" s="56">
        <v>0</v>
      </c>
      <c r="I941" s="55">
        <f>G941*H941</f>
        <v>0</v>
      </c>
      <c r="J941" s="55">
        <v>0</v>
      </c>
      <c r="K941" s="55">
        <f>G941*J941</f>
        <v>0</v>
      </c>
      <c r="L941" s="57" t="s">
        <v>785</v>
      </c>
      <c r="Z941" s="55">
        <f>IF(AQ941="5",BJ941,0)</f>
        <v>0</v>
      </c>
      <c r="AB941" s="55">
        <f>IF(AQ941="1",BH941,0)</f>
        <v>0</v>
      </c>
      <c r="AC941" s="55">
        <f>IF(AQ941="1",BI941,0)</f>
        <v>0</v>
      </c>
      <c r="AD941" s="55">
        <f>IF(AQ941="7",BH941,0)</f>
        <v>0</v>
      </c>
      <c r="AE941" s="55">
        <f>IF(AQ941="7",BI941,0)</f>
        <v>0</v>
      </c>
      <c r="AF941" s="55">
        <f>IF(AQ941="2",BH941,0)</f>
        <v>0</v>
      </c>
      <c r="AG941" s="55">
        <f>IF(AQ941="2",BI941,0)</f>
        <v>0</v>
      </c>
      <c r="AH941" s="55">
        <f>IF(AQ941="0",BJ941,0)</f>
        <v>0</v>
      </c>
      <c r="AI941" s="34" t="s">
        <v>116</v>
      </c>
      <c r="AJ941" s="55">
        <f>IF(AN941=0,I941,0)</f>
        <v>0</v>
      </c>
      <c r="AK941" s="55">
        <f>IF(AN941=12,I941,0)</f>
        <v>0</v>
      </c>
      <c r="AL941" s="55">
        <f>IF(AN941=21,I941,0)</f>
        <v>0</v>
      </c>
      <c r="AN941" s="55">
        <v>21</v>
      </c>
      <c r="AO941" s="55">
        <f>H941*0</f>
        <v>0</v>
      </c>
      <c r="AP941" s="55">
        <f>H941*(1-0)</f>
        <v>0</v>
      </c>
      <c r="AQ941" s="58" t="s">
        <v>139</v>
      </c>
      <c r="AV941" s="55">
        <f>AW941+AX941</f>
        <v>0</v>
      </c>
      <c r="AW941" s="55">
        <f>G941*AO941</f>
        <v>0</v>
      </c>
      <c r="AX941" s="55">
        <f>G941*AP941</f>
        <v>0</v>
      </c>
      <c r="AY941" s="58" t="s">
        <v>1875</v>
      </c>
      <c r="AZ941" s="58" t="s">
        <v>1669</v>
      </c>
      <c r="BA941" s="34" t="s">
        <v>128</v>
      </c>
      <c r="BC941" s="55">
        <f>AW941+AX941</f>
        <v>0</v>
      </c>
      <c r="BD941" s="55">
        <f>H941/(100-BE941)*100</f>
        <v>0</v>
      </c>
      <c r="BE941" s="55">
        <v>0</v>
      </c>
      <c r="BF941" s="55">
        <f>K941</f>
        <v>0</v>
      </c>
      <c r="BH941" s="55">
        <f>G941*AO941</f>
        <v>0</v>
      </c>
      <c r="BI941" s="55">
        <f>G941*AP941</f>
        <v>0</v>
      </c>
      <c r="BJ941" s="55">
        <f>G941*H941</f>
        <v>0</v>
      </c>
      <c r="BK941" s="55"/>
      <c r="BL941" s="55">
        <v>764</v>
      </c>
      <c r="BW941" s="55">
        <v>21</v>
      </c>
    </row>
    <row r="942" spans="1:12" ht="14.4">
      <c r="A942" s="59"/>
      <c r="D942" s="60" t="s">
        <v>1899</v>
      </c>
      <c r="E942" s="60" t="s">
        <v>4</v>
      </c>
      <c r="G942" s="68">
        <v>1.46</v>
      </c>
      <c r="L942" s="69"/>
    </row>
    <row r="943" spans="1:47" ht="14.4">
      <c r="A943" s="50" t="s">
        <v>4</v>
      </c>
      <c r="B943" s="51" t="s">
        <v>116</v>
      </c>
      <c r="C943" s="51" t="s">
        <v>1900</v>
      </c>
      <c r="D943" s="222" t="s">
        <v>1901</v>
      </c>
      <c r="E943" s="223"/>
      <c r="F943" s="52" t="s">
        <v>79</v>
      </c>
      <c r="G943" s="52" t="s">
        <v>79</v>
      </c>
      <c r="H943" s="53" t="s">
        <v>79</v>
      </c>
      <c r="I943" s="27">
        <f>SUM(I944:I1048)</f>
        <v>0</v>
      </c>
      <c r="J943" s="34" t="s">
        <v>4</v>
      </c>
      <c r="K943" s="27">
        <f>SUM(K944:K1048)</f>
        <v>2.676819000000001</v>
      </c>
      <c r="L943" s="54" t="s">
        <v>4</v>
      </c>
      <c r="AI943" s="34" t="s">
        <v>116</v>
      </c>
      <c r="AS943" s="27">
        <f>SUM(AJ944:AJ1048)</f>
        <v>0</v>
      </c>
      <c r="AT943" s="27">
        <f>SUM(AK944:AK1048)</f>
        <v>0</v>
      </c>
      <c r="AU943" s="27">
        <f>SUM(AL944:AL1048)</f>
        <v>0</v>
      </c>
    </row>
    <row r="944" spans="1:75" ht="13.5" customHeight="1">
      <c r="A944" s="1" t="s">
        <v>1902</v>
      </c>
      <c r="B944" s="2" t="s">
        <v>116</v>
      </c>
      <c r="C944" s="2" t="s">
        <v>1903</v>
      </c>
      <c r="D944" s="147" t="s">
        <v>1904</v>
      </c>
      <c r="E944" s="148"/>
      <c r="F944" s="2" t="s">
        <v>374</v>
      </c>
      <c r="G944" s="55">
        <v>1</v>
      </c>
      <c r="H944" s="56">
        <v>0</v>
      </c>
      <c r="I944" s="55">
        <f>G944*H944</f>
        <v>0</v>
      </c>
      <c r="J944" s="55">
        <v>0.161</v>
      </c>
      <c r="K944" s="55">
        <f>G944*J944</f>
        <v>0.161</v>
      </c>
      <c r="L944" s="57" t="s">
        <v>124</v>
      </c>
      <c r="Z944" s="55">
        <f>IF(AQ944="5",BJ944,0)</f>
        <v>0</v>
      </c>
      <c r="AB944" s="55">
        <f>IF(AQ944="1",BH944,0)</f>
        <v>0</v>
      </c>
      <c r="AC944" s="55">
        <f>IF(AQ944="1",BI944,0)</f>
        <v>0</v>
      </c>
      <c r="AD944" s="55">
        <f>IF(AQ944="7",BH944,0)</f>
        <v>0</v>
      </c>
      <c r="AE944" s="55">
        <f>IF(AQ944="7",BI944,0)</f>
        <v>0</v>
      </c>
      <c r="AF944" s="55">
        <f>IF(AQ944="2",BH944,0)</f>
        <v>0</v>
      </c>
      <c r="AG944" s="55">
        <f>IF(AQ944="2",BI944,0)</f>
        <v>0</v>
      </c>
      <c r="AH944" s="55">
        <f>IF(AQ944="0",BJ944,0)</f>
        <v>0</v>
      </c>
      <c r="AI944" s="34" t="s">
        <v>116</v>
      </c>
      <c r="AJ944" s="55">
        <f>IF(AN944=0,I944,0)</f>
        <v>0</v>
      </c>
      <c r="AK944" s="55">
        <f>IF(AN944=12,I944,0)</f>
        <v>0</v>
      </c>
      <c r="AL944" s="55">
        <f>IF(AN944=21,I944,0)</f>
        <v>0</v>
      </c>
      <c r="AN944" s="55">
        <v>21</v>
      </c>
      <c r="AO944" s="55">
        <f>H944*0.894117647</f>
        <v>0</v>
      </c>
      <c r="AP944" s="55">
        <f>H944*(1-0.894117647)</f>
        <v>0</v>
      </c>
      <c r="AQ944" s="58" t="s">
        <v>125</v>
      </c>
      <c r="AV944" s="55">
        <f>AW944+AX944</f>
        <v>0</v>
      </c>
      <c r="AW944" s="55">
        <f>G944*AO944</f>
        <v>0</v>
      </c>
      <c r="AX944" s="55">
        <f>G944*AP944</f>
        <v>0</v>
      </c>
      <c r="AY944" s="58" t="s">
        <v>1905</v>
      </c>
      <c r="AZ944" s="58" t="s">
        <v>1669</v>
      </c>
      <c r="BA944" s="34" t="s">
        <v>128</v>
      </c>
      <c r="BB944" s="67">
        <v>100007</v>
      </c>
      <c r="BC944" s="55">
        <f>AW944+AX944</f>
        <v>0</v>
      </c>
      <c r="BD944" s="55">
        <f>H944/(100-BE944)*100</f>
        <v>0</v>
      </c>
      <c r="BE944" s="55">
        <v>0</v>
      </c>
      <c r="BF944" s="55">
        <f>K944</f>
        <v>0.161</v>
      </c>
      <c r="BH944" s="55">
        <f>G944*AO944</f>
        <v>0</v>
      </c>
      <c r="BI944" s="55">
        <f>G944*AP944</f>
        <v>0</v>
      </c>
      <c r="BJ944" s="55">
        <f>G944*H944</f>
        <v>0</v>
      </c>
      <c r="BK944" s="55"/>
      <c r="BL944" s="55">
        <v>766</v>
      </c>
      <c r="BW944" s="55">
        <v>21</v>
      </c>
    </row>
    <row r="945" spans="1:12" ht="13.5" customHeight="1">
      <c r="A945" s="59"/>
      <c r="D945" s="218" t="s">
        <v>1906</v>
      </c>
      <c r="E945" s="219"/>
      <c r="F945" s="219"/>
      <c r="G945" s="219"/>
      <c r="H945" s="220"/>
      <c r="I945" s="219"/>
      <c r="J945" s="219"/>
      <c r="K945" s="219"/>
      <c r="L945" s="221"/>
    </row>
    <row r="946" spans="1:12" ht="14.4">
      <c r="A946" s="59"/>
      <c r="D946" s="60" t="s">
        <v>120</v>
      </c>
      <c r="E946" s="60" t="s">
        <v>4</v>
      </c>
      <c r="G946" s="68">
        <v>1</v>
      </c>
      <c r="L946" s="69"/>
    </row>
    <row r="947" spans="1:75" ht="13.5" customHeight="1">
      <c r="A947" s="1" t="s">
        <v>1907</v>
      </c>
      <c r="B947" s="2" t="s">
        <v>116</v>
      </c>
      <c r="C947" s="2" t="s">
        <v>1908</v>
      </c>
      <c r="D947" s="147" t="s">
        <v>1909</v>
      </c>
      <c r="E947" s="148"/>
      <c r="F947" s="2" t="s">
        <v>174</v>
      </c>
      <c r="G947" s="55">
        <v>13.3</v>
      </c>
      <c r="H947" s="56">
        <v>0</v>
      </c>
      <c r="I947" s="55">
        <f>G947*H947</f>
        <v>0</v>
      </c>
      <c r="J947" s="55">
        <v>3E-05</v>
      </c>
      <c r="K947" s="55">
        <f>G947*J947</f>
        <v>0.00039900000000000005</v>
      </c>
      <c r="L947" s="57" t="s">
        <v>124</v>
      </c>
      <c r="Z947" s="55">
        <f>IF(AQ947="5",BJ947,0)</f>
        <v>0</v>
      </c>
      <c r="AB947" s="55">
        <f>IF(AQ947="1",BH947,0)</f>
        <v>0</v>
      </c>
      <c r="AC947" s="55">
        <f>IF(AQ947="1",BI947,0)</f>
        <v>0</v>
      </c>
      <c r="AD947" s="55">
        <f>IF(AQ947="7",BH947,0)</f>
        <v>0</v>
      </c>
      <c r="AE947" s="55">
        <f>IF(AQ947="7",BI947,0)</f>
        <v>0</v>
      </c>
      <c r="AF947" s="55">
        <f>IF(AQ947="2",BH947,0)</f>
        <v>0</v>
      </c>
      <c r="AG947" s="55">
        <f>IF(AQ947="2",BI947,0)</f>
        <v>0</v>
      </c>
      <c r="AH947" s="55">
        <f>IF(AQ947="0",BJ947,0)</f>
        <v>0</v>
      </c>
      <c r="AI947" s="34" t="s">
        <v>116</v>
      </c>
      <c r="AJ947" s="55">
        <f>IF(AN947=0,I947,0)</f>
        <v>0</v>
      </c>
      <c r="AK947" s="55">
        <f>IF(AN947=12,I947,0)</f>
        <v>0</v>
      </c>
      <c r="AL947" s="55">
        <f>IF(AN947=21,I947,0)</f>
        <v>0</v>
      </c>
      <c r="AN947" s="55">
        <v>21</v>
      </c>
      <c r="AO947" s="55">
        <f>H947*0.032727273</f>
        <v>0</v>
      </c>
      <c r="AP947" s="55">
        <f>H947*(1-0.032727273)</f>
        <v>0</v>
      </c>
      <c r="AQ947" s="58" t="s">
        <v>125</v>
      </c>
      <c r="AV947" s="55">
        <f>AW947+AX947</f>
        <v>0</v>
      </c>
      <c r="AW947" s="55">
        <f>G947*AO947</f>
        <v>0</v>
      </c>
      <c r="AX947" s="55">
        <f>G947*AP947</f>
        <v>0</v>
      </c>
      <c r="AY947" s="58" t="s">
        <v>1905</v>
      </c>
      <c r="AZ947" s="58" t="s">
        <v>1669</v>
      </c>
      <c r="BA947" s="34" t="s">
        <v>128</v>
      </c>
      <c r="BB947" s="67">
        <v>100007</v>
      </c>
      <c r="BC947" s="55">
        <f>AW947+AX947</f>
        <v>0</v>
      </c>
      <c r="BD947" s="55">
        <f>H947/(100-BE947)*100</f>
        <v>0</v>
      </c>
      <c r="BE947" s="55">
        <v>0</v>
      </c>
      <c r="BF947" s="55">
        <f>K947</f>
        <v>0.00039900000000000005</v>
      </c>
      <c r="BH947" s="55">
        <f>G947*AO947</f>
        <v>0</v>
      </c>
      <c r="BI947" s="55">
        <f>G947*AP947</f>
        <v>0</v>
      </c>
      <c r="BJ947" s="55">
        <f>G947*H947</f>
        <v>0</v>
      </c>
      <c r="BK947" s="55"/>
      <c r="BL947" s="55">
        <v>766</v>
      </c>
      <c r="BW947" s="55">
        <v>21</v>
      </c>
    </row>
    <row r="948" spans="1:12" ht="13.5" customHeight="1">
      <c r="A948" s="59"/>
      <c r="D948" s="218" t="s">
        <v>1910</v>
      </c>
      <c r="E948" s="219"/>
      <c r="F948" s="219"/>
      <c r="G948" s="219"/>
      <c r="H948" s="220"/>
      <c r="I948" s="219"/>
      <c r="J948" s="219"/>
      <c r="K948" s="219"/>
      <c r="L948" s="221"/>
    </row>
    <row r="949" spans="1:12" ht="14.4">
      <c r="A949" s="59"/>
      <c r="D949" s="60" t="s">
        <v>1911</v>
      </c>
      <c r="E949" s="60" t="s">
        <v>4</v>
      </c>
      <c r="G949" s="68">
        <v>13.3</v>
      </c>
      <c r="L949" s="69"/>
    </row>
    <row r="950" spans="1:75" ht="13.5" customHeight="1">
      <c r="A950" s="61" t="s">
        <v>1912</v>
      </c>
      <c r="B950" s="62" t="s">
        <v>116</v>
      </c>
      <c r="C950" s="62" t="s">
        <v>1913</v>
      </c>
      <c r="D950" s="224" t="s">
        <v>1914</v>
      </c>
      <c r="E950" s="225"/>
      <c r="F950" s="62" t="s">
        <v>174</v>
      </c>
      <c r="G950" s="63">
        <v>10</v>
      </c>
      <c r="H950" s="64">
        <v>0</v>
      </c>
      <c r="I950" s="63">
        <f>G950*H950</f>
        <v>0</v>
      </c>
      <c r="J950" s="63">
        <v>0.008</v>
      </c>
      <c r="K950" s="63">
        <f>G950*J950</f>
        <v>0.08</v>
      </c>
      <c r="L950" s="65" t="s">
        <v>124</v>
      </c>
      <c r="Z950" s="55">
        <f>IF(AQ950="5",BJ950,0)</f>
        <v>0</v>
      </c>
      <c r="AB950" s="55">
        <f>IF(AQ950="1",BH950,0)</f>
        <v>0</v>
      </c>
      <c r="AC950" s="55">
        <f>IF(AQ950="1",BI950,0)</f>
        <v>0</v>
      </c>
      <c r="AD950" s="55">
        <f>IF(AQ950="7",BH950,0)</f>
        <v>0</v>
      </c>
      <c r="AE950" s="55">
        <f>IF(AQ950="7",BI950,0)</f>
        <v>0</v>
      </c>
      <c r="AF950" s="55">
        <f>IF(AQ950="2",BH950,0)</f>
        <v>0</v>
      </c>
      <c r="AG950" s="55">
        <f>IF(AQ950="2",BI950,0)</f>
        <v>0</v>
      </c>
      <c r="AH950" s="55">
        <f>IF(AQ950="0",BJ950,0)</f>
        <v>0</v>
      </c>
      <c r="AI950" s="34" t="s">
        <v>116</v>
      </c>
      <c r="AJ950" s="63">
        <f>IF(AN950=0,I950,0)</f>
        <v>0</v>
      </c>
      <c r="AK950" s="63">
        <f>IF(AN950=12,I950,0)</f>
        <v>0</v>
      </c>
      <c r="AL950" s="63">
        <f>IF(AN950=21,I950,0)</f>
        <v>0</v>
      </c>
      <c r="AN950" s="55">
        <v>21</v>
      </c>
      <c r="AO950" s="55">
        <f>H950*1</f>
        <v>0</v>
      </c>
      <c r="AP950" s="55">
        <f>H950*(1-1)</f>
        <v>0</v>
      </c>
      <c r="AQ950" s="66" t="s">
        <v>125</v>
      </c>
      <c r="AV950" s="55">
        <f>AW950+AX950</f>
        <v>0</v>
      </c>
      <c r="AW950" s="55">
        <f>G950*AO950</f>
        <v>0</v>
      </c>
      <c r="AX950" s="55">
        <f>G950*AP950</f>
        <v>0</v>
      </c>
      <c r="AY950" s="58" t="s">
        <v>1905</v>
      </c>
      <c r="AZ950" s="58" t="s">
        <v>1669</v>
      </c>
      <c r="BA950" s="34" t="s">
        <v>128</v>
      </c>
      <c r="BC950" s="55">
        <f>AW950+AX950</f>
        <v>0</v>
      </c>
      <c r="BD950" s="55">
        <f>H950/(100-BE950)*100</f>
        <v>0</v>
      </c>
      <c r="BE950" s="55">
        <v>0</v>
      </c>
      <c r="BF950" s="55">
        <f>K950</f>
        <v>0.08</v>
      </c>
      <c r="BH950" s="63">
        <f>G950*AO950</f>
        <v>0</v>
      </c>
      <c r="BI950" s="63">
        <f>G950*AP950</f>
        <v>0</v>
      </c>
      <c r="BJ950" s="63">
        <f>G950*H950</f>
        <v>0</v>
      </c>
      <c r="BK950" s="63"/>
      <c r="BL950" s="55">
        <v>766</v>
      </c>
      <c r="BW950" s="55">
        <v>21</v>
      </c>
    </row>
    <row r="951" spans="1:12" ht="14.4">
      <c r="A951" s="59"/>
      <c r="D951" s="60" t="s">
        <v>1915</v>
      </c>
      <c r="E951" s="60" t="s">
        <v>4</v>
      </c>
      <c r="G951" s="68">
        <v>10</v>
      </c>
      <c r="L951" s="69"/>
    </row>
    <row r="952" spans="1:75" ht="13.5" customHeight="1">
      <c r="A952" s="61" t="s">
        <v>1916</v>
      </c>
      <c r="B952" s="62" t="s">
        <v>116</v>
      </c>
      <c r="C952" s="62" t="s">
        <v>1913</v>
      </c>
      <c r="D952" s="224" t="s">
        <v>1917</v>
      </c>
      <c r="E952" s="225"/>
      <c r="F952" s="62" t="s">
        <v>174</v>
      </c>
      <c r="G952" s="63">
        <v>3.3</v>
      </c>
      <c r="H952" s="64">
        <v>0</v>
      </c>
      <c r="I952" s="63">
        <f>G952*H952</f>
        <v>0</v>
      </c>
      <c r="J952" s="63">
        <v>0.008</v>
      </c>
      <c r="K952" s="63">
        <f>G952*J952</f>
        <v>0.0264</v>
      </c>
      <c r="L952" s="65" t="s">
        <v>124</v>
      </c>
      <c r="Z952" s="55">
        <f>IF(AQ952="5",BJ952,0)</f>
        <v>0</v>
      </c>
      <c r="AB952" s="55">
        <f>IF(AQ952="1",BH952,0)</f>
        <v>0</v>
      </c>
      <c r="AC952" s="55">
        <f>IF(AQ952="1",BI952,0)</f>
        <v>0</v>
      </c>
      <c r="AD952" s="55">
        <f>IF(AQ952="7",BH952,0)</f>
        <v>0</v>
      </c>
      <c r="AE952" s="55">
        <f>IF(AQ952="7",BI952,0)</f>
        <v>0</v>
      </c>
      <c r="AF952" s="55">
        <f>IF(AQ952="2",BH952,0)</f>
        <v>0</v>
      </c>
      <c r="AG952" s="55">
        <f>IF(AQ952="2",BI952,0)</f>
        <v>0</v>
      </c>
      <c r="AH952" s="55">
        <f>IF(AQ952="0",BJ952,0)</f>
        <v>0</v>
      </c>
      <c r="AI952" s="34" t="s">
        <v>116</v>
      </c>
      <c r="AJ952" s="63">
        <f>IF(AN952=0,I952,0)</f>
        <v>0</v>
      </c>
      <c r="AK952" s="63">
        <f>IF(AN952=12,I952,0)</f>
        <v>0</v>
      </c>
      <c r="AL952" s="63">
        <f>IF(AN952=21,I952,0)</f>
        <v>0</v>
      </c>
      <c r="AN952" s="55">
        <v>21</v>
      </c>
      <c r="AO952" s="55">
        <f>H952*1</f>
        <v>0</v>
      </c>
      <c r="AP952" s="55">
        <f>H952*(1-1)</f>
        <v>0</v>
      </c>
      <c r="AQ952" s="66" t="s">
        <v>125</v>
      </c>
      <c r="AV952" s="55">
        <f>AW952+AX952</f>
        <v>0</v>
      </c>
      <c r="AW952" s="55">
        <f>G952*AO952</f>
        <v>0</v>
      </c>
      <c r="AX952" s="55">
        <f>G952*AP952</f>
        <v>0</v>
      </c>
      <c r="AY952" s="58" t="s">
        <v>1905</v>
      </c>
      <c r="AZ952" s="58" t="s">
        <v>1669</v>
      </c>
      <c r="BA952" s="34" t="s">
        <v>128</v>
      </c>
      <c r="BC952" s="55">
        <f>AW952+AX952</f>
        <v>0</v>
      </c>
      <c r="BD952" s="55">
        <f>H952/(100-BE952)*100</f>
        <v>0</v>
      </c>
      <c r="BE952" s="55">
        <v>0</v>
      </c>
      <c r="BF952" s="55">
        <f>K952</f>
        <v>0.0264</v>
      </c>
      <c r="BH952" s="63">
        <f>G952*AO952</f>
        <v>0</v>
      </c>
      <c r="BI952" s="63">
        <f>G952*AP952</f>
        <v>0</v>
      </c>
      <c r="BJ952" s="63">
        <f>G952*H952</f>
        <v>0</v>
      </c>
      <c r="BK952" s="63"/>
      <c r="BL952" s="55">
        <v>766</v>
      </c>
      <c r="BW952" s="55">
        <v>21</v>
      </c>
    </row>
    <row r="953" spans="1:12" ht="14.4">
      <c r="A953" s="59"/>
      <c r="D953" s="60" t="s">
        <v>1918</v>
      </c>
      <c r="E953" s="60" t="s">
        <v>4</v>
      </c>
      <c r="G953" s="68">
        <v>3.3</v>
      </c>
      <c r="L953" s="69"/>
    </row>
    <row r="954" spans="1:75" ht="13.5" customHeight="1">
      <c r="A954" s="1" t="s">
        <v>1919</v>
      </c>
      <c r="B954" s="2" t="s">
        <v>116</v>
      </c>
      <c r="C954" s="2" t="s">
        <v>1920</v>
      </c>
      <c r="D954" s="147" t="s">
        <v>1921</v>
      </c>
      <c r="E954" s="148"/>
      <c r="F954" s="2" t="s">
        <v>374</v>
      </c>
      <c r="G954" s="55">
        <v>8</v>
      </c>
      <c r="H954" s="56">
        <v>0</v>
      </c>
      <c r="I954" s="55">
        <f>G954*H954</f>
        <v>0</v>
      </c>
      <c r="J954" s="55">
        <v>0.04589</v>
      </c>
      <c r="K954" s="55">
        <f>G954*J954</f>
        <v>0.36712</v>
      </c>
      <c r="L954" s="57" t="s">
        <v>124</v>
      </c>
      <c r="Z954" s="55">
        <f>IF(AQ954="5",BJ954,0)</f>
        <v>0</v>
      </c>
      <c r="AB954" s="55">
        <f>IF(AQ954="1",BH954,0)</f>
        <v>0</v>
      </c>
      <c r="AC954" s="55">
        <f>IF(AQ954="1",BI954,0)</f>
        <v>0</v>
      </c>
      <c r="AD954" s="55">
        <f>IF(AQ954="7",BH954,0)</f>
        <v>0</v>
      </c>
      <c r="AE954" s="55">
        <f>IF(AQ954="7",BI954,0)</f>
        <v>0</v>
      </c>
      <c r="AF954" s="55">
        <f>IF(AQ954="2",BH954,0)</f>
        <v>0</v>
      </c>
      <c r="AG954" s="55">
        <f>IF(AQ954="2",BI954,0)</f>
        <v>0</v>
      </c>
      <c r="AH954" s="55">
        <f>IF(AQ954="0",BJ954,0)</f>
        <v>0</v>
      </c>
      <c r="AI954" s="34" t="s">
        <v>116</v>
      </c>
      <c r="AJ954" s="55">
        <f>IF(AN954=0,I954,0)</f>
        <v>0</v>
      </c>
      <c r="AK954" s="55">
        <f>IF(AN954=12,I954,0)</f>
        <v>0</v>
      </c>
      <c r="AL954" s="55">
        <f>IF(AN954=21,I954,0)</f>
        <v>0</v>
      </c>
      <c r="AN954" s="55">
        <v>21</v>
      </c>
      <c r="AO954" s="55">
        <f>H954*0.937927176</f>
        <v>0</v>
      </c>
      <c r="AP954" s="55">
        <f>H954*(1-0.937927176)</f>
        <v>0</v>
      </c>
      <c r="AQ954" s="58" t="s">
        <v>125</v>
      </c>
      <c r="AV954" s="55">
        <f>AW954+AX954</f>
        <v>0</v>
      </c>
      <c r="AW954" s="55">
        <f>G954*AO954</f>
        <v>0</v>
      </c>
      <c r="AX954" s="55">
        <f>G954*AP954</f>
        <v>0</v>
      </c>
      <c r="AY954" s="58" t="s">
        <v>1905</v>
      </c>
      <c r="AZ954" s="58" t="s">
        <v>1669</v>
      </c>
      <c r="BA954" s="34" t="s">
        <v>128</v>
      </c>
      <c r="BB954" s="67">
        <v>100007</v>
      </c>
      <c r="BC954" s="55">
        <f>AW954+AX954</f>
        <v>0</v>
      </c>
      <c r="BD954" s="55">
        <f>H954/(100-BE954)*100</f>
        <v>0</v>
      </c>
      <c r="BE954" s="55">
        <v>0</v>
      </c>
      <c r="BF954" s="55">
        <f>K954</f>
        <v>0.36712</v>
      </c>
      <c r="BH954" s="55">
        <f>G954*AO954</f>
        <v>0</v>
      </c>
      <c r="BI954" s="55">
        <f>G954*AP954</f>
        <v>0</v>
      </c>
      <c r="BJ954" s="55">
        <f>G954*H954</f>
        <v>0</v>
      </c>
      <c r="BK954" s="55"/>
      <c r="BL954" s="55">
        <v>766</v>
      </c>
      <c r="BW954" s="55">
        <v>21</v>
      </c>
    </row>
    <row r="955" spans="1:12" ht="13.5" customHeight="1">
      <c r="A955" s="59"/>
      <c r="D955" s="218" t="s">
        <v>1922</v>
      </c>
      <c r="E955" s="219"/>
      <c r="F955" s="219"/>
      <c r="G955" s="219"/>
      <c r="H955" s="220"/>
      <c r="I955" s="219"/>
      <c r="J955" s="219"/>
      <c r="K955" s="219"/>
      <c r="L955" s="221"/>
    </row>
    <row r="956" spans="1:12" ht="14.4">
      <c r="A956" s="59"/>
      <c r="D956" s="60" t="s">
        <v>147</v>
      </c>
      <c r="E956" s="60" t="s">
        <v>4</v>
      </c>
      <c r="G956" s="68">
        <v>8</v>
      </c>
      <c r="L956" s="69"/>
    </row>
    <row r="957" spans="1:75" ht="13.5" customHeight="1">
      <c r="A957" s="1" t="s">
        <v>1923</v>
      </c>
      <c r="B957" s="2" t="s">
        <v>116</v>
      </c>
      <c r="C957" s="2" t="s">
        <v>1924</v>
      </c>
      <c r="D957" s="147" t="s">
        <v>1925</v>
      </c>
      <c r="E957" s="148"/>
      <c r="F957" s="2" t="s">
        <v>374</v>
      </c>
      <c r="G957" s="55">
        <v>5</v>
      </c>
      <c r="H957" s="56">
        <v>0</v>
      </c>
      <c r="I957" s="55">
        <f>G957*H957</f>
        <v>0</v>
      </c>
      <c r="J957" s="55">
        <v>0.00028</v>
      </c>
      <c r="K957" s="55">
        <f>G957*J957</f>
        <v>0.0013999999999999998</v>
      </c>
      <c r="L957" s="57" t="s">
        <v>785</v>
      </c>
      <c r="Z957" s="55">
        <f>IF(AQ957="5",BJ957,0)</f>
        <v>0</v>
      </c>
      <c r="AB957" s="55">
        <f>IF(AQ957="1",BH957,0)</f>
        <v>0</v>
      </c>
      <c r="AC957" s="55">
        <f>IF(AQ957="1",BI957,0)</f>
        <v>0</v>
      </c>
      <c r="AD957" s="55">
        <f>IF(AQ957="7",BH957,0)</f>
        <v>0</v>
      </c>
      <c r="AE957" s="55">
        <f>IF(AQ957="7",BI957,0)</f>
        <v>0</v>
      </c>
      <c r="AF957" s="55">
        <f>IF(AQ957="2",BH957,0)</f>
        <v>0</v>
      </c>
      <c r="AG957" s="55">
        <f>IF(AQ957="2",BI957,0)</f>
        <v>0</v>
      </c>
      <c r="AH957" s="55">
        <f>IF(AQ957="0",BJ957,0)</f>
        <v>0</v>
      </c>
      <c r="AI957" s="34" t="s">
        <v>116</v>
      </c>
      <c r="AJ957" s="55">
        <f>IF(AN957=0,I957,0)</f>
        <v>0</v>
      </c>
      <c r="AK957" s="55">
        <f>IF(AN957=12,I957,0)</f>
        <v>0</v>
      </c>
      <c r="AL957" s="55">
        <f>IF(AN957=21,I957,0)</f>
        <v>0</v>
      </c>
      <c r="AN957" s="55">
        <v>21</v>
      </c>
      <c r="AO957" s="55">
        <f>H957*0.026666667</f>
        <v>0</v>
      </c>
      <c r="AP957" s="55">
        <f>H957*(1-0.026666667)</f>
        <v>0</v>
      </c>
      <c r="AQ957" s="58" t="s">
        <v>125</v>
      </c>
      <c r="AV957" s="55">
        <f>AW957+AX957</f>
        <v>0</v>
      </c>
      <c r="AW957" s="55">
        <f>G957*AO957</f>
        <v>0</v>
      </c>
      <c r="AX957" s="55">
        <f>G957*AP957</f>
        <v>0</v>
      </c>
      <c r="AY957" s="58" t="s">
        <v>1905</v>
      </c>
      <c r="AZ957" s="58" t="s">
        <v>1669</v>
      </c>
      <c r="BA957" s="34" t="s">
        <v>128</v>
      </c>
      <c r="BB957" s="67">
        <v>100007</v>
      </c>
      <c r="BC957" s="55">
        <f>AW957+AX957</f>
        <v>0</v>
      </c>
      <c r="BD957" s="55">
        <f>H957/(100-BE957)*100</f>
        <v>0</v>
      </c>
      <c r="BE957" s="55">
        <v>0</v>
      </c>
      <c r="BF957" s="55">
        <f>K957</f>
        <v>0.0013999999999999998</v>
      </c>
      <c r="BH957" s="55">
        <f>G957*AO957</f>
        <v>0</v>
      </c>
      <c r="BI957" s="55">
        <f>G957*AP957</f>
        <v>0</v>
      </c>
      <c r="BJ957" s="55">
        <f>G957*H957</f>
        <v>0</v>
      </c>
      <c r="BK957" s="55"/>
      <c r="BL957" s="55">
        <v>766</v>
      </c>
      <c r="BW957" s="55">
        <v>21</v>
      </c>
    </row>
    <row r="958" spans="1:12" ht="14.4">
      <c r="A958" s="59"/>
      <c r="D958" s="60" t="s">
        <v>139</v>
      </c>
      <c r="E958" s="60" t="s">
        <v>4</v>
      </c>
      <c r="G958" s="68">
        <v>5</v>
      </c>
      <c r="L958" s="69"/>
    </row>
    <row r="959" spans="1:75" ht="27" customHeight="1">
      <c r="A959" s="1" t="s">
        <v>1926</v>
      </c>
      <c r="B959" s="2" t="s">
        <v>116</v>
      </c>
      <c r="C959" s="2" t="s">
        <v>1927</v>
      </c>
      <c r="D959" s="147" t="s">
        <v>1928</v>
      </c>
      <c r="E959" s="148"/>
      <c r="F959" s="2" t="s">
        <v>123</v>
      </c>
      <c r="G959" s="55">
        <v>3</v>
      </c>
      <c r="H959" s="56">
        <v>0</v>
      </c>
      <c r="I959" s="55">
        <f>G959*H959</f>
        <v>0</v>
      </c>
      <c r="J959" s="55">
        <v>0.067</v>
      </c>
      <c r="K959" s="55">
        <f>G959*J959</f>
        <v>0.201</v>
      </c>
      <c r="L959" s="57" t="s">
        <v>124</v>
      </c>
      <c r="Z959" s="55">
        <f>IF(AQ959="5",BJ959,0)</f>
        <v>0</v>
      </c>
      <c r="AB959" s="55">
        <f>IF(AQ959="1",BH959,0)</f>
        <v>0</v>
      </c>
      <c r="AC959" s="55">
        <f>IF(AQ959="1",BI959,0)</f>
        <v>0</v>
      </c>
      <c r="AD959" s="55">
        <f>IF(AQ959="7",BH959,0)</f>
        <v>0</v>
      </c>
      <c r="AE959" s="55">
        <f>IF(AQ959="7",BI959,0)</f>
        <v>0</v>
      </c>
      <c r="AF959" s="55">
        <f>IF(AQ959="2",BH959,0)</f>
        <v>0</v>
      </c>
      <c r="AG959" s="55">
        <f>IF(AQ959="2",BI959,0)</f>
        <v>0</v>
      </c>
      <c r="AH959" s="55">
        <f>IF(AQ959="0",BJ959,0)</f>
        <v>0</v>
      </c>
      <c r="AI959" s="34" t="s">
        <v>116</v>
      </c>
      <c r="AJ959" s="55">
        <f>IF(AN959=0,I959,0)</f>
        <v>0</v>
      </c>
      <c r="AK959" s="55">
        <f>IF(AN959=12,I959,0)</f>
        <v>0</v>
      </c>
      <c r="AL959" s="55">
        <f>IF(AN959=21,I959,0)</f>
        <v>0</v>
      </c>
      <c r="AN959" s="55">
        <v>21</v>
      </c>
      <c r="AO959" s="55">
        <f>H959*0.884476534</f>
        <v>0</v>
      </c>
      <c r="AP959" s="55">
        <f>H959*(1-0.884476534)</f>
        <v>0</v>
      </c>
      <c r="AQ959" s="58" t="s">
        <v>125</v>
      </c>
      <c r="AV959" s="55">
        <f>AW959+AX959</f>
        <v>0</v>
      </c>
      <c r="AW959" s="55">
        <f>G959*AO959</f>
        <v>0</v>
      </c>
      <c r="AX959" s="55">
        <f>G959*AP959</f>
        <v>0</v>
      </c>
      <c r="AY959" s="58" t="s">
        <v>1905</v>
      </c>
      <c r="AZ959" s="58" t="s">
        <v>1669</v>
      </c>
      <c r="BA959" s="34" t="s">
        <v>128</v>
      </c>
      <c r="BB959" s="67">
        <v>100007</v>
      </c>
      <c r="BC959" s="55">
        <f>AW959+AX959</f>
        <v>0</v>
      </c>
      <c r="BD959" s="55">
        <f>H959/(100-BE959)*100</f>
        <v>0</v>
      </c>
      <c r="BE959" s="55">
        <v>0</v>
      </c>
      <c r="BF959" s="55">
        <f>K959</f>
        <v>0.201</v>
      </c>
      <c r="BH959" s="55">
        <f>G959*AO959</f>
        <v>0</v>
      </c>
      <c r="BI959" s="55">
        <f>G959*AP959</f>
        <v>0</v>
      </c>
      <c r="BJ959" s="55">
        <f>G959*H959</f>
        <v>0</v>
      </c>
      <c r="BK959" s="55"/>
      <c r="BL959" s="55">
        <v>766</v>
      </c>
      <c r="BW959" s="55">
        <v>21</v>
      </c>
    </row>
    <row r="960" spans="1:12" ht="13.5" customHeight="1">
      <c r="A960" s="59"/>
      <c r="D960" s="218" t="s">
        <v>1929</v>
      </c>
      <c r="E960" s="219"/>
      <c r="F960" s="219"/>
      <c r="G960" s="219"/>
      <c r="H960" s="220"/>
      <c r="I960" s="219"/>
      <c r="J960" s="219"/>
      <c r="K960" s="219"/>
      <c r="L960" s="221"/>
    </row>
    <row r="961" spans="1:12" ht="14.4">
      <c r="A961" s="59"/>
      <c r="D961" s="60" t="s">
        <v>133</v>
      </c>
      <c r="E961" s="60" t="s">
        <v>4</v>
      </c>
      <c r="G961" s="68">
        <v>3</v>
      </c>
      <c r="L961" s="69"/>
    </row>
    <row r="962" spans="1:75" ht="13.5" customHeight="1">
      <c r="A962" s="61" t="s">
        <v>1930</v>
      </c>
      <c r="B962" s="62" t="s">
        <v>116</v>
      </c>
      <c r="C962" s="62" t="s">
        <v>1931</v>
      </c>
      <c r="D962" s="224" t="s">
        <v>1932</v>
      </c>
      <c r="E962" s="225"/>
      <c r="F962" s="62" t="s">
        <v>374</v>
      </c>
      <c r="G962" s="63">
        <v>5</v>
      </c>
      <c r="H962" s="64">
        <v>0</v>
      </c>
      <c r="I962" s="63">
        <f>G962*H962</f>
        <v>0</v>
      </c>
      <c r="J962" s="63">
        <v>0.0009</v>
      </c>
      <c r="K962" s="63">
        <f>G962*J962</f>
        <v>0.0045</v>
      </c>
      <c r="L962" s="65" t="s">
        <v>785</v>
      </c>
      <c r="Z962" s="55">
        <f>IF(AQ962="5",BJ962,0)</f>
        <v>0</v>
      </c>
      <c r="AB962" s="55">
        <f>IF(AQ962="1",BH962,0)</f>
        <v>0</v>
      </c>
      <c r="AC962" s="55">
        <f>IF(AQ962="1",BI962,0)</f>
        <v>0</v>
      </c>
      <c r="AD962" s="55">
        <f>IF(AQ962="7",BH962,0)</f>
        <v>0</v>
      </c>
      <c r="AE962" s="55">
        <f>IF(AQ962="7",BI962,0)</f>
        <v>0</v>
      </c>
      <c r="AF962" s="55">
        <f>IF(AQ962="2",BH962,0)</f>
        <v>0</v>
      </c>
      <c r="AG962" s="55">
        <f>IF(AQ962="2",BI962,0)</f>
        <v>0</v>
      </c>
      <c r="AH962" s="55">
        <f>IF(AQ962="0",BJ962,0)</f>
        <v>0</v>
      </c>
      <c r="AI962" s="34" t="s">
        <v>116</v>
      </c>
      <c r="AJ962" s="63">
        <f>IF(AN962=0,I962,0)</f>
        <v>0</v>
      </c>
      <c r="AK962" s="63">
        <f>IF(AN962=12,I962,0)</f>
        <v>0</v>
      </c>
      <c r="AL962" s="63">
        <f>IF(AN962=21,I962,0)</f>
        <v>0</v>
      </c>
      <c r="AN962" s="55">
        <v>21</v>
      </c>
      <c r="AO962" s="55">
        <f>H962*1</f>
        <v>0</v>
      </c>
      <c r="AP962" s="55">
        <f>H962*(1-1)</f>
        <v>0</v>
      </c>
      <c r="AQ962" s="66" t="s">
        <v>125</v>
      </c>
      <c r="AV962" s="55">
        <f>AW962+AX962</f>
        <v>0</v>
      </c>
      <c r="AW962" s="55">
        <f>G962*AO962</f>
        <v>0</v>
      </c>
      <c r="AX962" s="55">
        <f>G962*AP962</f>
        <v>0</v>
      </c>
      <c r="AY962" s="58" t="s">
        <v>1905</v>
      </c>
      <c r="AZ962" s="58" t="s">
        <v>1669</v>
      </c>
      <c r="BA962" s="34" t="s">
        <v>128</v>
      </c>
      <c r="BC962" s="55">
        <f>AW962+AX962</f>
        <v>0</v>
      </c>
      <c r="BD962" s="55">
        <f>H962/(100-BE962)*100</f>
        <v>0</v>
      </c>
      <c r="BE962" s="55">
        <v>0</v>
      </c>
      <c r="BF962" s="55">
        <f>K962</f>
        <v>0.0045</v>
      </c>
      <c r="BH962" s="63">
        <f>G962*AO962</f>
        <v>0</v>
      </c>
      <c r="BI962" s="63">
        <f>G962*AP962</f>
        <v>0</v>
      </c>
      <c r="BJ962" s="63">
        <f>G962*H962</f>
        <v>0</v>
      </c>
      <c r="BK962" s="63"/>
      <c r="BL962" s="55">
        <v>766</v>
      </c>
      <c r="BW962" s="55">
        <v>21</v>
      </c>
    </row>
    <row r="963" spans="1:12" ht="14.4">
      <c r="A963" s="59"/>
      <c r="D963" s="60" t="s">
        <v>139</v>
      </c>
      <c r="E963" s="60" t="s">
        <v>4</v>
      </c>
      <c r="G963" s="68">
        <v>5</v>
      </c>
      <c r="L963" s="69"/>
    </row>
    <row r="964" spans="1:75" ht="27" customHeight="1">
      <c r="A964" s="1" t="s">
        <v>1933</v>
      </c>
      <c r="B964" s="2" t="s">
        <v>116</v>
      </c>
      <c r="C964" s="2" t="s">
        <v>1934</v>
      </c>
      <c r="D964" s="147" t="s">
        <v>1935</v>
      </c>
      <c r="E964" s="148"/>
      <c r="F964" s="2" t="s">
        <v>123</v>
      </c>
      <c r="G964" s="55">
        <v>1</v>
      </c>
      <c r="H964" s="56">
        <v>0</v>
      </c>
      <c r="I964" s="55">
        <f>G964*H964</f>
        <v>0</v>
      </c>
      <c r="J964" s="55">
        <v>0.067</v>
      </c>
      <c r="K964" s="55">
        <f>G964*J964</f>
        <v>0.067</v>
      </c>
      <c r="L964" s="57" t="s">
        <v>124</v>
      </c>
      <c r="Z964" s="55">
        <f>IF(AQ964="5",BJ964,0)</f>
        <v>0</v>
      </c>
      <c r="AB964" s="55">
        <f>IF(AQ964="1",BH964,0)</f>
        <v>0</v>
      </c>
      <c r="AC964" s="55">
        <f>IF(AQ964="1",BI964,0)</f>
        <v>0</v>
      </c>
      <c r="AD964" s="55">
        <f>IF(AQ964="7",BH964,0)</f>
        <v>0</v>
      </c>
      <c r="AE964" s="55">
        <f>IF(AQ964="7",BI964,0)</f>
        <v>0</v>
      </c>
      <c r="AF964" s="55">
        <f>IF(AQ964="2",BH964,0)</f>
        <v>0</v>
      </c>
      <c r="AG964" s="55">
        <f>IF(AQ964="2",BI964,0)</f>
        <v>0</v>
      </c>
      <c r="AH964" s="55">
        <f>IF(AQ964="0",BJ964,0)</f>
        <v>0</v>
      </c>
      <c r="AI964" s="34" t="s">
        <v>116</v>
      </c>
      <c r="AJ964" s="55">
        <f>IF(AN964=0,I964,0)</f>
        <v>0</v>
      </c>
      <c r="AK964" s="55">
        <f>IF(AN964=12,I964,0)</f>
        <v>0</v>
      </c>
      <c r="AL964" s="55">
        <f>IF(AN964=21,I964,0)</f>
        <v>0</v>
      </c>
      <c r="AN964" s="55">
        <v>21</v>
      </c>
      <c r="AO964" s="55">
        <f>H964*0.855345912</f>
        <v>0</v>
      </c>
      <c r="AP964" s="55">
        <f>H964*(1-0.855345912)</f>
        <v>0</v>
      </c>
      <c r="AQ964" s="58" t="s">
        <v>125</v>
      </c>
      <c r="AV964" s="55">
        <f>AW964+AX964</f>
        <v>0</v>
      </c>
      <c r="AW964" s="55">
        <f>G964*AO964</f>
        <v>0</v>
      </c>
      <c r="AX964" s="55">
        <f>G964*AP964</f>
        <v>0</v>
      </c>
      <c r="AY964" s="58" t="s">
        <v>1905</v>
      </c>
      <c r="AZ964" s="58" t="s">
        <v>1669</v>
      </c>
      <c r="BA964" s="34" t="s">
        <v>128</v>
      </c>
      <c r="BB964" s="67">
        <v>100007</v>
      </c>
      <c r="BC964" s="55">
        <f>AW964+AX964</f>
        <v>0</v>
      </c>
      <c r="BD964" s="55">
        <f>H964/(100-BE964)*100</f>
        <v>0</v>
      </c>
      <c r="BE964" s="55">
        <v>0</v>
      </c>
      <c r="BF964" s="55">
        <f>K964</f>
        <v>0.067</v>
      </c>
      <c r="BH964" s="55">
        <f>G964*AO964</f>
        <v>0</v>
      </c>
      <c r="BI964" s="55">
        <f>G964*AP964</f>
        <v>0</v>
      </c>
      <c r="BJ964" s="55">
        <f>G964*H964</f>
        <v>0</v>
      </c>
      <c r="BK964" s="55"/>
      <c r="BL964" s="55">
        <v>766</v>
      </c>
      <c r="BW964" s="55">
        <v>21</v>
      </c>
    </row>
    <row r="965" spans="1:12" ht="13.5" customHeight="1">
      <c r="A965" s="59"/>
      <c r="D965" s="218" t="s">
        <v>1936</v>
      </c>
      <c r="E965" s="219"/>
      <c r="F965" s="219"/>
      <c r="G965" s="219"/>
      <c r="H965" s="220"/>
      <c r="I965" s="219"/>
      <c r="J965" s="219"/>
      <c r="K965" s="219"/>
      <c r="L965" s="221"/>
    </row>
    <row r="966" spans="1:12" ht="14.4">
      <c r="A966" s="59"/>
      <c r="D966" s="60" t="s">
        <v>120</v>
      </c>
      <c r="E966" s="60" t="s">
        <v>4</v>
      </c>
      <c r="G966" s="68">
        <v>1</v>
      </c>
      <c r="L966" s="69"/>
    </row>
    <row r="967" spans="1:75" ht="27" customHeight="1">
      <c r="A967" s="1" t="s">
        <v>1937</v>
      </c>
      <c r="B967" s="2" t="s">
        <v>116</v>
      </c>
      <c r="C967" s="2" t="s">
        <v>1938</v>
      </c>
      <c r="D967" s="147" t="s">
        <v>1939</v>
      </c>
      <c r="E967" s="148"/>
      <c r="F967" s="2" t="s">
        <v>123</v>
      </c>
      <c r="G967" s="55">
        <v>3</v>
      </c>
      <c r="H967" s="56">
        <v>0</v>
      </c>
      <c r="I967" s="55">
        <f>G967*H967</f>
        <v>0</v>
      </c>
      <c r="J967" s="55">
        <v>0.067</v>
      </c>
      <c r="K967" s="55">
        <f>G967*J967</f>
        <v>0.201</v>
      </c>
      <c r="L967" s="57" t="s">
        <v>124</v>
      </c>
      <c r="Z967" s="55">
        <f>IF(AQ967="5",BJ967,0)</f>
        <v>0</v>
      </c>
      <c r="AB967" s="55">
        <f>IF(AQ967="1",BH967,0)</f>
        <v>0</v>
      </c>
      <c r="AC967" s="55">
        <f>IF(AQ967="1",BI967,0)</f>
        <v>0</v>
      </c>
      <c r="AD967" s="55">
        <f>IF(AQ967="7",BH967,0)</f>
        <v>0</v>
      </c>
      <c r="AE967" s="55">
        <f>IF(AQ967="7",BI967,0)</f>
        <v>0</v>
      </c>
      <c r="AF967" s="55">
        <f>IF(AQ967="2",BH967,0)</f>
        <v>0</v>
      </c>
      <c r="AG967" s="55">
        <f>IF(AQ967="2",BI967,0)</f>
        <v>0</v>
      </c>
      <c r="AH967" s="55">
        <f>IF(AQ967="0",BJ967,0)</f>
        <v>0</v>
      </c>
      <c r="AI967" s="34" t="s">
        <v>116</v>
      </c>
      <c r="AJ967" s="55">
        <f>IF(AN967=0,I967,0)</f>
        <v>0</v>
      </c>
      <c r="AK967" s="55">
        <f>IF(AN967=12,I967,0)</f>
        <v>0</v>
      </c>
      <c r="AL967" s="55">
        <f>IF(AN967=21,I967,0)</f>
        <v>0</v>
      </c>
      <c r="AN967" s="55">
        <v>21</v>
      </c>
      <c r="AO967" s="55">
        <f>H967*0.880829016</f>
        <v>0</v>
      </c>
      <c r="AP967" s="55">
        <f>H967*(1-0.880829016)</f>
        <v>0</v>
      </c>
      <c r="AQ967" s="58" t="s">
        <v>125</v>
      </c>
      <c r="AV967" s="55">
        <f>AW967+AX967</f>
        <v>0</v>
      </c>
      <c r="AW967" s="55">
        <f>G967*AO967</f>
        <v>0</v>
      </c>
      <c r="AX967" s="55">
        <f>G967*AP967</f>
        <v>0</v>
      </c>
      <c r="AY967" s="58" t="s">
        <v>1905</v>
      </c>
      <c r="AZ967" s="58" t="s">
        <v>1669</v>
      </c>
      <c r="BA967" s="34" t="s">
        <v>128</v>
      </c>
      <c r="BC967" s="55">
        <f>AW967+AX967</f>
        <v>0</v>
      </c>
      <c r="BD967" s="55">
        <f>H967/(100-BE967)*100</f>
        <v>0</v>
      </c>
      <c r="BE967" s="55">
        <v>0</v>
      </c>
      <c r="BF967" s="55">
        <f>K967</f>
        <v>0.201</v>
      </c>
      <c r="BH967" s="55">
        <f>G967*AO967</f>
        <v>0</v>
      </c>
      <c r="BI967" s="55">
        <f>G967*AP967</f>
        <v>0</v>
      </c>
      <c r="BJ967" s="55">
        <f>G967*H967</f>
        <v>0</v>
      </c>
      <c r="BK967" s="55"/>
      <c r="BL967" s="55">
        <v>766</v>
      </c>
      <c r="BW967" s="55">
        <v>21</v>
      </c>
    </row>
    <row r="968" spans="1:12" ht="13.5" customHeight="1">
      <c r="A968" s="59"/>
      <c r="D968" s="218" t="s">
        <v>1936</v>
      </c>
      <c r="E968" s="219"/>
      <c r="F968" s="219"/>
      <c r="G968" s="219"/>
      <c r="H968" s="220"/>
      <c r="I968" s="219"/>
      <c r="J968" s="219"/>
      <c r="K968" s="219"/>
      <c r="L968" s="221"/>
    </row>
    <row r="969" spans="1:12" ht="14.4">
      <c r="A969" s="59"/>
      <c r="D969" s="60" t="s">
        <v>133</v>
      </c>
      <c r="E969" s="60" t="s">
        <v>4</v>
      </c>
      <c r="G969" s="68">
        <v>3</v>
      </c>
      <c r="L969" s="69"/>
    </row>
    <row r="970" spans="1:75" ht="27" customHeight="1">
      <c r="A970" s="1" t="s">
        <v>1940</v>
      </c>
      <c r="B970" s="2" t="s">
        <v>116</v>
      </c>
      <c r="C970" s="2" t="s">
        <v>1941</v>
      </c>
      <c r="D970" s="147" t="s">
        <v>1942</v>
      </c>
      <c r="E970" s="148"/>
      <c r="F970" s="2" t="s">
        <v>123</v>
      </c>
      <c r="G970" s="55">
        <v>1</v>
      </c>
      <c r="H970" s="56">
        <v>0</v>
      </c>
      <c r="I970" s="55">
        <f>G970*H970</f>
        <v>0</v>
      </c>
      <c r="J970" s="55">
        <v>0.067</v>
      </c>
      <c r="K970" s="55">
        <f>G970*J970</f>
        <v>0.067</v>
      </c>
      <c r="L970" s="57" t="s">
        <v>124</v>
      </c>
      <c r="Z970" s="55">
        <f>IF(AQ970="5",BJ970,0)</f>
        <v>0</v>
      </c>
      <c r="AB970" s="55">
        <f>IF(AQ970="1",BH970,0)</f>
        <v>0</v>
      </c>
      <c r="AC970" s="55">
        <f>IF(AQ970="1",BI970,0)</f>
        <v>0</v>
      </c>
      <c r="AD970" s="55">
        <f>IF(AQ970="7",BH970,0)</f>
        <v>0</v>
      </c>
      <c r="AE970" s="55">
        <f>IF(AQ970="7",BI970,0)</f>
        <v>0</v>
      </c>
      <c r="AF970" s="55">
        <f>IF(AQ970="2",BH970,0)</f>
        <v>0</v>
      </c>
      <c r="AG970" s="55">
        <f>IF(AQ970="2",BI970,0)</f>
        <v>0</v>
      </c>
      <c r="AH970" s="55">
        <f>IF(AQ970="0",BJ970,0)</f>
        <v>0</v>
      </c>
      <c r="AI970" s="34" t="s">
        <v>116</v>
      </c>
      <c r="AJ970" s="55">
        <f>IF(AN970=0,I970,0)</f>
        <v>0</v>
      </c>
      <c r="AK970" s="55">
        <f>IF(AN970=12,I970,0)</f>
        <v>0</v>
      </c>
      <c r="AL970" s="55">
        <f>IF(AN970=21,I970,0)</f>
        <v>0</v>
      </c>
      <c r="AN970" s="55">
        <v>21</v>
      </c>
      <c r="AO970" s="55">
        <f>H970*0.931711928</f>
        <v>0</v>
      </c>
      <c r="AP970" s="55">
        <f>H970*(1-0.931711928)</f>
        <v>0</v>
      </c>
      <c r="AQ970" s="58" t="s">
        <v>125</v>
      </c>
      <c r="AV970" s="55">
        <f>AW970+AX970</f>
        <v>0</v>
      </c>
      <c r="AW970" s="55">
        <f>G970*AO970</f>
        <v>0</v>
      </c>
      <c r="AX970" s="55">
        <f>G970*AP970</f>
        <v>0</v>
      </c>
      <c r="AY970" s="58" t="s">
        <v>1905</v>
      </c>
      <c r="AZ970" s="58" t="s">
        <v>1669</v>
      </c>
      <c r="BA970" s="34" t="s">
        <v>128</v>
      </c>
      <c r="BB970" s="67">
        <v>100007</v>
      </c>
      <c r="BC970" s="55">
        <f>AW970+AX970</f>
        <v>0</v>
      </c>
      <c r="BD970" s="55">
        <f>H970/(100-BE970)*100</f>
        <v>0</v>
      </c>
      <c r="BE970" s="55">
        <v>0</v>
      </c>
      <c r="BF970" s="55">
        <f>K970</f>
        <v>0.067</v>
      </c>
      <c r="BH970" s="55">
        <f>G970*AO970</f>
        <v>0</v>
      </c>
      <c r="BI970" s="55">
        <f>G970*AP970</f>
        <v>0</v>
      </c>
      <c r="BJ970" s="55">
        <f>G970*H970</f>
        <v>0</v>
      </c>
      <c r="BK970" s="55"/>
      <c r="BL970" s="55">
        <v>766</v>
      </c>
      <c r="BW970" s="55">
        <v>21</v>
      </c>
    </row>
    <row r="971" spans="1:12" ht="13.5" customHeight="1">
      <c r="A971" s="59"/>
      <c r="D971" s="218" t="s">
        <v>1943</v>
      </c>
      <c r="E971" s="219"/>
      <c r="F971" s="219"/>
      <c r="G971" s="219"/>
      <c r="H971" s="220"/>
      <c r="I971" s="219"/>
      <c r="J971" s="219"/>
      <c r="K971" s="219"/>
      <c r="L971" s="221"/>
    </row>
    <row r="972" spans="1:12" ht="14.4">
      <c r="A972" s="59"/>
      <c r="D972" s="60" t="s">
        <v>120</v>
      </c>
      <c r="E972" s="60" t="s">
        <v>4</v>
      </c>
      <c r="G972" s="68">
        <v>1</v>
      </c>
      <c r="L972" s="69"/>
    </row>
    <row r="973" spans="1:75" ht="27" customHeight="1">
      <c r="A973" s="1" t="s">
        <v>1944</v>
      </c>
      <c r="B973" s="2" t="s">
        <v>116</v>
      </c>
      <c r="C973" s="2" t="s">
        <v>1945</v>
      </c>
      <c r="D973" s="147" t="s">
        <v>1946</v>
      </c>
      <c r="E973" s="148"/>
      <c r="F973" s="2" t="s">
        <v>374</v>
      </c>
      <c r="G973" s="55">
        <v>1</v>
      </c>
      <c r="H973" s="56">
        <v>0</v>
      </c>
      <c r="I973" s="55">
        <f>G973*H973</f>
        <v>0</v>
      </c>
      <c r="J973" s="55">
        <v>0.06</v>
      </c>
      <c r="K973" s="55">
        <f>G973*J973</f>
        <v>0.06</v>
      </c>
      <c r="L973" s="57" t="s">
        <v>124</v>
      </c>
      <c r="Z973" s="55">
        <f>IF(AQ973="5",BJ973,0)</f>
        <v>0</v>
      </c>
      <c r="AB973" s="55">
        <f>IF(AQ973="1",BH973,0)</f>
        <v>0</v>
      </c>
      <c r="AC973" s="55">
        <f>IF(AQ973="1",BI973,0)</f>
        <v>0</v>
      </c>
      <c r="AD973" s="55">
        <f>IF(AQ973="7",BH973,0)</f>
        <v>0</v>
      </c>
      <c r="AE973" s="55">
        <f>IF(AQ973="7",BI973,0)</f>
        <v>0</v>
      </c>
      <c r="AF973" s="55">
        <f>IF(AQ973="2",BH973,0)</f>
        <v>0</v>
      </c>
      <c r="AG973" s="55">
        <f>IF(AQ973="2",BI973,0)</f>
        <v>0</v>
      </c>
      <c r="AH973" s="55">
        <f>IF(AQ973="0",BJ973,0)</f>
        <v>0</v>
      </c>
      <c r="AI973" s="34" t="s">
        <v>116</v>
      </c>
      <c r="AJ973" s="55">
        <f>IF(AN973=0,I973,0)</f>
        <v>0</v>
      </c>
      <c r="AK973" s="55">
        <f>IF(AN973=12,I973,0)</f>
        <v>0</v>
      </c>
      <c r="AL973" s="55">
        <f>IF(AN973=21,I973,0)</f>
        <v>0</v>
      </c>
      <c r="AN973" s="55">
        <v>21</v>
      </c>
      <c r="AO973" s="55">
        <f>H973*0.927710843</f>
        <v>0</v>
      </c>
      <c r="AP973" s="55">
        <f>H973*(1-0.927710843)</f>
        <v>0</v>
      </c>
      <c r="AQ973" s="58" t="s">
        <v>125</v>
      </c>
      <c r="AV973" s="55">
        <f>AW973+AX973</f>
        <v>0</v>
      </c>
      <c r="AW973" s="55">
        <f>G973*AO973</f>
        <v>0</v>
      </c>
      <c r="AX973" s="55">
        <f>G973*AP973</f>
        <v>0</v>
      </c>
      <c r="AY973" s="58" t="s">
        <v>1905</v>
      </c>
      <c r="AZ973" s="58" t="s">
        <v>1669</v>
      </c>
      <c r="BA973" s="34" t="s">
        <v>128</v>
      </c>
      <c r="BB973" s="67">
        <v>100007</v>
      </c>
      <c r="BC973" s="55">
        <f>AW973+AX973</f>
        <v>0</v>
      </c>
      <c r="BD973" s="55">
        <f>H973/(100-BE973)*100</f>
        <v>0</v>
      </c>
      <c r="BE973" s="55">
        <v>0</v>
      </c>
      <c r="BF973" s="55">
        <f>K973</f>
        <v>0.06</v>
      </c>
      <c r="BH973" s="55">
        <f>G973*AO973</f>
        <v>0</v>
      </c>
      <c r="BI973" s="55">
        <f>G973*AP973</f>
        <v>0</v>
      </c>
      <c r="BJ973" s="55">
        <f>G973*H973</f>
        <v>0</v>
      </c>
      <c r="BK973" s="55"/>
      <c r="BL973" s="55">
        <v>766</v>
      </c>
      <c r="BW973" s="55">
        <v>21</v>
      </c>
    </row>
    <row r="974" spans="1:12" ht="13.5" customHeight="1">
      <c r="A974" s="59"/>
      <c r="D974" s="218" t="s">
        <v>1947</v>
      </c>
      <c r="E974" s="219"/>
      <c r="F974" s="219"/>
      <c r="G974" s="219"/>
      <c r="H974" s="220"/>
      <c r="I974" s="219"/>
      <c r="J974" s="219"/>
      <c r="K974" s="219"/>
      <c r="L974" s="221"/>
    </row>
    <row r="975" spans="1:12" ht="14.4">
      <c r="A975" s="59"/>
      <c r="D975" s="60" t="s">
        <v>120</v>
      </c>
      <c r="E975" s="60" t="s">
        <v>4</v>
      </c>
      <c r="G975" s="68">
        <v>1</v>
      </c>
      <c r="L975" s="69"/>
    </row>
    <row r="976" spans="1:75" ht="27" customHeight="1">
      <c r="A976" s="1" t="s">
        <v>1948</v>
      </c>
      <c r="B976" s="2" t="s">
        <v>116</v>
      </c>
      <c r="C976" s="2" t="s">
        <v>1949</v>
      </c>
      <c r="D976" s="147" t="s">
        <v>1950</v>
      </c>
      <c r="E976" s="148"/>
      <c r="F976" s="2" t="s">
        <v>374</v>
      </c>
      <c r="G976" s="55">
        <v>1</v>
      </c>
      <c r="H976" s="56">
        <v>0</v>
      </c>
      <c r="I976" s="55">
        <f>G976*H976</f>
        <v>0</v>
      </c>
      <c r="J976" s="55">
        <v>0.06</v>
      </c>
      <c r="K976" s="55">
        <f>G976*J976</f>
        <v>0.06</v>
      </c>
      <c r="L976" s="57" t="s">
        <v>124</v>
      </c>
      <c r="Z976" s="55">
        <f>IF(AQ976="5",BJ976,0)</f>
        <v>0</v>
      </c>
      <c r="AB976" s="55">
        <f>IF(AQ976="1",BH976,0)</f>
        <v>0</v>
      </c>
      <c r="AC976" s="55">
        <f>IF(AQ976="1",BI976,0)</f>
        <v>0</v>
      </c>
      <c r="AD976" s="55">
        <f>IF(AQ976="7",BH976,0)</f>
        <v>0</v>
      </c>
      <c r="AE976" s="55">
        <f>IF(AQ976="7",BI976,0)</f>
        <v>0</v>
      </c>
      <c r="AF976" s="55">
        <f>IF(AQ976="2",BH976,0)</f>
        <v>0</v>
      </c>
      <c r="AG976" s="55">
        <f>IF(AQ976="2",BI976,0)</f>
        <v>0</v>
      </c>
      <c r="AH976" s="55">
        <f>IF(AQ976="0",BJ976,0)</f>
        <v>0</v>
      </c>
      <c r="AI976" s="34" t="s">
        <v>116</v>
      </c>
      <c r="AJ976" s="55">
        <f>IF(AN976=0,I976,0)</f>
        <v>0</v>
      </c>
      <c r="AK976" s="55">
        <f>IF(AN976=12,I976,0)</f>
        <v>0</v>
      </c>
      <c r="AL976" s="55">
        <f>IF(AN976=21,I976,0)</f>
        <v>0</v>
      </c>
      <c r="AN976" s="55">
        <v>21</v>
      </c>
      <c r="AO976" s="55">
        <f>H976*0.927710843</f>
        <v>0</v>
      </c>
      <c r="AP976" s="55">
        <f>H976*(1-0.927710843)</f>
        <v>0</v>
      </c>
      <c r="AQ976" s="58" t="s">
        <v>125</v>
      </c>
      <c r="AV976" s="55">
        <f>AW976+AX976</f>
        <v>0</v>
      </c>
      <c r="AW976" s="55">
        <f>G976*AO976</f>
        <v>0</v>
      </c>
      <c r="AX976" s="55">
        <f>G976*AP976</f>
        <v>0</v>
      </c>
      <c r="AY976" s="58" t="s">
        <v>1905</v>
      </c>
      <c r="AZ976" s="58" t="s">
        <v>1669</v>
      </c>
      <c r="BA976" s="34" t="s">
        <v>128</v>
      </c>
      <c r="BB976" s="67">
        <v>100007</v>
      </c>
      <c r="BC976" s="55">
        <f>AW976+AX976</f>
        <v>0</v>
      </c>
      <c r="BD976" s="55">
        <f>H976/(100-BE976)*100</f>
        <v>0</v>
      </c>
      <c r="BE976" s="55">
        <v>0</v>
      </c>
      <c r="BF976" s="55">
        <f>K976</f>
        <v>0.06</v>
      </c>
      <c r="BH976" s="55">
        <f>G976*AO976</f>
        <v>0</v>
      </c>
      <c r="BI976" s="55">
        <f>G976*AP976</f>
        <v>0</v>
      </c>
      <c r="BJ976" s="55">
        <f>G976*H976</f>
        <v>0</v>
      </c>
      <c r="BK976" s="55"/>
      <c r="BL976" s="55">
        <v>766</v>
      </c>
      <c r="BW976" s="55">
        <v>21</v>
      </c>
    </row>
    <row r="977" spans="1:12" ht="13.5" customHeight="1">
      <c r="A977" s="59"/>
      <c r="D977" s="218" t="s">
        <v>1947</v>
      </c>
      <c r="E977" s="219"/>
      <c r="F977" s="219"/>
      <c r="G977" s="219"/>
      <c r="H977" s="220"/>
      <c r="I977" s="219"/>
      <c r="J977" s="219"/>
      <c r="K977" s="219"/>
      <c r="L977" s="221"/>
    </row>
    <row r="978" spans="1:12" ht="14.4">
      <c r="A978" s="59"/>
      <c r="D978" s="60" t="s">
        <v>120</v>
      </c>
      <c r="E978" s="60" t="s">
        <v>4</v>
      </c>
      <c r="G978" s="68">
        <v>1</v>
      </c>
      <c r="L978" s="69"/>
    </row>
    <row r="979" spans="1:75" ht="27" customHeight="1">
      <c r="A979" s="1" t="s">
        <v>1951</v>
      </c>
      <c r="B979" s="2" t="s">
        <v>116</v>
      </c>
      <c r="C979" s="2" t="s">
        <v>1952</v>
      </c>
      <c r="D979" s="147" t="s">
        <v>1953</v>
      </c>
      <c r="E979" s="148"/>
      <c r="F979" s="2" t="s">
        <v>374</v>
      </c>
      <c r="G979" s="55">
        <v>1</v>
      </c>
      <c r="H979" s="56">
        <v>0</v>
      </c>
      <c r="I979" s="55">
        <f>G979*H979</f>
        <v>0</v>
      </c>
      <c r="J979" s="55">
        <v>0.06</v>
      </c>
      <c r="K979" s="55">
        <f>G979*J979</f>
        <v>0.06</v>
      </c>
      <c r="L979" s="57" t="s">
        <v>124</v>
      </c>
      <c r="Z979" s="55">
        <f>IF(AQ979="5",BJ979,0)</f>
        <v>0</v>
      </c>
      <c r="AB979" s="55">
        <f>IF(AQ979="1",BH979,0)</f>
        <v>0</v>
      </c>
      <c r="AC979" s="55">
        <f>IF(AQ979="1",BI979,0)</f>
        <v>0</v>
      </c>
      <c r="AD979" s="55">
        <f>IF(AQ979="7",BH979,0)</f>
        <v>0</v>
      </c>
      <c r="AE979" s="55">
        <f>IF(AQ979="7",BI979,0)</f>
        <v>0</v>
      </c>
      <c r="AF979" s="55">
        <f>IF(AQ979="2",BH979,0)</f>
        <v>0</v>
      </c>
      <c r="AG979" s="55">
        <f>IF(AQ979="2",BI979,0)</f>
        <v>0</v>
      </c>
      <c r="AH979" s="55">
        <f>IF(AQ979="0",BJ979,0)</f>
        <v>0</v>
      </c>
      <c r="AI979" s="34" t="s">
        <v>116</v>
      </c>
      <c r="AJ979" s="55">
        <f>IF(AN979=0,I979,0)</f>
        <v>0</v>
      </c>
      <c r="AK979" s="55">
        <f>IF(AN979=12,I979,0)</f>
        <v>0</v>
      </c>
      <c r="AL979" s="55">
        <f>IF(AN979=21,I979,0)</f>
        <v>0</v>
      </c>
      <c r="AN979" s="55">
        <v>21</v>
      </c>
      <c r="AO979" s="55">
        <f>H979*0.927710843</f>
        <v>0</v>
      </c>
      <c r="AP979" s="55">
        <f>H979*(1-0.927710843)</f>
        <v>0</v>
      </c>
      <c r="AQ979" s="58" t="s">
        <v>125</v>
      </c>
      <c r="AV979" s="55">
        <f>AW979+AX979</f>
        <v>0</v>
      </c>
      <c r="AW979" s="55">
        <f>G979*AO979</f>
        <v>0</v>
      </c>
      <c r="AX979" s="55">
        <f>G979*AP979</f>
        <v>0</v>
      </c>
      <c r="AY979" s="58" t="s">
        <v>1905</v>
      </c>
      <c r="AZ979" s="58" t="s">
        <v>1669</v>
      </c>
      <c r="BA979" s="34" t="s">
        <v>128</v>
      </c>
      <c r="BB979" s="67">
        <v>100007</v>
      </c>
      <c r="BC979" s="55">
        <f>AW979+AX979</f>
        <v>0</v>
      </c>
      <c r="BD979" s="55">
        <f>H979/(100-BE979)*100</f>
        <v>0</v>
      </c>
      <c r="BE979" s="55">
        <v>0</v>
      </c>
      <c r="BF979" s="55">
        <f>K979</f>
        <v>0.06</v>
      </c>
      <c r="BH979" s="55">
        <f>G979*AO979</f>
        <v>0</v>
      </c>
      <c r="BI979" s="55">
        <f>G979*AP979</f>
        <v>0</v>
      </c>
      <c r="BJ979" s="55">
        <f>G979*H979</f>
        <v>0</v>
      </c>
      <c r="BK979" s="55"/>
      <c r="BL979" s="55">
        <v>766</v>
      </c>
      <c r="BW979" s="55">
        <v>21</v>
      </c>
    </row>
    <row r="980" spans="1:12" ht="13.5" customHeight="1">
      <c r="A980" s="59"/>
      <c r="D980" s="218" t="s">
        <v>1947</v>
      </c>
      <c r="E980" s="219"/>
      <c r="F980" s="219"/>
      <c r="G980" s="219"/>
      <c r="H980" s="220"/>
      <c r="I980" s="219"/>
      <c r="J980" s="219"/>
      <c r="K980" s="219"/>
      <c r="L980" s="221"/>
    </row>
    <row r="981" spans="1:12" ht="14.4">
      <c r="A981" s="59"/>
      <c r="D981" s="60" t="s">
        <v>120</v>
      </c>
      <c r="E981" s="60" t="s">
        <v>4</v>
      </c>
      <c r="G981" s="68">
        <v>1</v>
      </c>
      <c r="L981" s="69"/>
    </row>
    <row r="982" spans="1:75" ht="27" customHeight="1">
      <c r="A982" s="1" t="s">
        <v>1954</v>
      </c>
      <c r="B982" s="2" t="s">
        <v>116</v>
      </c>
      <c r="C982" s="2" t="s">
        <v>1955</v>
      </c>
      <c r="D982" s="147" t="s">
        <v>1956</v>
      </c>
      <c r="E982" s="148"/>
      <c r="F982" s="2" t="s">
        <v>374</v>
      </c>
      <c r="G982" s="55">
        <v>1</v>
      </c>
      <c r="H982" s="56">
        <v>0</v>
      </c>
      <c r="I982" s="55">
        <f>G982*H982</f>
        <v>0</v>
      </c>
      <c r="J982" s="55">
        <v>0.06</v>
      </c>
      <c r="K982" s="55">
        <f>G982*J982</f>
        <v>0.06</v>
      </c>
      <c r="L982" s="57" t="s">
        <v>124</v>
      </c>
      <c r="Z982" s="55">
        <f>IF(AQ982="5",BJ982,0)</f>
        <v>0</v>
      </c>
      <c r="AB982" s="55">
        <f>IF(AQ982="1",BH982,0)</f>
        <v>0</v>
      </c>
      <c r="AC982" s="55">
        <f>IF(AQ982="1",BI982,0)</f>
        <v>0</v>
      </c>
      <c r="AD982" s="55">
        <f>IF(AQ982="7",BH982,0)</f>
        <v>0</v>
      </c>
      <c r="AE982" s="55">
        <f>IF(AQ982="7",BI982,0)</f>
        <v>0</v>
      </c>
      <c r="AF982" s="55">
        <f>IF(AQ982="2",BH982,0)</f>
        <v>0</v>
      </c>
      <c r="AG982" s="55">
        <f>IF(AQ982="2",BI982,0)</f>
        <v>0</v>
      </c>
      <c r="AH982" s="55">
        <f>IF(AQ982="0",BJ982,0)</f>
        <v>0</v>
      </c>
      <c r="AI982" s="34" t="s">
        <v>116</v>
      </c>
      <c r="AJ982" s="55">
        <f>IF(AN982=0,I982,0)</f>
        <v>0</v>
      </c>
      <c r="AK982" s="55">
        <f>IF(AN982=12,I982,0)</f>
        <v>0</v>
      </c>
      <c r="AL982" s="55">
        <f>IF(AN982=21,I982,0)</f>
        <v>0</v>
      </c>
      <c r="AN982" s="55">
        <v>21</v>
      </c>
      <c r="AO982" s="55">
        <f>H982*0.927710843</f>
        <v>0</v>
      </c>
      <c r="AP982" s="55">
        <f>H982*(1-0.927710843)</f>
        <v>0</v>
      </c>
      <c r="AQ982" s="58" t="s">
        <v>125</v>
      </c>
      <c r="AV982" s="55">
        <f>AW982+AX982</f>
        <v>0</v>
      </c>
      <c r="AW982" s="55">
        <f>G982*AO982</f>
        <v>0</v>
      </c>
      <c r="AX982" s="55">
        <f>G982*AP982</f>
        <v>0</v>
      </c>
      <c r="AY982" s="58" t="s">
        <v>1905</v>
      </c>
      <c r="AZ982" s="58" t="s">
        <v>1669</v>
      </c>
      <c r="BA982" s="34" t="s">
        <v>128</v>
      </c>
      <c r="BB982" s="67">
        <v>100007</v>
      </c>
      <c r="BC982" s="55">
        <f>AW982+AX982</f>
        <v>0</v>
      </c>
      <c r="BD982" s="55">
        <f>H982/(100-BE982)*100</f>
        <v>0</v>
      </c>
      <c r="BE982" s="55">
        <v>0</v>
      </c>
      <c r="BF982" s="55">
        <f>K982</f>
        <v>0.06</v>
      </c>
      <c r="BH982" s="55">
        <f>G982*AO982</f>
        <v>0</v>
      </c>
      <c r="BI982" s="55">
        <f>G982*AP982</f>
        <v>0</v>
      </c>
      <c r="BJ982" s="55">
        <f>G982*H982</f>
        <v>0</v>
      </c>
      <c r="BK982" s="55"/>
      <c r="BL982" s="55">
        <v>766</v>
      </c>
      <c r="BW982" s="55">
        <v>21</v>
      </c>
    </row>
    <row r="983" spans="1:12" ht="13.5" customHeight="1">
      <c r="A983" s="59"/>
      <c r="D983" s="218" t="s">
        <v>1947</v>
      </c>
      <c r="E983" s="219"/>
      <c r="F983" s="219"/>
      <c r="G983" s="219"/>
      <c r="H983" s="220"/>
      <c r="I983" s="219"/>
      <c r="J983" s="219"/>
      <c r="K983" s="219"/>
      <c r="L983" s="221"/>
    </row>
    <row r="984" spans="1:12" ht="14.4">
      <c r="A984" s="59"/>
      <c r="D984" s="60" t="s">
        <v>120</v>
      </c>
      <c r="E984" s="60" t="s">
        <v>4</v>
      </c>
      <c r="G984" s="68">
        <v>1</v>
      </c>
      <c r="L984" s="69"/>
    </row>
    <row r="985" spans="1:75" ht="27" customHeight="1">
      <c r="A985" s="1" t="s">
        <v>1957</v>
      </c>
      <c r="B985" s="2" t="s">
        <v>116</v>
      </c>
      <c r="C985" s="2" t="s">
        <v>1958</v>
      </c>
      <c r="D985" s="147" t="s">
        <v>1959</v>
      </c>
      <c r="E985" s="148"/>
      <c r="F985" s="2" t="s">
        <v>374</v>
      </c>
      <c r="G985" s="55">
        <v>1</v>
      </c>
      <c r="H985" s="56">
        <v>0</v>
      </c>
      <c r="I985" s="55">
        <f>G985*H985</f>
        <v>0</v>
      </c>
      <c r="J985" s="55">
        <v>0.06</v>
      </c>
      <c r="K985" s="55">
        <f>G985*J985</f>
        <v>0.06</v>
      </c>
      <c r="L985" s="57" t="s">
        <v>124</v>
      </c>
      <c r="Z985" s="55">
        <f>IF(AQ985="5",BJ985,0)</f>
        <v>0</v>
      </c>
      <c r="AB985" s="55">
        <f>IF(AQ985="1",BH985,0)</f>
        <v>0</v>
      </c>
      <c r="AC985" s="55">
        <f>IF(AQ985="1",BI985,0)</f>
        <v>0</v>
      </c>
      <c r="AD985" s="55">
        <f>IF(AQ985="7",BH985,0)</f>
        <v>0</v>
      </c>
      <c r="AE985" s="55">
        <f>IF(AQ985="7",BI985,0)</f>
        <v>0</v>
      </c>
      <c r="AF985" s="55">
        <f>IF(AQ985="2",BH985,0)</f>
        <v>0</v>
      </c>
      <c r="AG985" s="55">
        <f>IF(AQ985="2",BI985,0)</f>
        <v>0</v>
      </c>
      <c r="AH985" s="55">
        <f>IF(AQ985="0",BJ985,0)</f>
        <v>0</v>
      </c>
      <c r="AI985" s="34" t="s">
        <v>116</v>
      </c>
      <c r="AJ985" s="55">
        <f>IF(AN985=0,I985,0)</f>
        <v>0</v>
      </c>
      <c r="AK985" s="55">
        <f>IF(AN985=12,I985,0)</f>
        <v>0</v>
      </c>
      <c r="AL985" s="55">
        <f>IF(AN985=21,I985,0)</f>
        <v>0</v>
      </c>
      <c r="AN985" s="55">
        <v>21</v>
      </c>
      <c r="AO985" s="55">
        <f>H985*0.954198473</f>
        <v>0</v>
      </c>
      <c r="AP985" s="55">
        <f>H985*(1-0.954198473)</f>
        <v>0</v>
      </c>
      <c r="AQ985" s="58" t="s">
        <v>125</v>
      </c>
      <c r="AV985" s="55">
        <f>AW985+AX985</f>
        <v>0</v>
      </c>
      <c r="AW985" s="55">
        <f>G985*AO985</f>
        <v>0</v>
      </c>
      <c r="AX985" s="55">
        <f>G985*AP985</f>
        <v>0</v>
      </c>
      <c r="AY985" s="58" t="s">
        <v>1905</v>
      </c>
      <c r="AZ985" s="58" t="s">
        <v>1669</v>
      </c>
      <c r="BA985" s="34" t="s">
        <v>128</v>
      </c>
      <c r="BB985" s="67">
        <v>100007</v>
      </c>
      <c r="BC985" s="55">
        <f>AW985+AX985</f>
        <v>0</v>
      </c>
      <c r="BD985" s="55">
        <f>H985/(100-BE985)*100</f>
        <v>0</v>
      </c>
      <c r="BE985" s="55">
        <v>0</v>
      </c>
      <c r="BF985" s="55">
        <f>K985</f>
        <v>0.06</v>
      </c>
      <c r="BH985" s="55">
        <f>G985*AO985</f>
        <v>0</v>
      </c>
      <c r="BI985" s="55">
        <f>G985*AP985</f>
        <v>0</v>
      </c>
      <c r="BJ985" s="55">
        <f>G985*H985</f>
        <v>0</v>
      </c>
      <c r="BK985" s="55"/>
      <c r="BL985" s="55">
        <v>766</v>
      </c>
      <c r="BW985" s="55">
        <v>21</v>
      </c>
    </row>
    <row r="986" spans="1:12" ht="13.5" customHeight="1">
      <c r="A986" s="59"/>
      <c r="D986" s="218" t="s">
        <v>1947</v>
      </c>
      <c r="E986" s="219"/>
      <c r="F986" s="219"/>
      <c r="G986" s="219"/>
      <c r="H986" s="220"/>
      <c r="I986" s="219"/>
      <c r="J986" s="219"/>
      <c r="K986" s="219"/>
      <c r="L986" s="221"/>
    </row>
    <row r="987" spans="1:12" ht="14.4">
      <c r="A987" s="59"/>
      <c r="D987" s="60" t="s">
        <v>120</v>
      </c>
      <c r="E987" s="60" t="s">
        <v>4</v>
      </c>
      <c r="G987" s="68">
        <v>1</v>
      </c>
      <c r="L987" s="69"/>
    </row>
    <row r="988" spans="1:75" ht="27" customHeight="1">
      <c r="A988" s="1" t="s">
        <v>1960</v>
      </c>
      <c r="B988" s="2" t="s">
        <v>116</v>
      </c>
      <c r="C988" s="2" t="s">
        <v>1961</v>
      </c>
      <c r="D988" s="147" t="s">
        <v>1962</v>
      </c>
      <c r="E988" s="148"/>
      <c r="F988" s="2" t="s">
        <v>374</v>
      </c>
      <c r="G988" s="55">
        <v>1</v>
      </c>
      <c r="H988" s="56">
        <v>0</v>
      </c>
      <c r="I988" s="55">
        <f>G988*H988</f>
        <v>0</v>
      </c>
      <c r="J988" s="55">
        <v>0.06</v>
      </c>
      <c r="K988" s="55">
        <f>G988*J988</f>
        <v>0.06</v>
      </c>
      <c r="L988" s="57" t="s">
        <v>124</v>
      </c>
      <c r="Z988" s="55">
        <f>IF(AQ988="5",BJ988,0)</f>
        <v>0</v>
      </c>
      <c r="AB988" s="55">
        <f>IF(AQ988="1",BH988,0)</f>
        <v>0</v>
      </c>
      <c r="AC988" s="55">
        <f>IF(AQ988="1",BI988,0)</f>
        <v>0</v>
      </c>
      <c r="AD988" s="55">
        <f>IF(AQ988="7",BH988,0)</f>
        <v>0</v>
      </c>
      <c r="AE988" s="55">
        <f>IF(AQ988="7",BI988,0)</f>
        <v>0</v>
      </c>
      <c r="AF988" s="55">
        <f>IF(AQ988="2",BH988,0)</f>
        <v>0</v>
      </c>
      <c r="AG988" s="55">
        <f>IF(AQ988="2",BI988,0)</f>
        <v>0</v>
      </c>
      <c r="AH988" s="55">
        <f>IF(AQ988="0",BJ988,0)</f>
        <v>0</v>
      </c>
      <c r="AI988" s="34" t="s">
        <v>116</v>
      </c>
      <c r="AJ988" s="55">
        <f>IF(AN988=0,I988,0)</f>
        <v>0</v>
      </c>
      <c r="AK988" s="55">
        <f>IF(AN988=12,I988,0)</f>
        <v>0</v>
      </c>
      <c r="AL988" s="55">
        <f>IF(AN988=21,I988,0)</f>
        <v>0</v>
      </c>
      <c r="AN988" s="55">
        <v>21</v>
      </c>
      <c r="AO988" s="55">
        <f>H988*0.950413223</f>
        <v>0</v>
      </c>
      <c r="AP988" s="55">
        <f>H988*(1-0.950413223)</f>
        <v>0</v>
      </c>
      <c r="AQ988" s="58" t="s">
        <v>125</v>
      </c>
      <c r="AV988" s="55">
        <f>AW988+AX988</f>
        <v>0</v>
      </c>
      <c r="AW988" s="55">
        <f>G988*AO988</f>
        <v>0</v>
      </c>
      <c r="AX988" s="55">
        <f>G988*AP988</f>
        <v>0</v>
      </c>
      <c r="AY988" s="58" t="s">
        <v>1905</v>
      </c>
      <c r="AZ988" s="58" t="s">
        <v>1669</v>
      </c>
      <c r="BA988" s="34" t="s">
        <v>128</v>
      </c>
      <c r="BB988" s="67">
        <v>100007</v>
      </c>
      <c r="BC988" s="55">
        <f>AW988+AX988</f>
        <v>0</v>
      </c>
      <c r="BD988" s="55">
        <f>H988/(100-BE988)*100</f>
        <v>0</v>
      </c>
      <c r="BE988" s="55">
        <v>0</v>
      </c>
      <c r="BF988" s="55">
        <f>K988</f>
        <v>0.06</v>
      </c>
      <c r="BH988" s="55">
        <f>G988*AO988</f>
        <v>0</v>
      </c>
      <c r="BI988" s="55">
        <f>G988*AP988</f>
        <v>0</v>
      </c>
      <c r="BJ988" s="55">
        <f>G988*H988</f>
        <v>0</v>
      </c>
      <c r="BK988" s="55"/>
      <c r="BL988" s="55">
        <v>766</v>
      </c>
      <c r="BW988" s="55">
        <v>21</v>
      </c>
    </row>
    <row r="989" spans="1:12" ht="13.5" customHeight="1">
      <c r="A989" s="59"/>
      <c r="D989" s="218" t="s">
        <v>1947</v>
      </c>
      <c r="E989" s="219"/>
      <c r="F989" s="219"/>
      <c r="G989" s="219"/>
      <c r="H989" s="220"/>
      <c r="I989" s="219"/>
      <c r="J989" s="219"/>
      <c r="K989" s="219"/>
      <c r="L989" s="221"/>
    </row>
    <row r="990" spans="1:12" ht="14.4">
      <c r="A990" s="59"/>
      <c r="D990" s="60" t="s">
        <v>120</v>
      </c>
      <c r="E990" s="60" t="s">
        <v>4</v>
      </c>
      <c r="G990" s="68">
        <v>1</v>
      </c>
      <c r="L990" s="69"/>
    </row>
    <row r="991" spans="1:75" ht="27" customHeight="1">
      <c r="A991" s="1" t="s">
        <v>1963</v>
      </c>
      <c r="B991" s="2" t="s">
        <v>116</v>
      </c>
      <c r="C991" s="2" t="s">
        <v>1964</v>
      </c>
      <c r="D991" s="147" t="s">
        <v>1965</v>
      </c>
      <c r="E991" s="148"/>
      <c r="F991" s="2" t="s">
        <v>374</v>
      </c>
      <c r="G991" s="55">
        <v>1</v>
      </c>
      <c r="H991" s="56">
        <v>0</v>
      </c>
      <c r="I991" s="55">
        <f>G991*H991</f>
        <v>0</v>
      </c>
      <c r="J991" s="55">
        <v>0.06</v>
      </c>
      <c r="K991" s="55">
        <f>G991*J991</f>
        <v>0.06</v>
      </c>
      <c r="L991" s="57" t="s">
        <v>124</v>
      </c>
      <c r="Z991" s="55">
        <f>IF(AQ991="5",BJ991,0)</f>
        <v>0</v>
      </c>
      <c r="AB991" s="55">
        <f>IF(AQ991="1",BH991,0)</f>
        <v>0</v>
      </c>
      <c r="AC991" s="55">
        <f>IF(AQ991="1",BI991,0)</f>
        <v>0</v>
      </c>
      <c r="AD991" s="55">
        <f>IF(AQ991="7",BH991,0)</f>
        <v>0</v>
      </c>
      <c r="AE991" s="55">
        <f>IF(AQ991="7",BI991,0)</f>
        <v>0</v>
      </c>
      <c r="AF991" s="55">
        <f>IF(AQ991="2",BH991,0)</f>
        <v>0</v>
      </c>
      <c r="AG991" s="55">
        <f>IF(AQ991="2",BI991,0)</f>
        <v>0</v>
      </c>
      <c r="AH991" s="55">
        <f>IF(AQ991="0",BJ991,0)</f>
        <v>0</v>
      </c>
      <c r="AI991" s="34" t="s">
        <v>116</v>
      </c>
      <c r="AJ991" s="55">
        <f>IF(AN991=0,I991,0)</f>
        <v>0</v>
      </c>
      <c r="AK991" s="55">
        <f>IF(AN991=12,I991,0)</f>
        <v>0</v>
      </c>
      <c r="AL991" s="55">
        <f>IF(AN991=21,I991,0)</f>
        <v>0</v>
      </c>
      <c r="AN991" s="55">
        <v>21</v>
      </c>
      <c r="AO991" s="55">
        <f>H991*0.934782609</f>
        <v>0</v>
      </c>
      <c r="AP991" s="55">
        <f>H991*(1-0.934782609)</f>
        <v>0</v>
      </c>
      <c r="AQ991" s="58" t="s">
        <v>125</v>
      </c>
      <c r="AV991" s="55">
        <f>AW991+AX991</f>
        <v>0</v>
      </c>
      <c r="AW991" s="55">
        <f>G991*AO991</f>
        <v>0</v>
      </c>
      <c r="AX991" s="55">
        <f>G991*AP991</f>
        <v>0</v>
      </c>
      <c r="AY991" s="58" t="s">
        <v>1905</v>
      </c>
      <c r="AZ991" s="58" t="s">
        <v>1669</v>
      </c>
      <c r="BA991" s="34" t="s">
        <v>128</v>
      </c>
      <c r="BB991" s="67">
        <v>100007</v>
      </c>
      <c r="BC991" s="55">
        <f>AW991+AX991</f>
        <v>0</v>
      </c>
      <c r="BD991" s="55">
        <f>H991/(100-BE991)*100</f>
        <v>0</v>
      </c>
      <c r="BE991" s="55">
        <v>0</v>
      </c>
      <c r="BF991" s="55">
        <f>K991</f>
        <v>0.06</v>
      </c>
      <c r="BH991" s="55">
        <f>G991*AO991</f>
        <v>0</v>
      </c>
      <c r="BI991" s="55">
        <f>G991*AP991</f>
        <v>0</v>
      </c>
      <c r="BJ991" s="55">
        <f>G991*H991</f>
        <v>0</v>
      </c>
      <c r="BK991" s="55"/>
      <c r="BL991" s="55">
        <v>766</v>
      </c>
      <c r="BW991" s="55">
        <v>21</v>
      </c>
    </row>
    <row r="992" spans="1:12" ht="13.5" customHeight="1">
      <c r="A992" s="59"/>
      <c r="D992" s="218" t="s">
        <v>1947</v>
      </c>
      <c r="E992" s="219"/>
      <c r="F992" s="219"/>
      <c r="G992" s="219"/>
      <c r="H992" s="220"/>
      <c r="I992" s="219"/>
      <c r="J992" s="219"/>
      <c r="K992" s="219"/>
      <c r="L992" s="221"/>
    </row>
    <row r="993" spans="1:12" ht="14.4">
      <c r="A993" s="59"/>
      <c r="D993" s="60" t="s">
        <v>120</v>
      </c>
      <c r="E993" s="60" t="s">
        <v>4</v>
      </c>
      <c r="G993" s="68">
        <v>1</v>
      </c>
      <c r="L993" s="69"/>
    </row>
    <row r="994" spans="1:75" ht="13.5" customHeight="1">
      <c r="A994" s="1" t="s">
        <v>1966</v>
      </c>
      <c r="B994" s="2" t="s">
        <v>116</v>
      </c>
      <c r="C994" s="2" t="s">
        <v>1967</v>
      </c>
      <c r="D994" s="147" t="s">
        <v>1968</v>
      </c>
      <c r="E994" s="148"/>
      <c r="F994" s="2" t="s">
        <v>374</v>
      </c>
      <c r="G994" s="55">
        <v>1</v>
      </c>
      <c r="H994" s="56">
        <v>0</v>
      </c>
      <c r="I994" s="55">
        <f>G994*H994</f>
        <v>0</v>
      </c>
      <c r="J994" s="55">
        <v>0.06</v>
      </c>
      <c r="K994" s="55">
        <f>G994*J994</f>
        <v>0.06</v>
      </c>
      <c r="L994" s="57" t="s">
        <v>124</v>
      </c>
      <c r="Z994" s="55">
        <f>IF(AQ994="5",BJ994,0)</f>
        <v>0</v>
      </c>
      <c r="AB994" s="55">
        <f>IF(AQ994="1",BH994,0)</f>
        <v>0</v>
      </c>
      <c r="AC994" s="55">
        <f>IF(AQ994="1",BI994,0)</f>
        <v>0</v>
      </c>
      <c r="AD994" s="55">
        <f>IF(AQ994="7",BH994,0)</f>
        <v>0</v>
      </c>
      <c r="AE994" s="55">
        <f>IF(AQ994="7",BI994,0)</f>
        <v>0</v>
      </c>
      <c r="AF994" s="55">
        <f>IF(AQ994="2",BH994,0)</f>
        <v>0</v>
      </c>
      <c r="AG994" s="55">
        <f>IF(AQ994="2",BI994,0)</f>
        <v>0</v>
      </c>
      <c r="AH994" s="55">
        <f>IF(AQ994="0",BJ994,0)</f>
        <v>0</v>
      </c>
      <c r="AI994" s="34" t="s">
        <v>116</v>
      </c>
      <c r="AJ994" s="55">
        <f>IF(AN994=0,I994,0)</f>
        <v>0</v>
      </c>
      <c r="AK994" s="55">
        <f>IF(AN994=12,I994,0)</f>
        <v>0</v>
      </c>
      <c r="AL994" s="55">
        <f>IF(AN994=21,I994,0)</f>
        <v>0</v>
      </c>
      <c r="AN994" s="55">
        <v>21</v>
      </c>
      <c r="AO994" s="55">
        <f>H994*0.91627907</f>
        <v>0</v>
      </c>
      <c r="AP994" s="55">
        <f>H994*(1-0.91627907)</f>
        <v>0</v>
      </c>
      <c r="AQ994" s="58" t="s">
        <v>125</v>
      </c>
      <c r="AV994" s="55">
        <f>AW994+AX994</f>
        <v>0</v>
      </c>
      <c r="AW994" s="55">
        <f>G994*AO994</f>
        <v>0</v>
      </c>
      <c r="AX994" s="55">
        <f>G994*AP994</f>
        <v>0</v>
      </c>
      <c r="AY994" s="58" t="s">
        <v>1905</v>
      </c>
      <c r="AZ994" s="58" t="s">
        <v>1669</v>
      </c>
      <c r="BA994" s="34" t="s">
        <v>128</v>
      </c>
      <c r="BB994" s="67">
        <v>100007</v>
      </c>
      <c r="BC994" s="55">
        <f>AW994+AX994</f>
        <v>0</v>
      </c>
      <c r="BD994" s="55">
        <f>H994/(100-BE994)*100</f>
        <v>0</v>
      </c>
      <c r="BE994" s="55">
        <v>0</v>
      </c>
      <c r="BF994" s="55">
        <f>K994</f>
        <v>0.06</v>
      </c>
      <c r="BH994" s="55">
        <f>G994*AO994</f>
        <v>0</v>
      </c>
      <c r="BI994" s="55">
        <f>G994*AP994</f>
        <v>0</v>
      </c>
      <c r="BJ994" s="55">
        <f>G994*H994</f>
        <v>0</v>
      </c>
      <c r="BK994" s="55"/>
      <c r="BL994" s="55">
        <v>766</v>
      </c>
      <c r="BW994" s="55">
        <v>21</v>
      </c>
    </row>
    <row r="995" spans="1:12" ht="13.5" customHeight="1">
      <c r="A995" s="59"/>
      <c r="D995" s="218" t="s">
        <v>1947</v>
      </c>
      <c r="E995" s="219"/>
      <c r="F995" s="219"/>
      <c r="G995" s="219"/>
      <c r="H995" s="220"/>
      <c r="I995" s="219"/>
      <c r="J995" s="219"/>
      <c r="K995" s="219"/>
      <c r="L995" s="221"/>
    </row>
    <row r="996" spans="1:12" ht="14.4">
      <c r="A996" s="59"/>
      <c r="D996" s="60" t="s">
        <v>120</v>
      </c>
      <c r="E996" s="60" t="s">
        <v>4</v>
      </c>
      <c r="G996" s="68">
        <v>1</v>
      </c>
      <c r="L996" s="69"/>
    </row>
    <row r="997" spans="1:75" ht="13.5" customHeight="1">
      <c r="A997" s="1" t="s">
        <v>1969</v>
      </c>
      <c r="B997" s="2" t="s">
        <v>116</v>
      </c>
      <c r="C997" s="2" t="s">
        <v>1970</v>
      </c>
      <c r="D997" s="147" t="s">
        <v>1971</v>
      </c>
      <c r="E997" s="148"/>
      <c r="F997" s="2" t="s">
        <v>374</v>
      </c>
      <c r="G997" s="55">
        <v>1</v>
      </c>
      <c r="H997" s="56">
        <v>0</v>
      </c>
      <c r="I997" s="55">
        <f>G997*H997</f>
        <v>0</v>
      </c>
      <c r="J997" s="55">
        <v>0.06</v>
      </c>
      <c r="K997" s="55">
        <f>G997*J997</f>
        <v>0.06</v>
      </c>
      <c r="L997" s="57" t="s">
        <v>124</v>
      </c>
      <c r="Z997" s="55">
        <f>IF(AQ997="5",BJ997,0)</f>
        <v>0</v>
      </c>
      <c r="AB997" s="55">
        <f>IF(AQ997="1",BH997,0)</f>
        <v>0</v>
      </c>
      <c r="AC997" s="55">
        <f>IF(AQ997="1",BI997,0)</f>
        <v>0</v>
      </c>
      <c r="AD997" s="55">
        <f>IF(AQ997="7",BH997,0)</f>
        <v>0</v>
      </c>
      <c r="AE997" s="55">
        <f>IF(AQ997="7",BI997,0)</f>
        <v>0</v>
      </c>
      <c r="AF997" s="55">
        <f>IF(AQ997="2",BH997,0)</f>
        <v>0</v>
      </c>
      <c r="AG997" s="55">
        <f>IF(AQ997="2",BI997,0)</f>
        <v>0</v>
      </c>
      <c r="AH997" s="55">
        <f>IF(AQ997="0",BJ997,0)</f>
        <v>0</v>
      </c>
      <c r="AI997" s="34" t="s">
        <v>116</v>
      </c>
      <c r="AJ997" s="55">
        <f>IF(AN997=0,I997,0)</f>
        <v>0</v>
      </c>
      <c r="AK997" s="55">
        <f>IF(AN997=12,I997,0)</f>
        <v>0</v>
      </c>
      <c r="AL997" s="55">
        <f>IF(AN997=21,I997,0)</f>
        <v>0</v>
      </c>
      <c r="AN997" s="55">
        <v>21</v>
      </c>
      <c r="AO997" s="55">
        <f>H997*0.91627907</f>
        <v>0</v>
      </c>
      <c r="AP997" s="55">
        <f>H997*(1-0.91627907)</f>
        <v>0</v>
      </c>
      <c r="AQ997" s="58" t="s">
        <v>125</v>
      </c>
      <c r="AV997" s="55">
        <f>AW997+AX997</f>
        <v>0</v>
      </c>
      <c r="AW997" s="55">
        <f>G997*AO997</f>
        <v>0</v>
      </c>
      <c r="AX997" s="55">
        <f>G997*AP997</f>
        <v>0</v>
      </c>
      <c r="AY997" s="58" t="s">
        <v>1905</v>
      </c>
      <c r="AZ997" s="58" t="s">
        <v>1669</v>
      </c>
      <c r="BA997" s="34" t="s">
        <v>128</v>
      </c>
      <c r="BB997" s="67">
        <v>100007</v>
      </c>
      <c r="BC997" s="55">
        <f>AW997+AX997</f>
        <v>0</v>
      </c>
      <c r="BD997" s="55">
        <f>H997/(100-BE997)*100</f>
        <v>0</v>
      </c>
      <c r="BE997" s="55">
        <v>0</v>
      </c>
      <c r="BF997" s="55">
        <f>K997</f>
        <v>0.06</v>
      </c>
      <c r="BH997" s="55">
        <f>G997*AO997</f>
        <v>0</v>
      </c>
      <c r="BI997" s="55">
        <f>G997*AP997</f>
        <v>0</v>
      </c>
      <c r="BJ997" s="55">
        <f>G997*H997</f>
        <v>0</v>
      </c>
      <c r="BK997" s="55"/>
      <c r="BL997" s="55">
        <v>766</v>
      </c>
      <c r="BW997" s="55">
        <v>21</v>
      </c>
    </row>
    <row r="998" spans="1:12" ht="13.5" customHeight="1">
      <c r="A998" s="59"/>
      <c r="D998" s="218" t="s">
        <v>1947</v>
      </c>
      <c r="E998" s="219"/>
      <c r="F998" s="219"/>
      <c r="G998" s="219"/>
      <c r="H998" s="220"/>
      <c r="I998" s="219"/>
      <c r="J998" s="219"/>
      <c r="K998" s="219"/>
      <c r="L998" s="221"/>
    </row>
    <row r="999" spans="1:12" ht="14.4">
      <c r="A999" s="59"/>
      <c r="D999" s="60" t="s">
        <v>120</v>
      </c>
      <c r="E999" s="60" t="s">
        <v>4</v>
      </c>
      <c r="G999" s="68">
        <v>1</v>
      </c>
      <c r="L999" s="69"/>
    </row>
    <row r="1000" spans="1:75" ht="13.5" customHeight="1">
      <c r="A1000" s="1" t="s">
        <v>1972</v>
      </c>
      <c r="B1000" s="2" t="s">
        <v>116</v>
      </c>
      <c r="C1000" s="2" t="s">
        <v>1973</v>
      </c>
      <c r="D1000" s="147" t="s">
        <v>1974</v>
      </c>
      <c r="E1000" s="148"/>
      <c r="F1000" s="2" t="s">
        <v>374</v>
      </c>
      <c r="G1000" s="55">
        <v>1</v>
      </c>
      <c r="H1000" s="56">
        <v>0</v>
      </c>
      <c r="I1000" s="55">
        <f>G1000*H1000</f>
        <v>0</v>
      </c>
      <c r="J1000" s="55">
        <v>0.06</v>
      </c>
      <c r="K1000" s="55">
        <f>G1000*J1000</f>
        <v>0.06</v>
      </c>
      <c r="L1000" s="57" t="s">
        <v>124</v>
      </c>
      <c r="Z1000" s="55">
        <f>IF(AQ1000="5",BJ1000,0)</f>
        <v>0</v>
      </c>
      <c r="AB1000" s="55">
        <f>IF(AQ1000="1",BH1000,0)</f>
        <v>0</v>
      </c>
      <c r="AC1000" s="55">
        <f>IF(AQ1000="1",BI1000,0)</f>
        <v>0</v>
      </c>
      <c r="AD1000" s="55">
        <f>IF(AQ1000="7",BH1000,0)</f>
        <v>0</v>
      </c>
      <c r="AE1000" s="55">
        <f>IF(AQ1000="7",BI1000,0)</f>
        <v>0</v>
      </c>
      <c r="AF1000" s="55">
        <f>IF(AQ1000="2",BH1000,0)</f>
        <v>0</v>
      </c>
      <c r="AG1000" s="55">
        <f>IF(AQ1000="2",BI1000,0)</f>
        <v>0</v>
      </c>
      <c r="AH1000" s="55">
        <f>IF(AQ1000="0",BJ1000,0)</f>
        <v>0</v>
      </c>
      <c r="AI1000" s="34" t="s">
        <v>116</v>
      </c>
      <c r="AJ1000" s="55">
        <f>IF(AN1000=0,I1000,0)</f>
        <v>0</v>
      </c>
      <c r="AK1000" s="55">
        <f>IF(AN1000=12,I1000,0)</f>
        <v>0</v>
      </c>
      <c r="AL1000" s="55">
        <f>IF(AN1000=21,I1000,0)</f>
        <v>0</v>
      </c>
      <c r="AN1000" s="55">
        <v>21</v>
      </c>
      <c r="AO1000" s="55">
        <f>H1000*0.91627907</f>
        <v>0</v>
      </c>
      <c r="AP1000" s="55">
        <f>H1000*(1-0.91627907)</f>
        <v>0</v>
      </c>
      <c r="AQ1000" s="58" t="s">
        <v>125</v>
      </c>
      <c r="AV1000" s="55">
        <f>AW1000+AX1000</f>
        <v>0</v>
      </c>
      <c r="AW1000" s="55">
        <f>G1000*AO1000</f>
        <v>0</v>
      </c>
      <c r="AX1000" s="55">
        <f>G1000*AP1000</f>
        <v>0</v>
      </c>
      <c r="AY1000" s="58" t="s">
        <v>1905</v>
      </c>
      <c r="AZ1000" s="58" t="s">
        <v>1669</v>
      </c>
      <c r="BA1000" s="34" t="s">
        <v>128</v>
      </c>
      <c r="BB1000" s="67">
        <v>100007</v>
      </c>
      <c r="BC1000" s="55">
        <f>AW1000+AX1000</f>
        <v>0</v>
      </c>
      <c r="BD1000" s="55">
        <f>H1000/(100-BE1000)*100</f>
        <v>0</v>
      </c>
      <c r="BE1000" s="55">
        <v>0</v>
      </c>
      <c r="BF1000" s="55">
        <f>K1000</f>
        <v>0.06</v>
      </c>
      <c r="BH1000" s="55">
        <f>G1000*AO1000</f>
        <v>0</v>
      </c>
      <c r="BI1000" s="55">
        <f>G1000*AP1000</f>
        <v>0</v>
      </c>
      <c r="BJ1000" s="55">
        <f>G1000*H1000</f>
        <v>0</v>
      </c>
      <c r="BK1000" s="55"/>
      <c r="BL1000" s="55">
        <v>766</v>
      </c>
      <c r="BW1000" s="55">
        <v>21</v>
      </c>
    </row>
    <row r="1001" spans="1:12" ht="13.5" customHeight="1">
      <c r="A1001" s="59"/>
      <c r="D1001" s="218" t="s">
        <v>1947</v>
      </c>
      <c r="E1001" s="219"/>
      <c r="F1001" s="219"/>
      <c r="G1001" s="219"/>
      <c r="H1001" s="220"/>
      <c r="I1001" s="219"/>
      <c r="J1001" s="219"/>
      <c r="K1001" s="219"/>
      <c r="L1001" s="221"/>
    </row>
    <row r="1002" spans="1:12" ht="14.4">
      <c r="A1002" s="59"/>
      <c r="D1002" s="60" t="s">
        <v>120</v>
      </c>
      <c r="E1002" s="60" t="s">
        <v>4</v>
      </c>
      <c r="G1002" s="68">
        <v>1</v>
      </c>
      <c r="L1002" s="69"/>
    </row>
    <row r="1003" spans="1:75" ht="13.5" customHeight="1">
      <c r="A1003" s="1" t="s">
        <v>1975</v>
      </c>
      <c r="B1003" s="2" t="s">
        <v>116</v>
      </c>
      <c r="C1003" s="2" t="s">
        <v>1976</v>
      </c>
      <c r="D1003" s="147" t="s">
        <v>1977</v>
      </c>
      <c r="E1003" s="148"/>
      <c r="F1003" s="2" t="s">
        <v>374</v>
      </c>
      <c r="G1003" s="55">
        <v>1</v>
      </c>
      <c r="H1003" s="56">
        <v>0</v>
      </c>
      <c r="I1003" s="55">
        <f>G1003*H1003</f>
        <v>0</v>
      </c>
      <c r="J1003" s="55">
        <v>0.06</v>
      </c>
      <c r="K1003" s="55">
        <f>G1003*J1003</f>
        <v>0.06</v>
      </c>
      <c r="L1003" s="57" t="s">
        <v>124</v>
      </c>
      <c r="Z1003" s="55">
        <f>IF(AQ1003="5",BJ1003,0)</f>
        <v>0</v>
      </c>
      <c r="AB1003" s="55">
        <f>IF(AQ1003="1",BH1003,0)</f>
        <v>0</v>
      </c>
      <c r="AC1003" s="55">
        <f>IF(AQ1003="1",BI1003,0)</f>
        <v>0</v>
      </c>
      <c r="AD1003" s="55">
        <f>IF(AQ1003="7",BH1003,0)</f>
        <v>0</v>
      </c>
      <c r="AE1003" s="55">
        <f>IF(AQ1003="7",BI1003,0)</f>
        <v>0</v>
      </c>
      <c r="AF1003" s="55">
        <f>IF(AQ1003="2",BH1003,0)</f>
        <v>0</v>
      </c>
      <c r="AG1003" s="55">
        <f>IF(AQ1003="2",BI1003,0)</f>
        <v>0</v>
      </c>
      <c r="AH1003" s="55">
        <f>IF(AQ1003="0",BJ1003,0)</f>
        <v>0</v>
      </c>
      <c r="AI1003" s="34" t="s">
        <v>116</v>
      </c>
      <c r="AJ1003" s="55">
        <f>IF(AN1003=0,I1003,0)</f>
        <v>0</v>
      </c>
      <c r="AK1003" s="55">
        <f>IF(AN1003=12,I1003,0)</f>
        <v>0</v>
      </c>
      <c r="AL1003" s="55">
        <f>IF(AN1003=21,I1003,0)</f>
        <v>0</v>
      </c>
      <c r="AN1003" s="55">
        <v>21</v>
      </c>
      <c r="AO1003" s="55">
        <f>H1003*0.91627907</f>
        <v>0</v>
      </c>
      <c r="AP1003" s="55">
        <f>H1003*(1-0.91627907)</f>
        <v>0</v>
      </c>
      <c r="AQ1003" s="58" t="s">
        <v>125</v>
      </c>
      <c r="AV1003" s="55">
        <f>AW1003+AX1003</f>
        <v>0</v>
      </c>
      <c r="AW1003" s="55">
        <f>G1003*AO1003</f>
        <v>0</v>
      </c>
      <c r="AX1003" s="55">
        <f>G1003*AP1003</f>
        <v>0</v>
      </c>
      <c r="AY1003" s="58" t="s">
        <v>1905</v>
      </c>
      <c r="AZ1003" s="58" t="s">
        <v>1669</v>
      </c>
      <c r="BA1003" s="34" t="s">
        <v>128</v>
      </c>
      <c r="BB1003" s="67">
        <v>100007</v>
      </c>
      <c r="BC1003" s="55">
        <f>AW1003+AX1003</f>
        <v>0</v>
      </c>
      <c r="BD1003" s="55">
        <f>H1003/(100-BE1003)*100</f>
        <v>0</v>
      </c>
      <c r="BE1003" s="55">
        <v>0</v>
      </c>
      <c r="BF1003" s="55">
        <f>K1003</f>
        <v>0.06</v>
      </c>
      <c r="BH1003" s="55">
        <f>G1003*AO1003</f>
        <v>0</v>
      </c>
      <c r="BI1003" s="55">
        <f>G1003*AP1003</f>
        <v>0</v>
      </c>
      <c r="BJ1003" s="55">
        <f>G1003*H1003</f>
        <v>0</v>
      </c>
      <c r="BK1003" s="55"/>
      <c r="BL1003" s="55">
        <v>766</v>
      </c>
      <c r="BW1003" s="55">
        <v>21</v>
      </c>
    </row>
    <row r="1004" spans="1:12" ht="13.5" customHeight="1">
      <c r="A1004" s="59"/>
      <c r="D1004" s="218" t="s">
        <v>1947</v>
      </c>
      <c r="E1004" s="219"/>
      <c r="F1004" s="219"/>
      <c r="G1004" s="219"/>
      <c r="H1004" s="220"/>
      <c r="I1004" s="219"/>
      <c r="J1004" s="219"/>
      <c r="K1004" s="219"/>
      <c r="L1004" s="221"/>
    </row>
    <row r="1005" spans="1:12" ht="14.4">
      <c r="A1005" s="59"/>
      <c r="D1005" s="60" t="s">
        <v>120</v>
      </c>
      <c r="E1005" s="60" t="s">
        <v>4</v>
      </c>
      <c r="G1005" s="68">
        <v>1</v>
      </c>
      <c r="L1005" s="69"/>
    </row>
    <row r="1006" spans="1:75" ht="13.5" customHeight="1">
      <c r="A1006" s="1" t="s">
        <v>1978</v>
      </c>
      <c r="B1006" s="2" t="s">
        <v>116</v>
      </c>
      <c r="C1006" s="2" t="s">
        <v>1979</v>
      </c>
      <c r="D1006" s="147" t="s">
        <v>1980</v>
      </c>
      <c r="E1006" s="148"/>
      <c r="F1006" s="2" t="s">
        <v>374</v>
      </c>
      <c r="G1006" s="55">
        <v>1</v>
      </c>
      <c r="H1006" s="56">
        <v>0</v>
      </c>
      <c r="I1006" s="55">
        <f>G1006*H1006</f>
        <v>0</v>
      </c>
      <c r="J1006" s="55">
        <v>0.06</v>
      </c>
      <c r="K1006" s="55">
        <f>G1006*J1006</f>
        <v>0.06</v>
      </c>
      <c r="L1006" s="57" t="s">
        <v>124</v>
      </c>
      <c r="Z1006" s="55">
        <f>IF(AQ1006="5",BJ1006,0)</f>
        <v>0</v>
      </c>
      <c r="AB1006" s="55">
        <f>IF(AQ1006="1",BH1006,0)</f>
        <v>0</v>
      </c>
      <c r="AC1006" s="55">
        <f>IF(AQ1006="1",BI1006,0)</f>
        <v>0</v>
      </c>
      <c r="AD1006" s="55">
        <f>IF(AQ1006="7",BH1006,0)</f>
        <v>0</v>
      </c>
      <c r="AE1006" s="55">
        <f>IF(AQ1006="7",BI1006,0)</f>
        <v>0</v>
      </c>
      <c r="AF1006" s="55">
        <f>IF(AQ1006="2",BH1006,0)</f>
        <v>0</v>
      </c>
      <c r="AG1006" s="55">
        <f>IF(AQ1006="2",BI1006,0)</f>
        <v>0</v>
      </c>
      <c r="AH1006" s="55">
        <f>IF(AQ1006="0",BJ1006,0)</f>
        <v>0</v>
      </c>
      <c r="AI1006" s="34" t="s">
        <v>116</v>
      </c>
      <c r="AJ1006" s="55">
        <f>IF(AN1006=0,I1006,0)</f>
        <v>0</v>
      </c>
      <c r="AK1006" s="55">
        <f>IF(AN1006=12,I1006,0)</f>
        <v>0</v>
      </c>
      <c r="AL1006" s="55">
        <f>IF(AN1006=21,I1006,0)</f>
        <v>0</v>
      </c>
      <c r="AN1006" s="55">
        <v>21</v>
      </c>
      <c r="AO1006" s="55">
        <f>H1006*0.91627907</f>
        <v>0</v>
      </c>
      <c r="AP1006" s="55">
        <f>H1006*(1-0.91627907)</f>
        <v>0</v>
      </c>
      <c r="AQ1006" s="58" t="s">
        <v>125</v>
      </c>
      <c r="AV1006" s="55">
        <f>AW1006+AX1006</f>
        <v>0</v>
      </c>
      <c r="AW1006" s="55">
        <f>G1006*AO1006</f>
        <v>0</v>
      </c>
      <c r="AX1006" s="55">
        <f>G1006*AP1006</f>
        <v>0</v>
      </c>
      <c r="AY1006" s="58" t="s">
        <v>1905</v>
      </c>
      <c r="AZ1006" s="58" t="s">
        <v>1669</v>
      </c>
      <c r="BA1006" s="34" t="s">
        <v>128</v>
      </c>
      <c r="BB1006" s="67">
        <v>100007</v>
      </c>
      <c r="BC1006" s="55">
        <f>AW1006+AX1006</f>
        <v>0</v>
      </c>
      <c r="BD1006" s="55">
        <f>H1006/(100-BE1006)*100</f>
        <v>0</v>
      </c>
      <c r="BE1006" s="55">
        <v>0</v>
      </c>
      <c r="BF1006" s="55">
        <f>K1006</f>
        <v>0.06</v>
      </c>
      <c r="BH1006" s="55">
        <f>G1006*AO1006</f>
        <v>0</v>
      </c>
      <c r="BI1006" s="55">
        <f>G1006*AP1006</f>
        <v>0</v>
      </c>
      <c r="BJ1006" s="55">
        <f>G1006*H1006</f>
        <v>0</v>
      </c>
      <c r="BK1006" s="55"/>
      <c r="BL1006" s="55">
        <v>766</v>
      </c>
      <c r="BW1006" s="55">
        <v>21</v>
      </c>
    </row>
    <row r="1007" spans="1:12" ht="13.5" customHeight="1">
      <c r="A1007" s="59"/>
      <c r="D1007" s="218" t="s">
        <v>1947</v>
      </c>
      <c r="E1007" s="219"/>
      <c r="F1007" s="219"/>
      <c r="G1007" s="219"/>
      <c r="H1007" s="220"/>
      <c r="I1007" s="219"/>
      <c r="J1007" s="219"/>
      <c r="K1007" s="219"/>
      <c r="L1007" s="221"/>
    </row>
    <row r="1008" spans="1:12" ht="14.4">
      <c r="A1008" s="59"/>
      <c r="D1008" s="60" t="s">
        <v>120</v>
      </c>
      <c r="E1008" s="60" t="s">
        <v>4</v>
      </c>
      <c r="G1008" s="68">
        <v>1</v>
      </c>
      <c r="L1008" s="69"/>
    </row>
    <row r="1009" spans="1:75" ht="13.5" customHeight="1">
      <c r="A1009" s="1" t="s">
        <v>1981</v>
      </c>
      <c r="B1009" s="2" t="s">
        <v>116</v>
      </c>
      <c r="C1009" s="2" t="s">
        <v>1982</v>
      </c>
      <c r="D1009" s="147" t="s">
        <v>1983</v>
      </c>
      <c r="E1009" s="148"/>
      <c r="F1009" s="2" t="s">
        <v>374</v>
      </c>
      <c r="G1009" s="55">
        <v>1</v>
      </c>
      <c r="H1009" s="56">
        <v>0</v>
      </c>
      <c r="I1009" s="55">
        <f>G1009*H1009</f>
        <v>0</v>
      </c>
      <c r="J1009" s="55">
        <v>0.06</v>
      </c>
      <c r="K1009" s="55">
        <f>G1009*J1009</f>
        <v>0.06</v>
      </c>
      <c r="L1009" s="57" t="s">
        <v>124</v>
      </c>
      <c r="Z1009" s="55">
        <f>IF(AQ1009="5",BJ1009,0)</f>
        <v>0</v>
      </c>
      <c r="AB1009" s="55">
        <f>IF(AQ1009="1",BH1009,0)</f>
        <v>0</v>
      </c>
      <c r="AC1009" s="55">
        <f>IF(AQ1009="1",BI1009,0)</f>
        <v>0</v>
      </c>
      <c r="AD1009" s="55">
        <f>IF(AQ1009="7",BH1009,0)</f>
        <v>0</v>
      </c>
      <c r="AE1009" s="55">
        <f>IF(AQ1009="7",BI1009,0)</f>
        <v>0</v>
      </c>
      <c r="AF1009" s="55">
        <f>IF(AQ1009="2",BH1009,0)</f>
        <v>0</v>
      </c>
      <c r="AG1009" s="55">
        <f>IF(AQ1009="2",BI1009,0)</f>
        <v>0</v>
      </c>
      <c r="AH1009" s="55">
        <f>IF(AQ1009="0",BJ1009,0)</f>
        <v>0</v>
      </c>
      <c r="AI1009" s="34" t="s">
        <v>116</v>
      </c>
      <c r="AJ1009" s="55">
        <f>IF(AN1009=0,I1009,0)</f>
        <v>0</v>
      </c>
      <c r="AK1009" s="55">
        <f>IF(AN1009=12,I1009,0)</f>
        <v>0</v>
      </c>
      <c r="AL1009" s="55">
        <f>IF(AN1009=21,I1009,0)</f>
        <v>0</v>
      </c>
      <c r="AN1009" s="55">
        <v>21</v>
      </c>
      <c r="AO1009" s="55">
        <f>H1009*0.91627907</f>
        <v>0</v>
      </c>
      <c r="AP1009" s="55">
        <f>H1009*(1-0.91627907)</f>
        <v>0</v>
      </c>
      <c r="AQ1009" s="58" t="s">
        <v>125</v>
      </c>
      <c r="AV1009" s="55">
        <f>AW1009+AX1009</f>
        <v>0</v>
      </c>
      <c r="AW1009" s="55">
        <f>G1009*AO1009</f>
        <v>0</v>
      </c>
      <c r="AX1009" s="55">
        <f>G1009*AP1009</f>
        <v>0</v>
      </c>
      <c r="AY1009" s="58" t="s">
        <v>1905</v>
      </c>
      <c r="AZ1009" s="58" t="s">
        <v>1669</v>
      </c>
      <c r="BA1009" s="34" t="s">
        <v>128</v>
      </c>
      <c r="BB1009" s="67">
        <v>100007</v>
      </c>
      <c r="BC1009" s="55">
        <f>AW1009+AX1009</f>
        <v>0</v>
      </c>
      <c r="BD1009" s="55">
        <f>H1009/(100-BE1009)*100</f>
        <v>0</v>
      </c>
      <c r="BE1009" s="55">
        <v>0</v>
      </c>
      <c r="BF1009" s="55">
        <f>K1009</f>
        <v>0.06</v>
      </c>
      <c r="BH1009" s="55">
        <f>G1009*AO1009</f>
        <v>0</v>
      </c>
      <c r="BI1009" s="55">
        <f>G1009*AP1009</f>
        <v>0</v>
      </c>
      <c r="BJ1009" s="55">
        <f>G1009*H1009</f>
        <v>0</v>
      </c>
      <c r="BK1009" s="55"/>
      <c r="BL1009" s="55">
        <v>766</v>
      </c>
      <c r="BW1009" s="55">
        <v>21</v>
      </c>
    </row>
    <row r="1010" spans="1:12" ht="13.5" customHeight="1">
      <c r="A1010" s="59"/>
      <c r="D1010" s="218" t="s">
        <v>1947</v>
      </c>
      <c r="E1010" s="219"/>
      <c r="F1010" s="219"/>
      <c r="G1010" s="219"/>
      <c r="H1010" s="220"/>
      <c r="I1010" s="219"/>
      <c r="J1010" s="219"/>
      <c r="K1010" s="219"/>
      <c r="L1010" s="221"/>
    </row>
    <row r="1011" spans="1:12" ht="14.4">
      <c r="A1011" s="59"/>
      <c r="D1011" s="60" t="s">
        <v>120</v>
      </c>
      <c r="E1011" s="60" t="s">
        <v>4</v>
      </c>
      <c r="G1011" s="68">
        <v>1</v>
      </c>
      <c r="L1011" s="69"/>
    </row>
    <row r="1012" spans="1:75" ht="13.5" customHeight="1">
      <c r="A1012" s="1" t="s">
        <v>1984</v>
      </c>
      <c r="B1012" s="2" t="s">
        <v>116</v>
      </c>
      <c r="C1012" s="2" t="s">
        <v>1985</v>
      </c>
      <c r="D1012" s="147" t="s">
        <v>1986</v>
      </c>
      <c r="E1012" s="148"/>
      <c r="F1012" s="2" t="s">
        <v>374</v>
      </c>
      <c r="G1012" s="55">
        <v>1</v>
      </c>
      <c r="H1012" s="56">
        <v>0</v>
      </c>
      <c r="I1012" s="55">
        <f>G1012*H1012</f>
        <v>0</v>
      </c>
      <c r="J1012" s="55">
        <v>0.06</v>
      </c>
      <c r="K1012" s="55">
        <f>G1012*J1012</f>
        <v>0.06</v>
      </c>
      <c r="L1012" s="57" t="s">
        <v>124</v>
      </c>
      <c r="Z1012" s="55">
        <f>IF(AQ1012="5",BJ1012,0)</f>
        <v>0</v>
      </c>
      <c r="AB1012" s="55">
        <f>IF(AQ1012="1",BH1012,0)</f>
        <v>0</v>
      </c>
      <c r="AC1012" s="55">
        <f>IF(AQ1012="1",BI1012,0)</f>
        <v>0</v>
      </c>
      <c r="AD1012" s="55">
        <f>IF(AQ1012="7",BH1012,0)</f>
        <v>0</v>
      </c>
      <c r="AE1012" s="55">
        <f>IF(AQ1012="7",BI1012,0)</f>
        <v>0</v>
      </c>
      <c r="AF1012" s="55">
        <f>IF(AQ1012="2",BH1012,0)</f>
        <v>0</v>
      </c>
      <c r="AG1012" s="55">
        <f>IF(AQ1012="2",BI1012,0)</f>
        <v>0</v>
      </c>
      <c r="AH1012" s="55">
        <f>IF(AQ1012="0",BJ1012,0)</f>
        <v>0</v>
      </c>
      <c r="AI1012" s="34" t="s">
        <v>116</v>
      </c>
      <c r="AJ1012" s="55">
        <f>IF(AN1012=0,I1012,0)</f>
        <v>0</v>
      </c>
      <c r="AK1012" s="55">
        <f>IF(AN1012=12,I1012,0)</f>
        <v>0</v>
      </c>
      <c r="AL1012" s="55">
        <f>IF(AN1012=21,I1012,0)</f>
        <v>0</v>
      </c>
      <c r="AN1012" s="55">
        <v>21</v>
      </c>
      <c r="AO1012" s="55">
        <f>H1012*0.91627907</f>
        <v>0</v>
      </c>
      <c r="AP1012" s="55">
        <f>H1012*(1-0.91627907)</f>
        <v>0</v>
      </c>
      <c r="AQ1012" s="58" t="s">
        <v>125</v>
      </c>
      <c r="AV1012" s="55">
        <f>AW1012+AX1012</f>
        <v>0</v>
      </c>
      <c r="AW1012" s="55">
        <f>G1012*AO1012</f>
        <v>0</v>
      </c>
      <c r="AX1012" s="55">
        <f>G1012*AP1012</f>
        <v>0</v>
      </c>
      <c r="AY1012" s="58" t="s">
        <v>1905</v>
      </c>
      <c r="AZ1012" s="58" t="s">
        <v>1669</v>
      </c>
      <c r="BA1012" s="34" t="s">
        <v>128</v>
      </c>
      <c r="BB1012" s="67">
        <v>100007</v>
      </c>
      <c r="BC1012" s="55">
        <f>AW1012+AX1012</f>
        <v>0</v>
      </c>
      <c r="BD1012" s="55">
        <f>H1012/(100-BE1012)*100</f>
        <v>0</v>
      </c>
      <c r="BE1012" s="55">
        <v>0</v>
      </c>
      <c r="BF1012" s="55">
        <f>K1012</f>
        <v>0.06</v>
      </c>
      <c r="BH1012" s="55">
        <f>G1012*AO1012</f>
        <v>0</v>
      </c>
      <c r="BI1012" s="55">
        <f>G1012*AP1012</f>
        <v>0</v>
      </c>
      <c r="BJ1012" s="55">
        <f>G1012*H1012</f>
        <v>0</v>
      </c>
      <c r="BK1012" s="55"/>
      <c r="BL1012" s="55">
        <v>766</v>
      </c>
      <c r="BW1012" s="55">
        <v>21</v>
      </c>
    </row>
    <row r="1013" spans="1:12" ht="13.5" customHeight="1">
      <c r="A1013" s="59"/>
      <c r="D1013" s="218" t="s">
        <v>1947</v>
      </c>
      <c r="E1013" s="219"/>
      <c r="F1013" s="219"/>
      <c r="G1013" s="219"/>
      <c r="H1013" s="220"/>
      <c r="I1013" s="219"/>
      <c r="J1013" s="219"/>
      <c r="K1013" s="219"/>
      <c r="L1013" s="221"/>
    </row>
    <row r="1014" spans="1:12" ht="14.4">
      <c r="A1014" s="59"/>
      <c r="D1014" s="60" t="s">
        <v>120</v>
      </c>
      <c r="E1014" s="60" t="s">
        <v>4</v>
      </c>
      <c r="G1014" s="68">
        <v>1</v>
      </c>
      <c r="L1014" s="69"/>
    </row>
    <row r="1015" spans="1:75" ht="13.5" customHeight="1">
      <c r="A1015" s="1" t="s">
        <v>1987</v>
      </c>
      <c r="B1015" s="2" t="s">
        <v>116</v>
      </c>
      <c r="C1015" s="2" t="s">
        <v>1988</v>
      </c>
      <c r="D1015" s="147" t="s">
        <v>1989</v>
      </c>
      <c r="E1015" s="148"/>
      <c r="F1015" s="2" t="s">
        <v>374</v>
      </c>
      <c r="G1015" s="55">
        <v>1</v>
      </c>
      <c r="H1015" s="56">
        <v>0</v>
      </c>
      <c r="I1015" s="55">
        <f>G1015*H1015</f>
        <v>0</v>
      </c>
      <c r="J1015" s="55">
        <v>0.06</v>
      </c>
      <c r="K1015" s="55">
        <f>G1015*J1015</f>
        <v>0.06</v>
      </c>
      <c r="L1015" s="57" t="s">
        <v>124</v>
      </c>
      <c r="Z1015" s="55">
        <f>IF(AQ1015="5",BJ1015,0)</f>
        <v>0</v>
      </c>
      <c r="AB1015" s="55">
        <f>IF(AQ1015="1",BH1015,0)</f>
        <v>0</v>
      </c>
      <c r="AC1015" s="55">
        <f>IF(AQ1015="1",BI1015,0)</f>
        <v>0</v>
      </c>
      <c r="AD1015" s="55">
        <f>IF(AQ1015="7",BH1015,0)</f>
        <v>0</v>
      </c>
      <c r="AE1015" s="55">
        <f>IF(AQ1015="7",BI1015,0)</f>
        <v>0</v>
      </c>
      <c r="AF1015" s="55">
        <f>IF(AQ1015="2",BH1015,0)</f>
        <v>0</v>
      </c>
      <c r="AG1015" s="55">
        <f>IF(AQ1015="2",BI1015,0)</f>
        <v>0</v>
      </c>
      <c r="AH1015" s="55">
        <f>IF(AQ1015="0",BJ1015,0)</f>
        <v>0</v>
      </c>
      <c r="AI1015" s="34" t="s">
        <v>116</v>
      </c>
      <c r="AJ1015" s="55">
        <f>IF(AN1015=0,I1015,0)</f>
        <v>0</v>
      </c>
      <c r="AK1015" s="55">
        <f>IF(AN1015=12,I1015,0)</f>
        <v>0</v>
      </c>
      <c r="AL1015" s="55">
        <f>IF(AN1015=21,I1015,0)</f>
        <v>0</v>
      </c>
      <c r="AN1015" s="55">
        <v>21</v>
      </c>
      <c r="AO1015" s="55">
        <f>H1015*0.91627907</f>
        <v>0</v>
      </c>
      <c r="AP1015" s="55">
        <f>H1015*(1-0.91627907)</f>
        <v>0</v>
      </c>
      <c r="AQ1015" s="58" t="s">
        <v>125</v>
      </c>
      <c r="AV1015" s="55">
        <f>AW1015+AX1015</f>
        <v>0</v>
      </c>
      <c r="AW1015" s="55">
        <f>G1015*AO1015</f>
        <v>0</v>
      </c>
      <c r="AX1015" s="55">
        <f>G1015*AP1015</f>
        <v>0</v>
      </c>
      <c r="AY1015" s="58" t="s">
        <v>1905</v>
      </c>
      <c r="AZ1015" s="58" t="s">
        <v>1669</v>
      </c>
      <c r="BA1015" s="34" t="s">
        <v>128</v>
      </c>
      <c r="BB1015" s="67">
        <v>100007</v>
      </c>
      <c r="BC1015" s="55">
        <f>AW1015+AX1015</f>
        <v>0</v>
      </c>
      <c r="BD1015" s="55">
        <f>H1015/(100-BE1015)*100</f>
        <v>0</v>
      </c>
      <c r="BE1015" s="55">
        <v>0</v>
      </c>
      <c r="BF1015" s="55">
        <f>K1015</f>
        <v>0.06</v>
      </c>
      <c r="BH1015" s="55">
        <f>G1015*AO1015</f>
        <v>0</v>
      </c>
      <c r="BI1015" s="55">
        <f>G1015*AP1015</f>
        <v>0</v>
      </c>
      <c r="BJ1015" s="55">
        <f>G1015*H1015</f>
        <v>0</v>
      </c>
      <c r="BK1015" s="55"/>
      <c r="BL1015" s="55">
        <v>766</v>
      </c>
      <c r="BW1015" s="55">
        <v>21</v>
      </c>
    </row>
    <row r="1016" spans="1:12" ht="13.5" customHeight="1">
      <c r="A1016" s="59"/>
      <c r="D1016" s="218" t="s">
        <v>1947</v>
      </c>
      <c r="E1016" s="219"/>
      <c r="F1016" s="219"/>
      <c r="G1016" s="219"/>
      <c r="H1016" s="220"/>
      <c r="I1016" s="219"/>
      <c r="J1016" s="219"/>
      <c r="K1016" s="219"/>
      <c r="L1016" s="221"/>
    </row>
    <row r="1017" spans="1:12" ht="14.4">
      <c r="A1017" s="59"/>
      <c r="D1017" s="60" t="s">
        <v>120</v>
      </c>
      <c r="E1017" s="60" t="s">
        <v>4</v>
      </c>
      <c r="G1017" s="68">
        <v>1</v>
      </c>
      <c r="L1017" s="69"/>
    </row>
    <row r="1018" spans="1:75" ht="13.5" customHeight="1">
      <c r="A1018" s="1" t="s">
        <v>1990</v>
      </c>
      <c r="B1018" s="2" t="s">
        <v>116</v>
      </c>
      <c r="C1018" s="2" t="s">
        <v>1991</v>
      </c>
      <c r="D1018" s="147" t="s">
        <v>1992</v>
      </c>
      <c r="E1018" s="148"/>
      <c r="F1018" s="2" t="s">
        <v>374</v>
      </c>
      <c r="G1018" s="55">
        <v>1</v>
      </c>
      <c r="H1018" s="56">
        <v>0</v>
      </c>
      <c r="I1018" s="55">
        <f>G1018*H1018</f>
        <v>0</v>
      </c>
      <c r="J1018" s="55">
        <v>0.06</v>
      </c>
      <c r="K1018" s="55">
        <f>G1018*J1018</f>
        <v>0.06</v>
      </c>
      <c r="L1018" s="57" t="s">
        <v>124</v>
      </c>
      <c r="Z1018" s="55">
        <f>IF(AQ1018="5",BJ1018,0)</f>
        <v>0</v>
      </c>
      <c r="AB1018" s="55">
        <f>IF(AQ1018="1",BH1018,0)</f>
        <v>0</v>
      </c>
      <c r="AC1018" s="55">
        <f>IF(AQ1018="1",BI1018,0)</f>
        <v>0</v>
      </c>
      <c r="AD1018" s="55">
        <f>IF(AQ1018="7",BH1018,0)</f>
        <v>0</v>
      </c>
      <c r="AE1018" s="55">
        <f>IF(AQ1018="7",BI1018,0)</f>
        <v>0</v>
      </c>
      <c r="AF1018" s="55">
        <f>IF(AQ1018="2",BH1018,0)</f>
        <v>0</v>
      </c>
      <c r="AG1018" s="55">
        <f>IF(AQ1018="2",BI1018,0)</f>
        <v>0</v>
      </c>
      <c r="AH1018" s="55">
        <f>IF(AQ1018="0",BJ1018,0)</f>
        <v>0</v>
      </c>
      <c r="AI1018" s="34" t="s">
        <v>116</v>
      </c>
      <c r="AJ1018" s="55">
        <f>IF(AN1018=0,I1018,0)</f>
        <v>0</v>
      </c>
      <c r="AK1018" s="55">
        <f>IF(AN1018=12,I1018,0)</f>
        <v>0</v>
      </c>
      <c r="AL1018" s="55">
        <f>IF(AN1018=21,I1018,0)</f>
        <v>0</v>
      </c>
      <c r="AN1018" s="55">
        <v>21</v>
      </c>
      <c r="AO1018" s="55">
        <f>H1018*0.91627907</f>
        <v>0</v>
      </c>
      <c r="AP1018" s="55">
        <f>H1018*(1-0.91627907)</f>
        <v>0</v>
      </c>
      <c r="AQ1018" s="58" t="s">
        <v>125</v>
      </c>
      <c r="AV1018" s="55">
        <f>AW1018+AX1018</f>
        <v>0</v>
      </c>
      <c r="AW1018" s="55">
        <f>G1018*AO1018</f>
        <v>0</v>
      </c>
      <c r="AX1018" s="55">
        <f>G1018*AP1018</f>
        <v>0</v>
      </c>
      <c r="AY1018" s="58" t="s">
        <v>1905</v>
      </c>
      <c r="AZ1018" s="58" t="s">
        <v>1669</v>
      </c>
      <c r="BA1018" s="34" t="s">
        <v>128</v>
      </c>
      <c r="BB1018" s="67">
        <v>100007</v>
      </c>
      <c r="BC1018" s="55">
        <f>AW1018+AX1018</f>
        <v>0</v>
      </c>
      <c r="BD1018" s="55">
        <f>H1018/(100-BE1018)*100</f>
        <v>0</v>
      </c>
      <c r="BE1018" s="55">
        <v>0</v>
      </c>
      <c r="BF1018" s="55">
        <f>K1018</f>
        <v>0.06</v>
      </c>
      <c r="BH1018" s="55">
        <f>G1018*AO1018</f>
        <v>0</v>
      </c>
      <c r="BI1018" s="55">
        <f>G1018*AP1018</f>
        <v>0</v>
      </c>
      <c r="BJ1018" s="55">
        <f>G1018*H1018</f>
        <v>0</v>
      </c>
      <c r="BK1018" s="55"/>
      <c r="BL1018" s="55">
        <v>766</v>
      </c>
      <c r="BW1018" s="55">
        <v>21</v>
      </c>
    </row>
    <row r="1019" spans="1:12" ht="13.5" customHeight="1">
      <c r="A1019" s="59"/>
      <c r="D1019" s="218" t="s">
        <v>1947</v>
      </c>
      <c r="E1019" s="219"/>
      <c r="F1019" s="219"/>
      <c r="G1019" s="219"/>
      <c r="H1019" s="220"/>
      <c r="I1019" s="219"/>
      <c r="J1019" s="219"/>
      <c r="K1019" s="219"/>
      <c r="L1019" s="221"/>
    </row>
    <row r="1020" spans="1:12" ht="14.4">
      <c r="A1020" s="59"/>
      <c r="D1020" s="60" t="s">
        <v>120</v>
      </c>
      <c r="E1020" s="60" t="s">
        <v>4</v>
      </c>
      <c r="G1020" s="68">
        <v>1</v>
      </c>
      <c r="L1020" s="69"/>
    </row>
    <row r="1021" spans="1:75" ht="13.5" customHeight="1">
      <c r="A1021" s="1" t="s">
        <v>1993</v>
      </c>
      <c r="B1021" s="2" t="s">
        <v>116</v>
      </c>
      <c r="C1021" s="2" t="s">
        <v>1994</v>
      </c>
      <c r="D1021" s="147" t="s">
        <v>1995</v>
      </c>
      <c r="E1021" s="148"/>
      <c r="F1021" s="2" t="s">
        <v>374</v>
      </c>
      <c r="G1021" s="55">
        <v>1</v>
      </c>
      <c r="H1021" s="56">
        <v>0</v>
      </c>
      <c r="I1021" s="55">
        <f>G1021*H1021</f>
        <v>0</v>
      </c>
      <c r="J1021" s="55">
        <v>0.06</v>
      </c>
      <c r="K1021" s="55">
        <f>G1021*J1021</f>
        <v>0.06</v>
      </c>
      <c r="L1021" s="57" t="s">
        <v>124</v>
      </c>
      <c r="Z1021" s="55">
        <f>IF(AQ1021="5",BJ1021,0)</f>
        <v>0</v>
      </c>
      <c r="AB1021" s="55">
        <f>IF(AQ1021="1",BH1021,0)</f>
        <v>0</v>
      </c>
      <c r="AC1021" s="55">
        <f>IF(AQ1021="1",BI1021,0)</f>
        <v>0</v>
      </c>
      <c r="AD1021" s="55">
        <f>IF(AQ1021="7",BH1021,0)</f>
        <v>0</v>
      </c>
      <c r="AE1021" s="55">
        <f>IF(AQ1021="7",BI1021,0)</f>
        <v>0</v>
      </c>
      <c r="AF1021" s="55">
        <f>IF(AQ1021="2",BH1021,0)</f>
        <v>0</v>
      </c>
      <c r="AG1021" s="55">
        <f>IF(AQ1021="2",BI1021,0)</f>
        <v>0</v>
      </c>
      <c r="AH1021" s="55">
        <f>IF(AQ1021="0",BJ1021,0)</f>
        <v>0</v>
      </c>
      <c r="AI1021" s="34" t="s">
        <v>116</v>
      </c>
      <c r="AJ1021" s="55">
        <f>IF(AN1021=0,I1021,0)</f>
        <v>0</v>
      </c>
      <c r="AK1021" s="55">
        <f>IF(AN1021=12,I1021,0)</f>
        <v>0</v>
      </c>
      <c r="AL1021" s="55">
        <f>IF(AN1021=21,I1021,0)</f>
        <v>0</v>
      </c>
      <c r="AN1021" s="55">
        <v>21</v>
      </c>
      <c r="AO1021" s="55">
        <f>H1021*0.91627907</f>
        <v>0</v>
      </c>
      <c r="AP1021" s="55">
        <f>H1021*(1-0.91627907)</f>
        <v>0</v>
      </c>
      <c r="AQ1021" s="58" t="s">
        <v>125</v>
      </c>
      <c r="AV1021" s="55">
        <f>AW1021+AX1021</f>
        <v>0</v>
      </c>
      <c r="AW1021" s="55">
        <f>G1021*AO1021</f>
        <v>0</v>
      </c>
      <c r="AX1021" s="55">
        <f>G1021*AP1021</f>
        <v>0</v>
      </c>
      <c r="AY1021" s="58" t="s">
        <v>1905</v>
      </c>
      <c r="AZ1021" s="58" t="s">
        <v>1669</v>
      </c>
      <c r="BA1021" s="34" t="s">
        <v>128</v>
      </c>
      <c r="BB1021" s="67">
        <v>100007</v>
      </c>
      <c r="BC1021" s="55">
        <f>AW1021+AX1021</f>
        <v>0</v>
      </c>
      <c r="BD1021" s="55">
        <f>H1021/(100-BE1021)*100</f>
        <v>0</v>
      </c>
      <c r="BE1021" s="55">
        <v>0</v>
      </c>
      <c r="BF1021" s="55">
        <f>K1021</f>
        <v>0.06</v>
      </c>
      <c r="BH1021" s="55">
        <f>G1021*AO1021</f>
        <v>0</v>
      </c>
      <c r="BI1021" s="55">
        <f>G1021*AP1021</f>
        <v>0</v>
      </c>
      <c r="BJ1021" s="55">
        <f>G1021*H1021</f>
        <v>0</v>
      </c>
      <c r="BK1021" s="55"/>
      <c r="BL1021" s="55">
        <v>766</v>
      </c>
      <c r="BW1021" s="55">
        <v>21</v>
      </c>
    </row>
    <row r="1022" spans="1:12" ht="13.5" customHeight="1">
      <c r="A1022" s="59"/>
      <c r="D1022" s="218" t="s">
        <v>1947</v>
      </c>
      <c r="E1022" s="219"/>
      <c r="F1022" s="219"/>
      <c r="G1022" s="219"/>
      <c r="H1022" s="220"/>
      <c r="I1022" s="219"/>
      <c r="J1022" s="219"/>
      <c r="K1022" s="219"/>
      <c r="L1022" s="221"/>
    </row>
    <row r="1023" spans="1:12" ht="14.4">
      <c r="A1023" s="59"/>
      <c r="D1023" s="60" t="s">
        <v>120</v>
      </c>
      <c r="E1023" s="60" t="s">
        <v>4</v>
      </c>
      <c r="G1023" s="68">
        <v>1</v>
      </c>
      <c r="L1023" s="69"/>
    </row>
    <row r="1024" spans="1:75" ht="13.5" customHeight="1">
      <c r="A1024" s="1" t="s">
        <v>1996</v>
      </c>
      <c r="B1024" s="2" t="s">
        <v>116</v>
      </c>
      <c r="C1024" s="2" t="s">
        <v>1997</v>
      </c>
      <c r="D1024" s="147" t="s">
        <v>1998</v>
      </c>
      <c r="E1024" s="148"/>
      <c r="F1024" s="2" t="s">
        <v>374</v>
      </c>
      <c r="G1024" s="55">
        <v>1</v>
      </c>
      <c r="H1024" s="56">
        <v>0</v>
      </c>
      <c r="I1024" s="55">
        <f>G1024*H1024</f>
        <v>0</v>
      </c>
      <c r="J1024" s="55">
        <v>0.06</v>
      </c>
      <c r="K1024" s="55">
        <f>G1024*J1024</f>
        <v>0.06</v>
      </c>
      <c r="L1024" s="57" t="s">
        <v>124</v>
      </c>
      <c r="Z1024" s="55">
        <f>IF(AQ1024="5",BJ1024,0)</f>
        <v>0</v>
      </c>
      <c r="AB1024" s="55">
        <f>IF(AQ1024="1",BH1024,0)</f>
        <v>0</v>
      </c>
      <c r="AC1024" s="55">
        <f>IF(AQ1024="1",BI1024,0)</f>
        <v>0</v>
      </c>
      <c r="AD1024" s="55">
        <f>IF(AQ1024="7",BH1024,0)</f>
        <v>0</v>
      </c>
      <c r="AE1024" s="55">
        <f>IF(AQ1024="7",BI1024,0)</f>
        <v>0</v>
      </c>
      <c r="AF1024" s="55">
        <f>IF(AQ1024="2",BH1024,0)</f>
        <v>0</v>
      </c>
      <c r="AG1024" s="55">
        <f>IF(AQ1024="2",BI1024,0)</f>
        <v>0</v>
      </c>
      <c r="AH1024" s="55">
        <f>IF(AQ1024="0",BJ1024,0)</f>
        <v>0</v>
      </c>
      <c r="AI1024" s="34" t="s">
        <v>116</v>
      </c>
      <c r="AJ1024" s="55">
        <f>IF(AN1024=0,I1024,0)</f>
        <v>0</v>
      </c>
      <c r="AK1024" s="55">
        <f>IF(AN1024=12,I1024,0)</f>
        <v>0</v>
      </c>
      <c r="AL1024" s="55">
        <f>IF(AN1024=21,I1024,0)</f>
        <v>0</v>
      </c>
      <c r="AN1024" s="55">
        <v>21</v>
      </c>
      <c r="AO1024" s="55">
        <f>H1024*0.91627907</f>
        <v>0</v>
      </c>
      <c r="AP1024" s="55">
        <f>H1024*(1-0.91627907)</f>
        <v>0</v>
      </c>
      <c r="AQ1024" s="58" t="s">
        <v>125</v>
      </c>
      <c r="AV1024" s="55">
        <f>AW1024+AX1024</f>
        <v>0</v>
      </c>
      <c r="AW1024" s="55">
        <f>G1024*AO1024</f>
        <v>0</v>
      </c>
      <c r="AX1024" s="55">
        <f>G1024*AP1024</f>
        <v>0</v>
      </c>
      <c r="AY1024" s="58" t="s">
        <v>1905</v>
      </c>
      <c r="AZ1024" s="58" t="s">
        <v>1669</v>
      </c>
      <c r="BA1024" s="34" t="s">
        <v>128</v>
      </c>
      <c r="BB1024" s="67">
        <v>100007</v>
      </c>
      <c r="BC1024" s="55">
        <f>AW1024+AX1024</f>
        <v>0</v>
      </c>
      <c r="BD1024" s="55">
        <f>H1024/(100-BE1024)*100</f>
        <v>0</v>
      </c>
      <c r="BE1024" s="55">
        <v>0</v>
      </c>
      <c r="BF1024" s="55">
        <f>K1024</f>
        <v>0.06</v>
      </c>
      <c r="BH1024" s="55">
        <f>G1024*AO1024</f>
        <v>0</v>
      </c>
      <c r="BI1024" s="55">
        <f>G1024*AP1024</f>
        <v>0</v>
      </c>
      <c r="BJ1024" s="55">
        <f>G1024*H1024</f>
        <v>0</v>
      </c>
      <c r="BK1024" s="55"/>
      <c r="BL1024" s="55">
        <v>766</v>
      </c>
      <c r="BW1024" s="55">
        <v>21</v>
      </c>
    </row>
    <row r="1025" spans="1:12" ht="13.5" customHeight="1">
      <c r="A1025" s="59"/>
      <c r="D1025" s="218" t="s">
        <v>1947</v>
      </c>
      <c r="E1025" s="219"/>
      <c r="F1025" s="219"/>
      <c r="G1025" s="219"/>
      <c r="H1025" s="220"/>
      <c r="I1025" s="219"/>
      <c r="J1025" s="219"/>
      <c r="K1025" s="219"/>
      <c r="L1025" s="221"/>
    </row>
    <row r="1026" spans="1:12" ht="14.4">
      <c r="A1026" s="59"/>
      <c r="D1026" s="60" t="s">
        <v>120</v>
      </c>
      <c r="E1026" s="60" t="s">
        <v>4</v>
      </c>
      <c r="G1026" s="68">
        <v>1</v>
      </c>
      <c r="L1026" s="69"/>
    </row>
    <row r="1027" spans="1:75" ht="13.5" customHeight="1">
      <c r="A1027" s="1" t="s">
        <v>1999</v>
      </c>
      <c r="B1027" s="2" t="s">
        <v>116</v>
      </c>
      <c r="C1027" s="2" t="s">
        <v>2000</v>
      </c>
      <c r="D1027" s="147" t="s">
        <v>2001</v>
      </c>
      <c r="E1027" s="148"/>
      <c r="F1027" s="2" t="s">
        <v>374</v>
      </c>
      <c r="G1027" s="55">
        <v>1</v>
      </c>
      <c r="H1027" s="56">
        <v>0</v>
      </c>
      <c r="I1027" s="55">
        <f>G1027*H1027</f>
        <v>0</v>
      </c>
      <c r="J1027" s="55">
        <v>0.06</v>
      </c>
      <c r="K1027" s="55">
        <f>G1027*J1027</f>
        <v>0.06</v>
      </c>
      <c r="L1027" s="57" t="s">
        <v>124</v>
      </c>
      <c r="Z1027" s="55">
        <f>IF(AQ1027="5",BJ1027,0)</f>
        <v>0</v>
      </c>
      <c r="AB1027" s="55">
        <f>IF(AQ1027="1",BH1027,0)</f>
        <v>0</v>
      </c>
      <c r="AC1027" s="55">
        <f>IF(AQ1027="1",BI1027,0)</f>
        <v>0</v>
      </c>
      <c r="AD1027" s="55">
        <f>IF(AQ1027="7",BH1027,0)</f>
        <v>0</v>
      </c>
      <c r="AE1027" s="55">
        <f>IF(AQ1027="7",BI1027,0)</f>
        <v>0</v>
      </c>
      <c r="AF1027" s="55">
        <f>IF(AQ1027="2",BH1027,0)</f>
        <v>0</v>
      </c>
      <c r="AG1027" s="55">
        <f>IF(AQ1027="2",BI1027,0)</f>
        <v>0</v>
      </c>
      <c r="AH1027" s="55">
        <f>IF(AQ1027="0",BJ1027,0)</f>
        <v>0</v>
      </c>
      <c r="AI1027" s="34" t="s">
        <v>116</v>
      </c>
      <c r="AJ1027" s="55">
        <f>IF(AN1027=0,I1027,0)</f>
        <v>0</v>
      </c>
      <c r="AK1027" s="55">
        <f>IF(AN1027=12,I1027,0)</f>
        <v>0</v>
      </c>
      <c r="AL1027" s="55">
        <f>IF(AN1027=21,I1027,0)</f>
        <v>0</v>
      </c>
      <c r="AN1027" s="55">
        <v>21</v>
      </c>
      <c r="AO1027" s="55">
        <f>H1027*0.91627907</f>
        <v>0</v>
      </c>
      <c r="AP1027" s="55">
        <f>H1027*(1-0.91627907)</f>
        <v>0</v>
      </c>
      <c r="AQ1027" s="58" t="s">
        <v>125</v>
      </c>
      <c r="AV1027" s="55">
        <f>AW1027+AX1027</f>
        <v>0</v>
      </c>
      <c r="AW1027" s="55">
        <f>G1027*AO1027</f>
        <v>0</v>
      </c>
      <c r="AX1027" s="55">
        <f>G1027*AP1027</f>
        <v>0</v>
      </c>
      <c r="AY1027" s="58" t="s">
        <v>1905</v>
      </c>
      <c r="AZ1027" s="58" t="s">
        <v>1669</v>
      </c>
      <c r="BA1027" s="34" t="s">
        <v>128</v>
      </c>
      <c r="BB1027" s="67">
        <v>100007</v>
      </c>
      <c r="BC1027" s="55">
        <f>AW1027+AX1027</f>
        <v>0</v>
      </c>
      <c r="BD1027" s="55">
        <f>H1027/(100-BE1027)*100</f>
        <v>0</v>
      </c>
      <c r="BE1027" s="55">
        <v>0</v>
      </c>
      <c r="BF1027" s="55">
        <f>K1027</f>
        <v>0.06</v>
      </c>
      <c r="BH1027" s="55">
        <f>G1027*AO1027</f>
        <v>0</v>
      </c>
      <c r="BI1027" s="55">
        <f>G1027*AP1027</f>
        <v>0</v>
      </c>
      <c r="BJ1027" s="55">
        <f>G1027*H1027</f>
        <v>0</v>
      </c>
      <c r="BK1027" s="55"/>
      <c r="BL1027" s="55">
        <v>766</v>
      </c>
      <c r="BW1027" s="55">
        <v>21</v>
      </c>
    </row>
    <row r="1028" spans="1:12" ht="13.5" customHeight="1">
      <c r="A1028" s="59"/>
      <c r="D1028" s="218" t="s">
        <v>1947</v>
      </c>
      <c r="E1028" s="219"/>
      <c r="F1028" s="219"/>
      <c r="G1028" s="219"/>
      <c r="H1028" s="220"/>
      <c r="I1028" s="219"/>
      <c r="J1028" s="219"/>
      <c r="K1028" s="219"/>
      <c r="L1028" s="221"/>
    </row>
    <row r="1029" spans="1:12" ht="14.4">
      <c r="A1029" s="59"/>
      <c r="D1029" s="60" t="s">
        <v>120</v>
      </c>
      <c r="E1029" s="60" t="s">
        <v>4</v>
      </c>
      <c r="G1029" s="68">
        <v>1</v>
      </c>
      <c r="L1029" s="69"/>
    </row>
    <row r="1030" spans="1:75" ht="13.5" customHeight="1">
      <c r="A1030" s="1" t="s">
        <v>2002</v>
      </c>
      <c r="B1030" s="2" t="s">
        <v>116</v>
      </c>
      <c r="C1030" s="2" t="s">
        <v>2003</v>
      </c>
      <c r="D1030" s="147" t="s">
        <v>2004</v>
      </c>
      <c r="E1030" s="148"/>
      <c r="F1030" s="2" t="s">
        <v>374</v>
      </c>
      <c r="G1030" s="55">
        <v>1</v>
      </c>
      <c r="H1030" s="56">
        <v>0</v>
      </c>
      <c r="I1030" s="55">
        <f>G1030*H1030</f>
        <v>0</v>
      </c>
      <c r="J1030" s="55">
        <v>0.06</v>
      </c>
      <c r="K1030" s="55">
        <f>G1030*J1030</f>
        <v>0.06</v>
      </c>
      <c r="L1030" s="57" t="s">
        <v>124</v>
      </c>
      <c r="Z1030" s="55">
        <f>IF(AQ1030="5",BJ1030,0)</f>
        <v>0</v>
      </c>
      <c r="AB1030" s="55">
        <f>IF(AQ1030="1",BH1030,0)</f>
        <v>0</v>
      </c>
      <c r="AC1030" s="55">
        <f>IF(AQ1030="1",BI1030,0)</f>
        <v>0</v>
      </c>
      <c r="AD1030" s="55">
        <f>IF(AQ1030="7",BH1030,0)</f>
        <v>0</v>
      </c>
      <c r="AE1030" s="55">
        <f>IF(AQ1030="7",BI1030,0)</f>
        <v>0</v>
      </c>
      <c r="AF1030" s="55">
        <f>IF(AQ1030="2",BH1030,0)</f>
        <v>0</v>
      </c>
      <c r="AG1030" s="55">
        <f>IF(AQ1030="2",BI1030,0)</f>
        <v>0</v>
      </c>
      <c r="AH1030" s="55">
        <f>IF(AQ1030="0",BJ1030,0)</f>
        <v>0</v>
      </c>
      <c r="AI1030" s="34" t="s">
        <v>116</v>
      </c>
      <c r="AJ1030" s="55">
        <f>IF(AN1030=0,I1030,0)</f>
        <v>0</v>
      </c>
      <c r="AK1030" s="55">
        <f>IF(AN1030=12,I1030,0)</f>
        <v>0</v>
      </c>
      <c r="AL1030" s="55">
        <f>IF(AN1030=21,I1030,0)</f>
        <v>0</v>
      </c>
      <c r="AN1030" s="55">
        <v>21</v>
      </c>
      <c r="AO1030" s="55">
        <f>H1030*0.91627907</f>
        <v>0</v>
      </c>
      <c r="AP1030" s="55">
        <f>H1030*(1-0.91627907)</f>
        <v>0</v>
      </c>
      <c r="AQ1030" s="58" t="s">
        <v>125</v>
      </c>
      <c r="AV1030" s="55">
        <f>AW1030+AX1030</f>
        <v>0</v>
      </c>
      <c r="AW1030" s="55">
        <f>G1030*AO1030</f>
        <v>0</v>
      </c>
      <c r="AX1030" s="55">
        <f>G1030*AP1030</f>
        <v>0</v>
      </c>
      <c r="AY1030" s="58" t="s">
        <v>1905</v>
      </c>
      <c r="AZ1030" s="58" t="s">
        <v>1669</v>
      </c>
      <c r="BA1030" s="34" t="s">
        <v>128</v>
      </c>
      <c r="BB1030" s="67">
        <v>100007</v>
      </c>
      <c r="BC1030" s="55">
        <f>AW1030+AX1030</f>
        <v>0</v>
      </c>
      <c r="BD1030" s="55">
        <f>H1030/(100-BE1030)*100</f>
        <v>0</v>
      </c>
      <c r="BE1030" s="55">
        <v>0</v>
      </c>
      <c r="BF1030" s="55">
        <f>K1030</f>
        <v>0.06</v>
      </c>
      <c r="BH1030" s="55">
        <f>G1030*AO1030</f>
        <v>0</v>
      </c>
      <c r="BI1030" s="55">
        <f>G1030*AP1030</f>
        <v>0</v>
      </c>
      <c r="BJ1030" s="55">
        <f>G1030*H1030</f>
        <v>0</v>
      </c>
      <c r="BK1030" s="55"/>
      <c r="BL1030" s="55">
        <v>766</v>
      </c>
      <c r="BW1030" s="55">
        <v>21</v>
      </c>
    </row>
    <row r="1031" spans="1:12" ht="13.5" customHeight="1">
      <c r="A1031" s="59"/>
      <c r="D1031" s="218" t="s">
        <v>1947</v>
      </c>
      <c r="E1031" s="219"/>
      <c r="F1031" s="219"/>
      <c r="G1031" s="219"/>
      <c r="H1031" s="220"/>
      <c r="I1031" s="219"/>
      <c r="J1031" s="219"/>
      <c r="K1031" s="219"/>
      <c r="L1031" s="221"/>
    </row>
    <row r="1032" spans="1:12" ht="14.4">
      <c r="A1032" s="59"/>
      <c r="D1032" s="60" t="s">
        <v>120</v>
      </c>
      <c r="E1032" s="60" t="s">
        <v>4</v>
      </c>
      <c r="G1032" s="68">
        <v>1</v>
      </c>
      <c r="L1032" s="69"/>
    </row>
    <row r="1033" spans="1:75" ht="13.5" customHeight="1">
      <c r="A1033" s="1" t="s">
        <v>2005</v>
      </c>
      <c r="B1033" s="2" t="s">
        <v>116</v>
      </c>
      <c r="C1033" s="2" t="s">
        <v>2006</v>
      </c>
      <c r="D1033" s="147" t="s">
        <v>2007</v>
      </c>
      <c r="E1033" s="148"/>
      <c r="F1033" s="2" t="s">
        <v>374</v>
      </c>
      <c r="G1033" s="55">
        <v>1</v>
      </c>
      <c r="H1033" s="56">
        <v>0</v>
      </c>
      <c r="I1033" s="55">
        <f>G1033*H1033</f>
        <v>0</v>
      </c>
      <c r="J1033" s="55">
        <v>0.06</v>
      </c>
      <c r="K1033" s="55">
        <f>G1033*J1033</f>
        <v>0.06</v>
      </c>
      <c r="L1033" s="57" t="s">
        <v>124</v>
      </c>
      <c r="Z1033" s="55">
        <f>IF(AQ1033="5",BJ1033,0)</f>
        <v>0</v>
      </c>
      <c r="AB1033" s="55">
        <f>IF(AQ1033="1",BH1033,0)</f>
        <v>0</v>
      </c>
      <c r="AC1033" s="55">
        <f>IF(AQ1033="1",BI1033,0)</f>
        <v>0</v>
      </c>
      <c r="AD1033" s="55">
        <f>IF(AQ1033="7",BH1033,0)</f>
        <v>0</v>
      </c>
      <c r="AE1033" s="55">
        <f>IF(AQ1033="7",BI1033,0)</f>
        <v>0</v>
      </c>
      <c r="AF1033" s="55">
        <f>IF(AQ1033="2",BH1033,0)</f>
        <v>0</v>
      </c>
      <c r="AG1033" s="55">
        <f>IF(AQ1033="2",BI1033,0)</f>
        <v>0</v>
      </c>
      <c r="AH1033" s="55">
        <f>IF(AQ1033="0",BJ1033,0)</f>
        <v>0</v>
      </c>
      <c r="AI1033" s="34" t="s">
        <v>116</v>
      </c>
      <c r="AJ1033" s="55">
        <f>IF(AN1033=0,I1033,0)</f>
        <v>0</v>
      </c>
      <c r="AK1033" s="55">
        <f>IF(AN1033=12,I1033,0)</f>
        <v>0</v>
      </c>
      <c r="AL1033" s="55">
        <f>IF(AN1033=21,I1033,0)</f>
        <v>0</v>
      </c>
      <c r="AN1033" s="55">
        <v>21</v>
      </c>
      <c r="AO1033" s="55">
        <f>H1033*0.91627907</f>
        <v>0</v>
      </c>
      <c r="AP1033" s="55">
        <f>H1033*(1-0.91627907)</f>
        <v>0</v>
      </c>
      <c r="AQ1033" s="58" t="s">
        <v>125</v>
      </c>
      <c r="AV1033" s="55">
        <f>AW1033+AX1033</f>
        <v>0</v>
      </c>
      <c r="AW1033" s="55">
        <f>G1033*AO1033</f>
        <v>0</v>
      </c>
      <c r="AX1033" s="55">
        <f>G1033*AP1033</f>
        <v>0</v>
      </c>
      <c r="AY1033" s="58" t="s">
        <v>1905</v>
      </c>
      <c r="AZ1033" s="58" t="s">
        <v>1669</v>
      </c>
      <c r="BA1033" s="34" t="s">
        <v>128</v>
      </c>
      <c r="BB1033" s="67">
        <v>100007</v>
      </c>
      <c r="BC1033" s="55">
        <f>AW1033+AX1033</f>
        <v>0</v>
      </c>
      <c r="BD1033" s="55">
        <f>H1033/(100-BE1033)*100</f>
        <v>0</v>
      </c>
      <c r="BE1033" s="55">
        <v>0</v>
      </c>
      <c r="BF1033" s="55">
        <f>K1033</f>
        <v>0.06</v>
      </c>
      <c r="BH1033" s="55">
        <f>G1033*AO1033</f>
        <v>0</v>
      </c>
      <c r="BI1033" s="55">
        <f>G1033*AP1033</f>
        <v>0</v>
      </c>
      <c r="BJ1033" s="55">
        <f>G1033*H1033</f>
        <v>0</v>
      </c>
      <c r="BK1033" s="55"/>
      <c r="BL1033" s="55">
        <v>766</v>
      </c>
      <c r="BW1033" s="55">
        <v>21</v>
      </c>
    </row>
    <row r="1034" spans="1:12" ht="13.5" customHeight="1">
      <c r="A1034" s="59"/>
      <c r="D1034" s="218" t="s">
        <v>1947</v>
      </c>
      <c r="E1034" s="219"/>
      <c r="F1034" s="219"/>
      <c r="G1034" s="219"/>
      <c r="H1034" s="220"/>
      <c r="I1034" s="219"/>
      <c r="J1034" s="219"/>
      <c r="K1034" s="219"/>
      <c r="L1034" s="221"/>
    </row>
    <row r="1035" spans="1:12" ht="14.4">
      <c r="A1035" s="59"/>
      <c r="D1035" s="60" t="s">
        <v>120</v>
      </c>
      <c r="E1035" s="60" t="s">
        <v>4</v>
      </c>
      <c r="G1035" s="68">
        <v>1</v>
      </c>
      <c r="L1035" s="69"/>
    </row>
    <row r="1036" spans="1:75" ht="13.5" customHeight="1">
      <c r="A1036" s="1" t="s">
        <v>2008</v>
      </c>
      <c r="B1036" s="2" t="s">
        <v>116</v>
      </c>
      <c r="C1036" s="2" t="s">
        <v>2009</v>
      </c>
      <c r="D1036" s="147" t="s">
        <v>2010</v>
      </c>
      <c r="E1036" s="148"/>
      <c r="F1036" s="2" t="s">
        <v>374</v>
      </c>
      <c r="G1036" s="55">
        <v>1</v>
      </c>
      <c r="H1036" s="56">
        <v>0</v>
      </c>
      <c r="I1036" s="55">
        <f>G1036*H1036</f>
        <v>0</v>
      </c>
      <c r="J1036" s="55">
        <v>0.06</v>
      </c>
      <c r="K1036" s="55">
        <f>G1036*J1036</f>
        <v>0.06</v>
      </c>
      <c r="L1036" s="57" t="s">
        <v>124</v>
      </c>
      <c r="Z1036" s="55">
        <f>IF(AQ1036="5",BJ1036,0)</f>
        <v>0</v>
      </c>
      <c r="AB1036" s="55">
        <f>IF(AQ1036="1",BH1036,0)</f>
        <v>0</v>
      </c>
      <c r="AC1036" s="55">
        <f>IF(AQ1036="1",BI1036,0)</f>
        <v>0</v>
      </c>
      <c r="AD1036" s="55">
        <f>IF(AQ1036="7",BH1036,0)</f>
        <v>0</v>
      </c>
      <c r="AE1036" s="55">
        <f>IF(AQ1036="7",BI1036,0)</f>
        <v>0</v>
      </c>
      <c r="AF1036" s="55">
        <f>IF(AQ1036="2",BH1036,0)</f>
        <v>0</v>
      </c>
      <c r="AG1036" s="55">
        <f>IF(AQ1036="2",BI1036,0)</f>
        <v>0</v>
      </c>
      <c r="AH1036" s="55">
        <f>IF(AQ1036="0",BJ1036,0)</f>
        <v>0</v>
      </c>
      <c r="AI1036" s="34" t="s">
        <v>116</v>
      </c>
      <c r="AJ1036" s="55">
        <f>IF(AN1036=0,I1036,0)</f>
        <v>0</v>
      </c>
      <c r="AK1036" s="55">
        <f>IF(AN1036=12,I1036,0)</f>
        <v>0</v>
      </c>
      <c r="AL1036" s="55">
        <f>IF(AN1036=21,I1036,0)</f>
        <v>0</v>
      </c>
      <c r="AN1036" s="55">
        <v>21</v>
      </c>
      <c r="AO1036" s="55">
        <f>H1036*0.91627907</f>
        <v>0</v>
      </c>
      <c r="AP1036" s="55">
        <f>H1036*(1-0.91627907)</f>
        <v>0</v>
      </c>
      <c r="AQ1036" s="58" t="s">
        <v>125</v>
      </c>
      <c r="AV1036" s="55">
        <f>AW1036+AX1036</f>
        <v>0</v>
      </c>
      <c r="AW1036" s="55">
        <f>G1036*AO1036</f>
        <v>0</v>
      </c>
      <c r="AX1036" s="55">
        <f>G1036*AP1036</f>
        <v>0</v>
      </c>
      <c r="AY1036" s="58" t="s">
        <v>1905</v>
      </c>
      <c r="AZ1036" s="58" t="s">
        <v>1669</v>
      </c>
      <c r="BA1036" s="34" t="s">
        <v>128</v>
      </c>
      <c r="BB1036" s="67">
        <v>100007</v>
      </c>
      <c r="BC1036" s="55">
        <f>AW1036+AX1036</f>
        <v>0</v>
      </c>
      <c r="BD1036" s="55">
        <f>H1036/(100-BE1036)*100</f>
        <v>0</v>
      </c>
      <c r="BE1036" s="55">
        <v>0</v>
      </c>
      <c r="BF1036" s="55">
        <f>K1036</f>
        <v>0.06</v>
      </c>
      <c r="BH1036" s="55">
        <f>G1036*AO1036</f>
        <v>0</v>
      </c>
      <c r="BI1036" s="55">
        <f>G1036*AP1036</f>
        <v>0</v>
      </c>
      <c r="BJ1036" s="55">
        <f>G1036*H1036</f>
        <v>0</v>
      </c>
      <c r="BK1036" s="55"/>
      <c r="BL1036" s="55">
        <v>766</v>
      </c>
      <c r="BW1036" s="55">
        <v>21</v>
      </c>
    </row>
    <row r="1037" spans="1:12" ht="13.5" customHeight="1">
      <c r="A1037" s="59"/>
      <c r="D1037" s="218" t="s">
        <v>1947</v>
      </c>
      <c r="E1037" s="219"/>
      <c r="F1037" s="219"/>
      <c r="G1037" s="219"/>
      <c r="H1037" s="220"/>
      <c r="I1037" s="219"/>
      <c r="J1037" s="219"/>
      <c r="K1037" s="219"/>
      <c r="L1037" s="221"/>
    </row>
    <row r="1038" spans="1:12" ht="14.4">
      <c r="A1038" s="59"/>
      <c r="D1038" s="60" t="s">
        <v>120</v>
      </c>
      <c r="E1038" s="60" t="s">
        <v>4</v>
      </c>
      <c r="G1038" s="68">
        <v>1</v>
      </c>
      <c r="L1038" s="69"/>
    </row>
    <row r="1039" spans="1:75" ht="13.5" customHeight="1">
      <c r="A1039" s="1" t="s">
        <v>2011</v>
      </c>
      <c r="B1039" s="2" t="s">
        <v>116</v>
      </c>
      <c r="C1039" s="2" t="s">
        <v>2012</v>
      </c>
      <c r="D1039" s="147" t="s">
        <v>2013</v>
      </c>
      <c r="E1039" s="148"/>
      <c r="F1039" s="2" t="s">
        <v>374</v>
      </c>
      <c r="G1039" s="55">
        <v>1</v>
      </c>
      <c r="H1039" s="56">
        <v>0</v>
      </c>
      <c r="I1039" s="55">
        <f>G1039*H1039</f>
        <v>0</v>
      </c>
      <c r="J1039" s="55">
        <v>0.06</v>
      </c>
      <c r="K1039" s="55">
        <f>G1039*J1039</f>
        <v>0.06</v>
      </c>
      <c r="L1039" s="57" t="s">
        <v>124</v>
      </c>
      <c r="Z1039" s="55">
        <f>IF(AQ1039="5",BJ1039,0)</f>
        <v>0</v>
      </c>
      <c r="AB1039" s="55">
        <f>IF(AQ1039="1",BH1039,0)</f>
        <v>0</v>
      </c>
      <c r="AC1039" s="55">
        <f>IF(AQ1039="1",BI1039,0)</f>
        <v>0</v>
      </c>
      <c r="AD1039" s="55">
        <f>IF(AQ1039="7",BH1039,0)</f>
        <v>0</v>
      </c>
      <c r="AE1039" s="55">
        <f>IF(AQ1039="7",BI1039,0)</f>
        <v>0</v>
      </c>
      <c r="AF1039" s="55">
        <f>IF(AQ1039="2",BH1039,0)</f>
        <v>0</v>
      </c>
      <c r="AG1039" s="55">
        <f>IF(AQ1039="2",BI1039,0)</f>
        <v>0</v>
      </c>
      <c r="AH1039" s="55">
        <f>IF(AQ1039="0",BJ1039,0)</f>
        <v>0</v>
      </c>
      <c r="AI1039" s="34" t="s">
        <v>116</v>
      </c>
      <c r="AJ1039" s="55">
        <f>IF(AN1039=0,I1039,0)</f>
        <v>0</v>
      </c>
      <c r="AK1039" s="55">
        <f>IF(AN1039=12,I1039,0)</f>
        <v>0</v>
      </c>
      <c r="AL1039" s="55">
        <f>IF(AN1039=21,I1039,0)</f>
        <v>0</v>
      </c>
      <c r="AN1039" s="55">
        <v>21</v>
      </c>
      <c r="AO1039" s="55">
        <f>H1039*0.91627907</f>
        <v>0</v>
      </c>
      <c r="AP1039" s="55">
        <f>H1039*(1-0.91627907)</f>
        <v>0</v>
      </c>
      <c r="AQ1039" s="58" t="s">
        <v>125</v>
      </c>
      <c r="AV1039" s="55">
        <f>AW1039+AX1039</f>
        <v>0</v>
      </c>
      <c r="AW1039" s="55">
        <f>G1039*AO1039</f>
        <v>0</v>
      </c>
      <c r="AX1039" s="55">
        <f>G1039*AP1039</f>
        <v>0</v>
      </c>
      <c r="AY1039" s="58" t="s">
        <v>1905</v>
      </c>
      <c r="AZ1039" s="58" t="s">
        <v>1669</v>
      </c>
      <c r="BA1039" s="34" t="s">
        <v>128</v>
      </c>
      <c r="BB1039" s="67">
        <v>100007</v>
      </c>
      <c r="BC1039" s="55">
        <f>AW1039+AX1039</f>
        <v>0</v>
      </c>
      <c r="BD1039" s="55">
        <f>H1039/(100-BE1039)*100</f>
        <v>0</v>
      </c>
      <c r="BE1039" s="55">
        <v>0</v>
      </c>
      <c r="BF1039" s="55">
        <f>K1039</f>
        <v>0.06</v>
      </c>
      <c r="BH1039" s="55">
        <f>G1039*AO1039</f>
        <v>0</v>
      </c>
      <c r="BI1039" s="55">
        <f>G1039*AP1039</f>
        <v>0</v>
      </c>
      <c r="BJ1039" s="55">
        <f>G1039*H1039</f>
        <v>0</v>
      </c>
      <c r="BK1039" s="55"/>
      <c r="BL1039" s="55">
        <v>766</v>
      </c>
      <c r="BW1039" s="55">
        <v>21</v>
      </c>
    </row>
    <row r="1040" spans="1:12" ht="13.5" customHeight="1">
      <c r="A1040" s="59"/>
      <c r="D1040" s="218" t="s">
        <v>1947</v>
      </c>
      <c r="E1040" s="219"/>
      <c r="F1040" s="219"/>
      <c r="G1040" s="219"/>
      <c r="H1040" s="220"/>
      <c r="I1040" s="219"/>
      <c r="J1040" s="219"/>
      <c r="K1040" s="219"/>
      <c r="L1040" s="221"/>
    </row>
    <row r="1041" spans="1:12" ht="14.4">
      <c r="A1041" s="59"/>
      <c r="D1041" s="60" t="s">
        <v>120</v>
      </c>
      <c r="E1041" s="60" t="s">
        <v>4</v>
      </c>
      <c r="G1041" s="68">
        <v>1</v>
      </c>
      <c r="L1041" s="69"/>
    </row>
    <row r="1042" spans="1:75" ht="13.5" customHeight="1">
      <c r="A1042" s="1" t="s">
        <v>2014</v>
      </c>
      <c r="B1042" s="2" t="s">
        <v>116</v>
      </c>
      <c r="C1042" s="2" t="s">
        <v>2015</v>
      </c>
      <c r="D1042" s="147" t="s">
        <v>2016</v>
      </c>
      <c r="E1042" s="148"/>
      <c r="F1042" s="2" t="s">
        <v>374</v>
      </c>
      <c r="G1042" s="55">
        <v>1</v>
      </c>
      <c r="H1042" s="56">
        <v>0</v>
      </c>
      <c r="I1042" s="55">
        <f>G1042*H1042</f>
        <v>0</v>
      </c>
      <c r="J1042" s="55">
        <v>0.06</v>
      </c>
      <c r="K1042" s="55">
        <f>G1042*J1042</f>
        <v>0.06</v>
      </c>
      <c r="L1042" s="57" t="s">
        <v>124</v>
      </c>
      <c r="Z1042" s="55">
        <f>IF(AQ1042="5",BJ1042,0)</f>
        <v>0</v>
      </c>
      <c r="AB1042" s="55">
        <f>IF(AQ1042="1",BH1042,0)</f>
        <v>0</v>
      </c>
      <c r="AC1042" s="55">
        <f>IF(AQ1042="1",BI1042,0)</f>
        <v>0</v>
      </c>
      <c r="AD1042" s="55">
        <f>IF(AQ1042="7",BH1042,0)</f>
        <v>0</v>
      </c>
      <c r="AE1042" s="55">
        <f>IF(AQ1042="7",BI1042,0)</f>
        <v>0</v>
      </c>
      <c r="AF1042" s="55">
        <f>IF(AQ1042="2",BH1042,0)</f>
        <v>0</v>
      </c>
      <c r="AG1042" s="55">
        <f>IF(AQ1042="2",BI1042,0)</f>
        <v>0</v>
      </c>
      <c r="AH1042" s="55">
        <f>IF(AQ1042="0",BJ1042,0)</f>
        <v>0</v>
      </c>
      <c r="AI1042" s="34" t="s">
        <v>116</v>
      </c>
      <c r="AJ1042" s="55">
        <f>IF(AN1042=0,I1042,0)</f>
        <v>0</v>
      </c>
      <c r="AK1042" s="55">
        <f>IF(AN1042=12,I1042,0)</f>
        <v>0</v>
      </c>
      <c r="AL1042" s="55">
        <f>IF(AN1042=21,I1042,0)</f>
        <v>0</v>
      </c>
      <c r="AN1042" s="55">
        <v>21</v>
      </c>
      <c r="AO1042" s="55">
        <f>H1042*0.91627907</f>
        <v>0</v>
      </c>
      <c r="AP1042" s="55">
        <f>H1042*(1-0.91627907)</f>
        <v>0</v>
      </c>
      <c r="AQ1042" s="58" t="s">
        <v>125</v>
      </c>
      <c r="AV1042" s="55">
        <f>AW1042+AX1042</f>
        <v>0</v>
      </c>
      <c r="AW1042" s="55">
        <f>G1042*AO1042</f>
        <v>0</v>
      </c>
      <c r="AX1042" s="55">
        <f>G1042*AP1042</f>
        <v>0</v>
      </c>
      <c r="AY1042" s="58" t="s">
        <v>1905</v>
      </c>
      <c r="AZ1042" s="58" t="s">
        <v>1669</v>
      </c>
      <c r="BA1042" s="34" t="s">
        <v>128</v>
      </c>
      <c r="BB1042" s="67">
        <v>100007</v>
      </c>
      <c r="BC1042" s="55">
        <f>AW1042+AX1042</f>
        <v>0</v>
      </c>
      <c r="BD1042" s="55">
        <f>H1042/(100-BE1042)*100</f>
        <v>0</v>
      </c>
      <c r="BE1042" s="55">
        <v>0</v>
      </c>
      <c r="BF1042" s="55">
        <f>K1042</f>
        <v>0.06</v>
      </c>
      <c r="BH1042" s="55">
        <f>G1042*AO1042</f>
        <v>0</v>
      </c>
      <c r="BI1042" s="55">
        <f>G1042*AP1042</f>
        <v>0</v>
      </c>
      <c r="BJ1042" s="55">
        <f>G1042*H1042</f>
        <v>0</v>
      </c>
      <c r="BK1042" s="55"/>
      <c r="BL1042" s="55">
        <v>766</v>
      </c>
      <c r="BW1042" s="55">
        <v>21</v>
      </c>
    </row>
    <row r="1043" spans="1:12" ht="13.5" customHeight="1">
      <c r="A1043" s="59"/>
      <c r="D1043" s="218" t="s">
        <v>1947</v>
      </c>
      <c r="E1043" s="219"/>
      <c r="F1043" s="219"/>
      <c r="G1043" s="219"/>
      <c r="H1043" s="220"/>
      <c r="I1043" s="219"/>
      <c r="J1043" s="219"/>
      <c r="K1043" s="219"/>
      <c r="L1043" s="221"/>
    </row>
    <row r="1044" spans="1:12" ht="14.4">
      <c r="A1044" s="59"/>
      <c r="D1044" s="60" t="s">
        <v>120</v>
      </c>
      <c r="E1044" s="60" t="s">
        <v>4</v>
      </c>
      <c r="G1044" s="68">
        <v>1</v>
      </c>
      <c r="L1044" s="69"/>
    </row>
    <row r="1045" spans="1:75" ht="13.5" customHeight="1">
      <c r="A1045" s="1" t="s">
        <v>2017</v>
      </c>
      <c r="B1045" s="2" t="s">
        <v>116</v>
      </c>
      <c r="C1045" s="2" t="s">
        <v>2018</v>
      </c>
      <c r="D1045" s="147" t="s">
        <v>2019</v>
      </c>
      <c r="E1045" s="148"/>
      <c r="F1045" s="2" t="s">
        <v>374</v>
      </c>
      <c r="G1045" s="55">
        <v>1</v>
      </c>
      <c r="H1045" s="56">
        <v>0</v>
      </c>
      <c r="I1045" s="55">
        <f>G1045*H1045</f>
        <v>0</v>
      </c>
      <c r="J1045" s="55">
        <v>0.06</v>
      </c>
      <c r="K1045" s="55">
        <f>G1045*J1045</f>
        <v>0.06</v>
      </c>
      <c r="L1045" s="57" t="s">
        <v>124</v>
      </c>
      <c r="Z1045" s="55">
        <f>IF(AQ1045="5",BJ1045,0)</f>
        <v>0</v>
      </c>
      <c r="AB1045" s="55">
        <f>IF(AQ1045="1",BH1045,0)</f>
        <v>0</v>
      </c>
      <c r="AC1045" s="55">
        <f>IF(AQ1045="1",BI1045,0)</f>
        <v>0</v>
      </c>
      <c r="AD1045" s="55">
        <f>IF(AQ1045="7",BH1045,0)</f>
        <v>0</v>
      </c>
      <c r="AE1045" s="55">
        <f>IF(AQ1045="7",BI1045,0)</f>
        <v>0</v>
      </c>
      <c r="AF1045" s="55">
        <f>IF(AQ1045="2",BH1045,0)</f>
        <v>0</v>
      </c>
      <c r="AG1045" s="55">
        <f>IF(AQ1045="2",BI1045,0)</f>
        <v>0</v>
      </c>
      <c r="AH1045" s="55">
        <f>IF(AQ1045="0",BJ1045,0)</f>
        <v>0</v>
      </c>
      <c r="AI1045" s="34" t="s">
        <v>116</v>
      </c>
      <c r="AJ1045" s="55">
        <f>IF(AN1045=0,I1045,0)</f>
        <v>0</v>
      </c>
      <c r="AK1045" s="55">
        <f>IF(AN1045=12,I1045,0)</f>
        <v>0</v>
      </c>
      <c r="AL1045" s="55">
        <f>IF(AN1045=21,I1045,0)</f>
        <v>0</v>
      </c>
      <c r="AN1045" s="55">
        <v>21</v>
      </c>
      <c r="AO1045" s="55">
        <f>H1045*0.91627907</f>
        <v>0</v>
      </c>
      <c r="AP1045" s="55">
        <f>H1045*(1-0.91627907)</f>
        <v>0</v>
      </c>
      <c r="AQ1045" s="58" t="s">
        <v>125</v>
      </c>
      <c r="AV1045" s="55">
        <f>AW1045+AX1045</f>
        <v>0</v>
      </c>
      <c r="AW1045" s="55">
        <f>G1045*AO1045</f>
        <v>0</v>
      </c>
      <c r="AX1045" s="55">
        <f>G1045*AP1045</f>
        <v>0</v>
      </c>
      <c r="AY1045" s="58" t="s">
        <v>1905</v>
      </c>
      <c r="AZ1045" s="58" t="s">
        <v>1669</v>
      </c>
      <c r="BA1045" s="34" t="s">
        <v>128</v>
      </c>
      <c r="BB1045" s="67">
        <v>100007</v>
      </c>
      <c r="BC1045" s="55">
        <f>AW1045+AX1045</f>
        <v>0</v>
      </c>
      <c r="BD1045" s="55">
        <f>H1045/(100-BE1045)*100</f>
        <v>0</v>
      </c>
      <c r="BE1045" s="55">
        <v>0</v>
      </c>
      <c r="BF1045" s="55">
        <f>K1045</f>
        <v>0.06</v>
      </c>
      <c r="BH1045" s="55">
        <f>G1045*AO1045</f>
        <v>0</v>
      </c>
      <c r="BI1045" s="55">
        <f>G1045*AP1045</f>
        <v>0</v>
      </c>
      <c r="BJ1045" s="55">
        <f>G1045*H1045</f>
        <v>0</v>
      </c>
      <c r="BK1045" s="55"/>
      <c r="BL1045" s="55">
        <v>766</v>
      </c>
      <c r="BW1045" s="55">
        <v>21</v>
      </c>
    </row>
    <row r="1046" spans="1:12" ht="13.5" customHeight="1">
      <c r="A1046" s="59"/>
      <c r="D1046" s="218" t="s">
        <v>1947</v>
      </c>
      <c r="E1046" s="219"/>
      <c r="F1046" s="219"/>
      <c r="G1046" s="219"/>
      <c r="H1046" s="220"/>
      <c r="I1046" s="219"/>
      <c r="J1046" s="219"/>
      <c r="K1046" s="219"/>
      <c r="L1046" s="221"/>
    </row>
    <row r="1047" spans="1:12" ht="14.4">
      <c r="A1047" s="59"/>
      <c r="D1047" s="60" t="s">
        <v>120</v>
      </c>
      <c r="E1047" s="60" t="s">
        <v>4</v>
      </c>
      <c r="G1047" s="68">
        <v>1</v>
      </c>
      <c r="L1047" s="69"/>
    </row>
    <row r="1048" spans="1:75" ht="13.5" customHeight="1">
      <c r="A1048" s="1" t="s">
        <v>2020</v>
      </c>
      <c r="B1048" s="2" t="s">
        <v>116</v>
      </c>
      <c r="C1048" s="2" t="s">
        <v>2021</v>
      </c>
      <c r="D1048" s="147" t="s">
        <v>2022</v>
      </c>
      <c r="E1048" s="148"/>
      <c r="F1048" s="2" t="s">
        <v>939</v>
      </c>
      <c r="G1048" s="55">
        <v>2.68</v>
      </c>
      <c r="H1048" s="56">
        <v>0</v>
      </c>
      <c r="I1048" s="55">
        <f>G1048*H1048</f>
        <v>0</v>
      </c>
      <c r="J1048" s="55">
        <v>0</v>
      </c>
      <c r="K1048" s="55">
        <f>G1048*J1048</f>
        <v>0</v>
      </c>
      <c r="L1048" s="57" t="s">
        <v>785</v>
      </c>
      <c r="Z1048" s="55">
        <f>IF(AQ1048="5",BJ1048,0)</f>
        <v>0</v>
      </c>
      <c r="AB1048" s="55">
        <f>IF(AQ1048="1",BH1048,0)</f>
        <v>0</v>
      </c>
      <c r="AC1048" s="55">
        <f>IF(AQ1048="1",BI1048,0)</f>
        <v>0</v>
      </c>
      <c r="AD1048" s="55">
        <f>IF(AQ1048="7",BH1048,0)</f>
        <v>0</v>
      </c>
      <c r="AE1048" s="55">
        <f>IF(AQ1048="7",BI1048,0)</f>
        <v>0</v>
      </c>
      <c r="AF1048" s="55">
        <f>IF(AQ1048="2",BH1048,0)</f>
        <v>0</v>
      </c>
      <c r="AG1048" s="55">
        <f>IF(AQ1048="2",BI1048,0)</f>
        <v>0</v>
      </c>
      <c r="AH1048" s="55">
        <f>IF(AQ1048="0",BJ1048,0)</f>
        <v>0</v>
      </c>
      <c r="AI1048" s="34" t="s">
        <v>116</v>
      </c>
      <c r="AJ1048" s="55">
        <f>IF(AN1048=0,I1048,0)</f>
        <v>0</v>
      </c>
      <c r="AK1048" s="55">
        <f>IF(AN1048=12,I1048,0)</f>
        <v>0</v>
      </c>
      <c r="AL1048" s="55">
        <f>IF(AN1048=21,I1048,0)</f>
        <v>0</v>
      </c>
      <c r="AN1048" s="55">
        <v>21</v>
      </c>
      <c r="AO1048" s="55">
        <f>H1048*0</f>
        <v>0</v>
      </c>
      <c r="AP1048" s="55">
        <f>H1048*(1-0)</f>
        <v>0</v>
      </c>
      <c r="AQ1048" s="58" t="s">
        <v>139</v>
      </c>
      <c r="AV1048" s="55">
        <f>AW1048+AX1048</f>
        <v>0</v>
      </c>
      <c r="AW1048" s="55">
        <f>G1048*AO1048</f>
        <v>0</v>
      </c>
      <c r="AX1048" s="55">
        <f>G1048*AP1048</f>
        <v>0</v>
      </c>
      <c r="AY1048" s="58" t="s">
        <v>1905</v>
      </c>
      <c r="AZ1048" s="58" t="s">
        <v>1669</v>
      </c>
      <c r="BA1048" s="34" t="s">
        <v>128</v>
      </c>
      <c r="BC1048" s="55">
        <f>AW1048+AX1048</f>
        <v>0</v>
      </c>
      <c r="BD1048" s="55">
        <f>H1048/(100-BE1048)*100</f>
        <v>0</v>
      </c>
      <c r="BE1048" s="55">
        <v>0</v>
      </c>
      <c r="BF1048" s="55">
        <f>K1048</f>
        <v>0</v>
      </c>
      <c r="BH1048" s="55">
        <f>G1048*AO1048</f>
        <v>0</v>
      </c>
      <c r="BI1048" s="55">
        <f>G1048*AP1048</f>
        <v>0</v>
      </c>
      <c r="BJ1048" s="55">
        <f>G1048*H1048</f>
        <v>0</v>
      </c>
      <c r="BK1048" s="55"/>
      <c r="BL1048" s="55">
        <v>766</v>
      </c>
      <c r="BW1048" s="55">
        <v>21</v>
      </c>
    </row>
    <row r="1049" spans="1:12" ht="14.4">
      <c r="A1049" s="59"/>
      <c r="D1049" s="60" t="s">
        <v>2023</v>
      </c>
      <c r="E1049" s="60" t="s">
        <v>4</v>
      </c>
      <c r="G1049" s="68">
        <v>2.68</v>
      </c>
      <c r="L1049" s="69"/>
    </row>
    <row r="1050" spans="1:47" ht="14.4">
      <c r="A1050" s="50" t="s">
        <v>4</v>
      </c>
      <c r="B1050" s="51" t="s">
        <v>116</v>
      </c>
      <c r="C1050" s="51" t="s">
        <v>2024</v>
      </c>
      <c r="D1050" s="222" t="s">
        <v>2025</v>
      </c>
      <c r="E1050" s="223"/>
      <c r="F1050" s="52" t="s">
        <v>79</v>
      </c>
      <c r="G1050" s="52" t="s">
        <v>79</v>
      </c>
      <c r="H1050" s="53" t="s">
        <v>79</v>
      </c>
      <c r="I1050" s="27">
        <f>SUM(I1051:I1110)</f>
        <v>0</v>
      </c>
      <c r="J1050" s="34" t="s">
        <v>4</v>
      </c>
      <c r="K1050" s="27">
        <f>SUM(K1051:K1110)</f>
        <v>23.716900799999998</v>
      </c>
      <c r="L1050" s="54" t="s">
        <v>4</v>
      </c>
      <c r="AI1050" s="34" t="s">
        <v>116</v>
      </c>
      <c r="AS1050" s="27">
        <f>SUM(AJ1051:AJ1110)</f>
        <v>0</v>
      </c>
      <c r="AT1050" s="27">
        <f>SUM(AK1051:AK1110)</f>
        <v>0</v>
      </c>
      <c r="AU1050" s="27">
        <f>SUM(AL1051:AL1110)</f>
        <v>0</v>
      </c>
    </row>
    <row r="1051" spans="1:75" ht="13.5" customHeight="1">
      <c r="A1051" s="1" t="s">
        <v>2026</v>
      </c>
      <c r="B1051" s="2" t="s">
        <v>116</v>
      </c>
      <c r="C1051" s="2" t="s">
        <v>2027</v>
      </c>
      <c r="D1051" s="147" t="s">
        <v>2028</v>
      </c>
      <c r="E1051" s="148"/>
      <c r="F1051" s="2" t="s">
        <v>400</v>
      </c>
      <c r="G1051" s="55">
        <v>1</v>
      </c>
      <c r="H1051" s="56">
        <v>0</v>
      </c>
      <c r="I1051" s="55">
        <f>G1051*H1051</f>
        <v>0</v>
      </c>
      <c r="J1051" s="55">
        <v>0</v>
      </c>
      <c r="K1051" s="55">
        <f>G1051*J1051</f>
        <v>0</v>
      </c>
      <c r="L1051" s="57" t="s">
        <v>124</v>
      </c>
      <c r="Z1051" s="55">
        <f>IF(AQ1051="5",BJ1051,0)</f>
        <v>0</v>
      </c>
      <c r="AB1051" s="55">
        <f>IF(AQ1051="1",BH1051,0)</f>
        <v>0</v>
      </c>
      <c r="AC1051" s="55">
        <f>IF(AQ1051="1",BI1051,0)</f>
        <v>0</v>
      </c>
      <c r="AD1051" s="55">
        <f>IF(AQ1051="7",BH1051,0)</f>
        <v>0</v>
      </c>
      <c r="AE1051" s="55">
        <f>IF(AQ1051="7",BI1051,0)</f>
        <v>0</v>
      </c>
      <c r="AF1051" s="55">
        <f>IF(AQ1051="2",BH1051,0)</f>
        <v>0</v>
      </c>
      <c r="AG1051" s="55">
        <f>IF(AQ1051="2",BI1051,0)</f>
        <v>0</v>
      </c>
      <c r="AH1051" s="55">
        <f>IF(AQ1051="0",BJ1051,0)</f>
        <v>0</v>
      </c>
      <c r="AI1051" s="34" t="s">
        <v>116</v>
      </c>
      <c r="AJ1051" s="55">
        <f>IF(AN1051=0,I1051,0)</f>
        <v>0</v>
      </c>
      <c r="AK1051" s="55">
        <f>IF(AN1051=12,I1051,0)</f>
        <v>0</v>
      </c>
      <c r="AL1051" s="55">
        <f>IF(AN1051=21,I1051,0)</f>
        <v>0</v>
      </c>
      <c r="AN1051" s="55">
        <v>21</v>
      </c>
      <c r="AO1051" s="55">
        <f>H1051*0</f>
        <v>0</v>
      </c>
      <c r="AP1051" s="55">
        <f>H1051*(1-0)</f>
        <v>0</v>
      </c>
      <c r="AQ1051" s="58" t="s">
        <v>130</v>
      </c>
      <c r="AV1051" s="55">
        <f>AW1051+AX1051</f>
        <v>0</v>
      </c>
      <c r="AW1051" s="55">
        <f>G1051*AO1051</f>
        <v>0</v>
      </c>
      <c r="AX1051" s="55">
        <f>G1051*AP1051</f>
        <v>0</v>
      </c>
      <c r="AY1051" s="58" t="s">
        <v>2029</v>
      </c>
      <c r="AZ1051" s="58" t="s">
        <v>1669</v>
      </c>
      <c r="BA1051" s="34" t="s">
        <v>128</v>
      </c>
      <c r="BB1051" s="67">
        <v>100006</v>
      </c>
      <c r="BC1051" s="55">
        <f>AW1051+AX1051</f>
        <v>0</v>
      </c>
      <c r="BD1051" s="55">
        <f>H1051/(100-BE1051)*100</f>
        <v>0</v>
      </c>
      <c r="BE1051" s="55">
        <v>0</v>
      </c>
      <c r="BF1051" s="55">
        <f>K1051</f>
        <v>0</v>
      </c>
      <c r="BH1051" s="55">
        <f>G1051*AO1051</f>
        <v>0</v>
      </c>
      <c r="BI1051" s="55">
        <f>G1051*AP1051</f>
        <v>0</v>
      </c>
      <c r="BJ1051" s="55">
        <f>G1051*H1051</f>
        <v>0</v>
      </c>
      <c r="BK1051" s="55"/>
      <c r="BL1051" s="55">
        <v>767</v>
      </c>
      <c r="BW1051" s="55">
        <v>21</v>
      </c>
    </row>
    <row r="1052" spans="1:12" ht="13.5" customHeight="1">
      <c r="A1052" s="59"/>
      <c r="D1052" s="218" t="s">
        <v>2030</v>
      </c>
      <c r="E1052" s="219"/>
      <c r="F1052" s="219"/>
      <c r="G1052" s="219"/>
      <c r="H1052" s="220"/>
      <c r="I1052" s="219"/>
      <c r="J1052" s="219"/>
      <c r="K1052" s="219"/>
      <c r="L1052" s="221"/>
    </row>
    <row r="1053" spans="1:12" ht="14.4">
      <c r="A1053" s="59"/>
      <c r="D1053" s="60" t="s">
        <v>120</v>
      </c>
      <c r="E1053" s="60" t="s">
        <v>4</v>
      </c>
      <c r="G1053" s="68">
        <v>1</v>
      </c>
      <c r="L1053" s="69"/>
    </row>
    <row r="1054" spans="1:75" ht="13.5" customHeight="1">
      <c r="A1054" s="1" t="s">
        <v>2031</v>
      </c>
      <c r="B1054" s="2" t="s">
        <v>116</v>
      </c>
      <c r="C1054" s="2" t="s">
        <v>2032</v>
      </c>
      <c r="D1054" s="147" t="s">
        <v>2033</v>
      </c>
      <c r="E1054" s="148"/>
      <c r="F1054" s="2" t="s">
        <v>1731</v>
      </c>
      <c r="G1054" s="55">
        <v>10850.83</v>
      </c>
      <c r="H1054" s="56">
        <v>0</v>
      </c>
      <c r="I1054" s="55">
        <f>G1054*H1054</f>
        <v>0</v>
      </c>
      <c r="J1054" s="55">
        <v>6E-05</v>
      </c>
      <c r="K1054" s="55">
        <f>G1054*J1054</f>
        <v>0.6510498</v>
      </c>
      <c r="L1054" s="57" t="s">
        <v>124</v>
      </c>
      <c r="Z1054" s="55">
        <f>IF(AQ1054="5",BJ1054,0)</f>
        <v>0</v>
      </c>
      <c r="AB1054" s="55">
        <f>IF(AQ1054="1",BH1054,0)</f>
        <v>0</v>
      </c>
      <c r="AC1054" s="55">
        <f>IF(AQ1054="1",BI1054,0)</f>
        <v>0</v>
      </c>
      <c r="AD1054" s="55">
        <f>IF(AQ1054="7",BH1054,0)</f>
        <v>0</v>
      </c>
      <c r="AE1054" s="55">
        <f>IF(AQ1054="7",BI1054,0)</f>
        <v>0</v>
      </c>
      <c r="AF1054" s="55">
        <f>IF(AQ1054="2",BH1054,0)</f>
        <v>0</v>
      </c>
      <c r="AG1054" s="55">
        <f>IF(AQ1054="2",BI1054,0)</f>
        <v>0</v>
      </c>
      <c r="AH1054" s="55">
        <f>IF(AQ1054="0",BJ1054,0)</f>
        <v>0</v>
      </c>
      <c r="AI1054" s="34" t="s">
        <v>116</v>
      </c>
      <c r="AJ1054" s="55">
        <f>IF(AN1054=0,I1054,0)</f>
        <v>0</v>
      </c>
      <c r="AK1054" s="55">
        <f>IF(AN1054=12,I1054,0)</f>
        <v>0</v>
      </c>
      <c r="AL1054" s="55">
        <f>IF(AN1054=21,I1054,0)</f>
        <v>0</v>
      </c>
      <c r="AN1054" s="55">
        <v>21</v>
      </c>
      <c r="AO1054" s="55">
        <f>H1054*0</f>
        <v>0</v>
      </c>
      <c r="AP1054" s="55">
        <f>H1054*(1-0)</f>
        <v>0</v>
      </c>
      <c r="AQ1054" s="58" t="s">
        <v>125</v>
      </c>
      <c r="AV1054" s="55">
        <f>AW1054+AX1054</f>
        <v>0</v>
      </c>
      <c r="AW1054" s="55">
        <f>G1054*AO1054</f>
        <v>0</v>
      </c>
      <c r="AX1054" s="55">
        <f>G1054*AP1054</f>
        <v>0</v>
      </c>
      <c r="AY1054" s="58" t="s">
        <v>2029</v>
      </c>
      <c r="AZ1054" s="58" t="s">
        <v>1669</v>
      </c>
      <c r="BA1054" s="34" t="s">
        <v>128</v>
      </c>
      <c r="BB1054" s="67">
        <v>100006</v>
      </c>
      <c r="BC1054" s="55">
        <f>AW1054+AX1054</f>
        <v>0</v>
      </c>
      <c r="BD1054" s="55">
        <f>H1054/(100-BE1054)*100</f>
        <v>0</v>
      </c>
      <c r="BE1054" s="55">
        <v>0</v>
      </c>
      <c r="BF1054" s="55">
        <f>K1054</f>
        <v>0.6510498</v>
      </c>
      <c r="BH1054" s="55">
        <f>G1054*AO1054</f>
        <v>0</v>
      </c>
      <c r="BI1054" s="55">
        <f>G1054*AP1054</f>
        <v>0</v>
      </c>
      <c r="BJ1054" s="55">
        <f>G1054*H1054</f>
        <v>0</v>
      </c>
      <c r="BK1054" s="55"/>
      <c r="BL1054" s="55">
        <v>767</v>
      </c>
      <c r="BW1054" s="55">
        <v>21</v>
      </c>
    </row>
    <row r="1055" spans="1:12" ht="13.5" customHeight="1">
      <c r="A1055" s="59"/>
      <c r="D1055" s="218" t="s">
        <v>2034</v>
      </c>
      <c r="E1055" s="219"/>
      <c r="F1055" s="219"/>
      <c r="G1055" s="219"/>
      <c r="H1055" s="220"/>
      <c r="I1055" s="219"/>
      <c r="J1055" s="219"/>
      <c r="K1055" s="219"/>
      <c r="L1055" s="221"/>
    </row>
    <row r="1056" spans="1:12" ht="14.4">
      <c r="A1056" s="59"/>
      <c r="D1056" s="60" t="s">
        <v>2035</v>
      </c>
      <c r="E1056" s="60" t="s">
        <v>2036</v>
      </c>
      <c r="G1056" s="68">
        <v>9545.36</v>
      </c>
      <c r="L1056" s="69"/>
    </row>
    <row r="1057" spans="1:12" ht="14.4">
      <c r="A1057" s="59"/>
      <c r="D1057" s="60" t="s">
        <v>2037</v>
      </c>
      <c r="E1057" s="60" t="s">
        <v>2038</v>
      </c>
      <c r="G1057" s="68">
        <v>142.88</v>
      </c>
      <c r="L1057" s="69"/>
    </row>
    <row r="1058" spans="1:12" ht="14.4">
      <c r="A1058" s="59"/>
      <c r="D1058" s="60" t="s">
        <v>2039</v>
      </c>
      <c r="E1058" s="60" t="s">
        <v>2040</v>
      </c>
      <c r="G1058" s="68">
        <v>1162.59</v>
      </c>
      <c r="L1058" s="69"/>
    </row>
    <row r="1059" spans="1:75" ht="13.5" customHeight="1">
      <c r="A1059" s="61" t="s">
        <v>2041</v>
      </c>
      <c r="B1059" s="62" t="s">
        <v>116</v>
      </c>
      <c r="C1059" s="62" t="s">
        <v>2042</v>
      </c>
      <c r="D1059" s="224" t="s">
        <v>2043</v>
      </c>
      <c r="E1059" s="225"/>
      <c r="F1059" s="62" t="s">
        <v>1731</v>
      </c>
      <c r="G1059" s="63">
        <v>10022.63</v>
      </c>
      <c r="H1059" s="64">
        <v>0</v>
      </c>
      <c r="I1059" s="63">
        <f>G1059*H1059</f>
        <v>0</v>
      </c>
      <c r="J1059" s="63">
        <v>0.001</v>
      </c>
      <c r="K1059" s="63">
        <f>G1059*J1059</f>
        <v>10.02263</v>
      </c>
      <c r="L1059" s="65" t="s">
        <v>124</v>
      </c>
      <c r="Z1059" s="55">
        <f>IF(AQ1059="5",BJ1059,0)</f>
        <v>0</v>
      </c>
      <c r="AB1059" s="55">
        <f>IF(AQ1059="1",BH1059,0)</f>
        <v>0</v>
      </c>
      <c r="AC1059" s="55">
        <f>IF(AQ1059="1",BI1059,0)</f>
        <v>0</v>
      </c>
      <c r="AD1059" s="55">
        <f>IF(AQ1059="7",BH1059,0)</f>
        <v>0</v>
      </c>
      <c r="AE1059" s="55">
        <f>IF(AQ1059="7",BI1059,0)</f>
        <v>0</v>
      </c>
      <c r="AF1059" s="55">
        <f>IF(AQ1059="2",BH1059,0)</f>
        <v>0</v>
      </c>
      <c r="AG1059" s="55">
        <f>IF(AQ1059="2",BI1059,0)</f>
        <v>0</v>
      </c>
      <c r="AH1059" s="55">
        <f>IF(AQ1059="0",BJ1059,0)</f>
        <v>0</v>
      </c>
      <c r="AI1059" s="34" t="s">
        <v>116</v>
      </c>
      <c r="AJ1059" s="63">
        <f>IF(AN1059=0,I1059,0)</f>
        <v>0</v>
      </c>
      <c r="AK1059" s="63">
        <f>IF(AN1059=12,I1059,0)</f>
        <v>0</v>
      </c>
      <c r="AL1059" s="63">
        <f>IF(AN1059=21,I1059,0)</f>
        <v>0</v>
      </c>
      <c r="AN1059" s="55">
        <v>21</v>
      </c>
      <c r="AO1059" s="55">
        <f>H1059*1</f>
        <v>0</v>
      </c>
      <c r="AP1059" s="55">
        <f>H1059*(1-1)</f>
        <v>0</v>
      </c>
      <c r="AQ1059" s="66" t="s">
        <v>125</v>
      </c>
      <c r="AV1059" s="55">
        <f>AW1059+AX1059</f>
        <v>0</v>
      </c>
      <c r="AW1059" s="55">
        <f>G1059*AO1059</f>
        <v>0</v>
      </c>
      <c r="AX1059" s="55">
        <f>G1059*AP1059</f>
        <v>0</v>
      </c>
      <c r="AY1059" s="58" t="s">
        <v>2029</v>
      </c>
      <c r="AZ1059" s="58" t="s">
        <v>1669</v>
      </c>
      <c r="BA1059" s="34" t="s">
        <v>128</v>
      </c>
      <c r="BC1059" s="55">
        <f>AW1059+AX1059</f>
        <v>0</v>
      </c>
      <c r="BD1059" s="55">
        <f>H1059/(100-BE1059)*100</f>
        <v>0</v>
      </c>
      <c r="BE1059" s="55">
        <v>0</v>
      </c>
      <c r="BF1059" s="55">
        <f>K1059</f>
        <v>10.02263</v>
      </c>
      <c r="BH1059" s="63">
        <f>G1059*AO1059</f>
        <v>0</v>
      </c>
      <c r="BI1059" s="63">
        <f>G1059*AP1059</f>
        <v>0</v>
      </c>
      <c r="BJ1059" s="63">
        <f>G1059*H1059</f>
        <v>0</v>
      </c>
      <c r="BK1059" s="63"/>
      <c r="BL1059" s="55">
        <v>767</v>
      </c>
      <c r="BW1059" s="55">
        <v>21</v>
      </c>
    </row>
    <row r="1060" spans="1:12" ht="14.4">
      <c r="A1060" s="59"/>
      <c r="D1060" s="60" t="s">
        <v>2044</v>
      </c>
      <c r="E1060" s="60" t="s">
        <v>4</v>
      </c>
      <c r="G1060" s="68">
        <v>9545.36</v>
      </c>
      <c r="L1060" s="69"/>
    </row>
    <row r="1061" spans="1:12" ht="14.4">
      <c r="A1061" s="59"/>
      <c r="D1061" s="60" t="s">
        <v>2045</v>
      </c>
      <c r="E1061" s="60" t="s">
        <v>4</v>
      </c>
      <c r="G1061" s="68">
        <v>477.27</v>
      </c>
      <c r="L1061" s="69"/>
    </row>
    <row r="1062" spans="1:75" ht="13.5" customHeight="1">
      <c r="A1062" s="61" t="s">
        <v>2046</v>
      </c>
      <c r="B1062" s="62" t="s">
        <v>116</v>
      </c>
      <c r="C1062" s="62" t="s">
        <v>2047</v>
      </c>
      <c r="D1062" s="224" t="s">
        <v>2048</v>
      </c>
      <c r="E1062" s="225"/>
      <c r="F1062" s="62" t="s">
        <v>1731</v>
      </c>
      <c r="G1062" s="63">
        <v>150.02</v>
      </c>
      <c r="H1062" s="64">
        <v>0</v>
      </c>
      <c r="I1062" s="63">
        <f>G1062*H1062</f>
        <v>0</v>
      </c>
      <c r="J1062" s="63">
        <v>0.001</v>
      </c>
      <c r="K1062" s="63">
        <f>G1062*J1062</f>
        <v>0.15002000000000001</v>
      </c>
      <c r="L1062" s="65" t="s">
        <v>124</v>
      </c>
      <c r="Z1062" s="55">
        <f>IF(AQ1062="5",BJ1062,0)</f>
        <v>0</v>
      </c>
      <c r="AB1062" s="55">
        <f>IF(AQ1062="1",BH1062,0)</f>
        <v>0</v>
      </c>
      <c r="AC1062" s="55">
        <f>IF(AQ1062="1",BI1062,0)</f>
        <v>0</v>
      </c>
      <c r="AD1062" s="55">
        <f>IF(AQ1062="7",BH1062,0)</f>
        <v>0</v>
      </c>
      <c r="AE1062" s="55">
        <f>IF(AQ1062="7",BI1062,0)</f>
        <v>0</v>
      </c>
      <c r="AF1062" s="55">
        <f>IF(AQ1062="2",BH1062,0)</f>
        <v>0</v>
      </c>
      <c r="AG1062" s="55">
        <f>IF(AQ1062="2",BI1062,0)</f>
        <v>0</v>
      </c>
      <c r="AH1062" s="55">
        <f>IF(AQ1062="0",BJ1062,0)</f>
        <v>0</v>
      </c>
      <c r="AI1062" s="34" t="s">
        <v>116</v>
      </c>
      <c r="AJ1062" s="63">
        <f>IF(AN1062=0,I1062,0)</f>
        <v>0</v>
      </c>
      <c r="AK1062" s="63">
        <f>IF(AN1062=12,I1062,0)</f>
        <v>0</v>
      </c>
      <c r="AL1062" s="63">
        <f>IF(AN1062=21,I1062,0)</f>
        <v>0</v>
      </c>
      <c r="AN1062" s="55">
        <v>21</v>
      </c>
      <c r="AO1062" s="55">
        <f>H1062*1</f>
        <v>0</v>
      </c>
      <c r="AP1062" s="55">
        <f>H1062*(1-1)</f>
        <v>0</v>
      </c>
      <c r="AQ1062" s="66" t="s">
        <v>125</v>
      </c>
      <c r="AV1062" s="55">
        <f>AW1062+AX1062</f>
        <v>0</v>
      </c>
      <c r="AW1062" s="55">
        <f>G1062*AO1062</f>
        <v>0</v>
      </c>
      <c r="AX1062" s="55">
        <f>G1062*AP1062</f>
        <v>0</v>
      </c>
      <c r="AY1062" s="58" t="s">
        <v>2029</v>
      </c>
      <c r="AZ1062" s="58" t="s">
        <v>1669</v>
      </c>
      <c r="BA1062" s="34" t="s">
        <v>128</v>
      </c>
      <c r="BC1062" s="55">
        <f>AW1062+AX1062</f>
        <v>0</v>
      </c>
      <c r="BD1062" s="55">
        <f>H1062/(100-BE1062)*100</f>
        <v>0</v>
      </c>
      <c r="BE1062" s="55">
        <v>0</v>
      </c>
      <c r="BF1062" s="55">
        <f>K1062</f>
        <v>0.15002000000000001</v>
      </c>
      <c r="BH1062" s="63">
        <f>G1062*AO1062</f>
        <v>0</v>
      </c>
      <c r="BI1062" s="63">
        <f>G1062*AP1062</f>
        <v>0</v>
      </c>
      <c r="BJ1062" s="63">
        <f>G1062*H1062</f>
        <v>0</v>
      </c>
      <c r="BK1062" s="63"/>
      <c r="BL1062" s="55">
        <v>767</v>
      </c>
      <c r="BW1062" s="55">
        <v>21</v>
      </c>
    </row>
    <row r="1063" spans="1:12" ht="14.4">
      <c r="A1063" s="59"/>
      <c r="D1063" s="60" t="s">
        <v>2037</v>
      </c>
      <c r="E1063" s="60" t="s">
        <v>4</v>
      </c>
      <c r="G1063" s="68">
        <v>142.88</v>
      </c>
      <c r="L1063" s="69"/>
    </row>
    <row r="1064" spans="1:12" ht="14.4">
      <c r="A1064" s="59"/>
      <c r="D1064" s="60" t="s">
        <v>2049</v>
      </c>
      <c r="E1064" s="60" t="s">
        <v>4</v>
      </c>
      <c r="G1064" s="68">
        <v>7.14</v>
      </c>
      <c r="L1064" s="69"/>
    </row>
    <row r="1065" spans="1:75" ht="13.5" customHeight="1">
      <c r="A1065" s="61" t="s">
        <v>2050</v>
      </c>
      <c r="B1065" s="62" t="s">
        <v>116</v>
      </c>
      <c r="C1065" s="62" t="s">
        <v>2051</v>
      </c>
      <c r="D1065" s="224" t="s">
        <v>2052</v>
      </c>
      <c r="E1065" s="225"/>
      <c r="F1065" s="62" t="s">
        <v>1731</v>
      </c>
      <c r="G1065" s="63">
        <v>1163</v>
      </c>
      <c r="H1065" s="64">
        <v>0</v>
      </c>
      <c r="I1065" s="63">
        <f>G1065*H1065</f>
        <v>0</v>
      </c>
      <c r="J1065" s="63">
        <v>0.001</v>
      </c>
      <c r="K1065" s="63">
        <f>G1065*J1065</f>
        <v>1.163</v>
      </c>
      <c r="L1065" s="65" t="s">
        <v>124</v>
      </c>
      <c r="Z1065" s="55">
        <f>IF(AQ1065="5",BJ1065,0)</f>
        <v>0</v>
      </c>
      <c r="AB1065" s="55">
        <f>IF(AQ1065="1",BH1065,0)</f>
        <v>0</v>
      </c>
      <c r="AC1065" s="55">
        <f>IF(AQ1065="1",BI1065,0)</f>
        <v>0</v>
      </c>
      <c r="AD1065" s="55">
        <f>IF(AQ1065="7",BH1065,0)</f>
        <v>0</v>
      </c>
      <c r="AE1065" s="55">
        <f>IF(AQ1065="7",BI1065,0)</f>
        <v>0</v>
      </c>
      <c r="AF1065" s="55">
        <f>IF(AQ1065="2",BH1065,0)</f>
        <v>0</v>
      </c>
      <c r="AG1065" s="55">
        <f>IF(AQ1065="2",BI1065,0)</f>
        <v>0</v>
      </c>
      <c r="AH1065" s="55">
        <f>IF(AQ1065="0",BJ1065,0)</f>
        <v>0</v>
      </c>
      <c r="AI1065" s="34" t="s">
        <v>116</v>
      </c>
      <c r="AJ1065" s="63">
        <f>IF(AN1065=0,I1065,0)</f>
        <v>0</v>
      </c>
      <c r="AK1065" s="63">
        <f>IF(AN1065=12,I1065,0)</f>
        <v>0</v>
      </c>
      <c r="AL1065" s="63">
        <f>IF(AN1065=21,I1065,0)</f>
        <v>0</v>
      </c>
      <c r="AN1065" s="55">
        <v>21</v>
      </c>
      <c r="AO1065" s="55">
        <f>H1065*1</f>
        <v>0</v>
      </c>
      <c r="AP1065" s="55">
        <f>H1065*(1-1)</f>
        <v>0</v>
      </c>
      <c r="AQ1065" s="66" t="s">
        <v>125</v>
      </c>
      <c r="AV1065" s="55">
        <f>AW1065+AX1065</f>
        <v>0</v>
      </c>
      <c r="AW1065" s="55">
        <f>G1065*AO1065</f>
        <v>0</v>
      </c>
      <c r="AX1065" s="55">
        <f>G1065*AP1065</f>
        <v>0</v>
      </c>
      <c r="AY1065" s="58" t="s">
        <v>2029</v>
      </c>
      <c r="AZ1065" s="58" t="s">
        <v>1669</v>
      </c>
      <c r="BA1065" s="34" t="s">
        <v>128</v>
      </c>
      <c r="BC1065" s="55">
        <f>AW1065+AX1065</f>
        <v>0</v>
      </c>
      <c r="BD1065" s="55">
        <f>H1065/(100-BE1065)*100</f>
        <v>0</v>
      </c>
      <c r="BE1065" s="55">
        <v>0</v>
      </c>
      <c r="BF1065" s="55">
        <f>K1065</f>
        <v>1.163</v>
      </c>
      <c r="BH1065" s="63">
        <f>G1065*AO1065</f>
        <v>0</v>
      </c>
      <c r="BI1065" s="63">
        <f>G1065*AP1065</f>
        <v>0</v>
      </c>
      <c r="BJ1065" s="63">
        <f>G1065*H1065</f>
        <v>0</v>
      </c>
      <c r="BK1065" s="63"/>
      <c r="BL1065" s="55">
        <v>767</v>
      </c>
      <c r="BW1065" s="55">
        <v>21</v>
      </c>
    </row>
    <row r="1066" spans="1:12" ht="14.4">
      <c r="A1066" s="59"/>
      <c r="D1066" s="60" t="s">
        <v>2053</v>
      </c>
      <c r="E1066" s="60" t="s">
        <v>4</v>
      </c>
      <c r="G1066" s="68">
        <v>1163</v>
      </c>
      <c r="L1066" s="69"/>
    </row>
    <row r="1067" spans="1:75" ht="13.5" customHeight="1">
      <c r="A1067" s="1" t="s">
        <v>2054</v>
      </c>
      <c r="B1067" s="2" t="s">
        <v>116</v>
      </c>
      <c r="C1067" s="2" t="s">
        <v>2055</v>
      </c>
      <c r="D1067" s="147" t="s">
        <v>2056</v>
      </c>
      <c r="E1067" s="148"/>
      <c r="F1067" s="2" t="s">
        <v>1731</v>
      </c>
      <c r="G1067" s="55">
        <v>5159.5</v>
      </c>
      <c r="H1067" s="56">
        <v>0</v>
      </c>
      <c r="I1067" s="55">
        <f>G1067*H1067</f>
        <v>0</v>
      </c>
      <c r="J1067" s="55">
        <v>0.001</v>
      </c>
      <c r="K1067" s="55">
        <f>G1067*J1067</f>
        <v>5.1595</v>
      </c>
      <c r="L1067" s="57" t="s">
        <v>124</v>
      </c>
      <c r="Z1067" s="55">
        <f>IF(AQ1067="5",BJ1067,0)</f>
        <v>0</v>
      </c>
      <c r="AB1067" s="55">
        <f>IF(AQ1067="1",BH1067,0)</f>
        <v>0</v>
      </c>
      <c r="AC1067" s="55">
        <f>IF(AQ1067="1",BI1067,0)</f>
        <v>0</v>
      </c>
      <c r="AD1067" s="55">
        <f>IF(AQ1067="7",BH1067,0)</f>
        <v>0</v>
      </c>
      <c r="AE1067" s="55">
        <f>IF(AQ1067="7",BI1067,0)</f>
        <v>0</v>
      </c>
      <c r="AF1067" s="55">
        <f>IF(AQ1067="2",BH1067,0)</f>
        <v>0</v>
      </c>
      <c r="AG1067" s="55">
        <f>IF(AQ1067="2",BI1067,0)</f>
        <v>0</v>
      </c>
      <c r="AH1067" s="55">
        <f>IF(AQ1067="0",BJ1067,0)</f>
        <v>0</v>
      </c>
      <c r="AI1067" s="34" t="s">
        <v>116</v>
      </c>
      <c r="AJ1067" s="55">
        <f>IF(AN1067=0,I1067,0)</f>
        <v>0</v>
      </c>
      <c r="AK1067" s="55">
        <f>IF(AN1067=12,I1067,0)</f>
        <v>0</v>
      </c>
      <c r="AL1067" s="55">
        <f>IF(AN1067=21,I1067,0)</f>
        <v>0</v>
      </c>
      <c r="AN1067" s="55">
        <v>21</v>
      </c>
      <c r="AO1067" s="55">
        <f>H1067*0</f>
        <v>0</v>
      </c>
      <c r="AP1067" s="55">
        <f>H1067*(1-0)</f>
        <v>0</v>
      </c>
      <c r="AQ1067" s="58" t="s">
        <v>125</v>
      </c>
      <c r="AV1067" s="55">
        <f>AW1067+AX1067</f>
        <v>0</v>
      </c>
      <c r="AW1067" s="55">
        <f>G1067*AO1067</f>
        <v>0</v>
      </c>
      <c r="AX1067" s="55">
        <f>G1067*AP1067</f>
        <v>0</v>
      </c>
      <c r="AY1067" s="58" t="s">
        <v>2029</v>
      </c>
      <c r="AZ1067" s="58" t="s">
        <v>1669</v>
      </c>
      <c r="BA1067" s="34" t="s">
        <v>128</v>
      </c>
      <c r="BB1067" s="67">
        <v>100006</v>
      </c>
      <c r="BC1067" s="55">
        <f>AW1067+AX1067</f>
        <v>0</v>
      </c>
      <c r="BD1067" s="55">
        <f>H1067/(100-BE1067)*100</f>
        <v>0</v>
      </c>
      <c r="BE1067" s="55">
        <v>0</v>
      </c>
      <c r="BF1067" s="55">
        <f>K1067</f>
        <v>5.1595</v>
      </c>
      <c r="BH1067" s="55">
        <f>G1067*AO1067</f>
        <v>0</v>
      </c>
      <c r="BI1067" s="55">
        <f>G1067*AP1067</f>
        <v>0</v>
      </c>
      <c r="BJ1067" s="55">
        <f>G1067*H1067</f>
        <v>0</v>
      </c>
      <c r="BK1067" s="55"/>
      <c r="BL1067" s="55">
        <v>767</v>
      </c>
      <c r="BW1067" s="55">
        <v>21</v>
      </c>
    </row>
    <row r="1068" spans="1:12" ht="13.5" customHeight="1">
      <c r="A1068" s="59"/>
      <c r="D1068" s="218" t="s">
        <v>2034</v>
      </c>
      <c r="E1068" s="219"/>
      <c r="F1068" s="219"/>
      <c r="G1068" s="219"/>
      <c r="H1068" s="220"/>
      <c r="I1068" s="219"/>
      <c r="J1068" s="219"/>
      <c r="K1068" s="219"/>
      <c r="L1068" s="221"/>
    </row>
    <row r="1069" spans="1:12" ht="14.4">
      <c r="A1069" s="59"/>
      <c r="D1069" s="60" t="s">
        <v>2057</v>
      </c>
      <c r="E1069" s="60" t="s">
        <v>2036</v>
      </c>
      <c r="G1069" s="68">
        <v>4471.91</v>
      </c>
      <c r="L1069" s="69"/>
    </row>
    <row r="1070" spans="1:12" ht="14.4">
      <c r="A1070" s="59"/>
      <c r="D1070" s="60" t="s">
        <v>2058</v>
      </c>
      <c r="E1070" s="60" t="s">
        <v>2059</v>
      </c>
      <c r="G1070" s="68">
        <v>134.79</v>
      </c>
      <c r="L1070" s="69"/>
    </row>
    <row r="1071" spans="1:12" ht="14.4">
      <c r="A1071" s="59"/>
      <c r="D1071" s="60" t="s">
        <v>2060</v>
      </c>
      <c r="E1071" s="60" t="s">
        <v>2040</v>
      </c>
      <c r="G1071" s="68">
        <v>552.8</v>
      </c>
      <c r="L1071" s="69"/>
    </row>
    <row r="1072" spans="1:75" ht="13.5" customHeight="1">
      <c r="A1072" s="61" t="s">
        <v>2061</v>
      </c>
      <c r="B1072" s="62" t="s">
        <v>116</v>
      </c>
      <c r="C1072" s="62" t="s">
        <v>2062</v>
      </c>
      <c r="D1072" s="224" t="s">
        <v>2063</v>
      </c>
      <c r="E1072" s="225"/>
      <c r="F1072" s="62" t="s">
        <v>1731</v>
      </c>
      <c r="G1072" s="63">
        <v>4695.51</v>
      </c>
      <c r="H1072" s="64">
        <v>0</v>
      </c>
      <c r="I1072" s="63">
        <f>G1072*H1072</f>
        <v>0</v>
      </c>
      <c r="J1072" s="63">
        <v>0.001</v>
      </c>
      <c r="K1072" s="63">
        <f>G1072*J1072</f>
        <v>4.6955100000000005</v>
      </c>
      <c r="L1072" s="65" t="s">
        <v>124</v>
      </c>
      <c r="Z1072" s="55">
        <f>IF(AQ1072="5",BJ1072,0)</f>
        <v>0</v>
      </c>
      <c r="AB1072" s="55">
        <f>IF(AQ1072="1",BH1072,0)</f>
        <v>0</v>
      </c>
      <c r="AC1072" s="55">
        <f>IF(AQ1072="1",BI1072,0)</f>
        <v>0</v>
      </c>
      <c r="AD1072" s="55">
        <f>IF(AQ1072="7",BH1072,0)</f>
        <v>0</v>
      </c>
      <c r="AE1072" s="55">
        <f>IF(AQ1072="7",BI1072,0)</f>
        <v>0</v>
      </c>
      <c r="AF1072" s="55">
        <f>IF(AQ1072="2",BH1072,0)</f>
        <v>0</v>
      </c>
      <c r="AG1072" s="55">
        <f>IF(AQ1072="2",BI1072,0)</f>
        <v>0</v>
      </c>
      <c r="AH1072" s="55">
        <f>IF(AQ1072="0",BJ1072,0)</f>
        <v>0</v>
      </c>
      <c r="AI1072" s="34" t="s">
        <v>116</v>
      </c>
      <c r="AJ1072" s="63">
        <f>IF(AN1072=0,I1072,0)</f>
        <v>0</v>
      </c>
      <c r="AK1072" s="63">
        <f>IF(AN1072=12,I1072,0)</f>
        <v>0</v>
      </c>
      <c r="AL1072" s="63">
        <f>IF(AN1072=21,I1072,0)</f>
        <v>0</v>
      </c>
      <c r="AN1072" s="55">
        <v>21</v>
      </c>
      <c r="AO1072" s="55">
        <f>H1072*1</f>
        <v>0</v>
      </c>
      <c r="AP1072" s="55">
        <f>H1072*(1-1)</f>
        <v>0</v>
      </c>
      <c r="AQ1072" s="66" t="s">
        <v>125</v>
      </c>
      <c r="AV1072" s="55">
        <f>AW1072+AX1072</f>
        <v>0</v>
      </c>
      <c r="AW1072" s="55">
        <f>G1072*AO1072</f>
        <v>0</v>
      </c>
      <c r="AX1072" s="55">
        <f>G1072*AP1072</f>
        <v>0</v>
      </c>
      <c r="AY1072" s="58" t="s">
        <v>2029</v>
      </c>
      <c r="AZ1072" s="58" t="s">
        <v>1669</v>
      </c>
      <c r="BA1072" s="34" t="s">
        <v>128</v>
      </c>
      <c r="BC1072" s="55">
        <f>AW1072+AX1072</f>
        <v>0</v>
      </c>
      <c r="BD1072" s="55">
        <f>H1072/(100-BE1072)*100</f>
        <v>0</v>
      </c>
      <c r="BE1072" s="55">
        <v>0</v>
      </c>
      <c r="BF1072" s="55">
        <f>K1072</f>
        <v>4.6955100000000005</v>
      </c>
      <c r="BH1072" s="63">
        <f>G1072*AO1072</f>
        <v>0</v>
      </c>
      <c r="BI1072" s="63">
        <f>G1072*AP1072</f>
        <v>0</v>
      </c>
      <c r="BJ1072" s="63">
        <f>G1072*H1072</f>
        <v>0</v>
      </c>
      <c r="BK1072" s="63"/>
      <c r="BL1072" s="55">
        <v>767</v>
      </c>
      <c r="BW1072" s="55">
        <v>21</v>
      </c>
    </row>
    <row r="1073" spans="1:12" ht="14.4">
      <c r="A1073" s="59"/>
      <c r="D1073" s="60" t="s">
        <v>2064</v>
      </c>
      <c r="E1073" s="60" t="s">
        <v>4</v>
      </c>
      <c r="G1073" s="68">
        <v>4471.91</v>
      </c>
      <c r="L1073" s="69"/>
    </row>
    <row r="1074" spans="1:12" ht="14.4">
      <c r="A1074" s="59"/>
      <c r="D1074" s="60" t="s">
        <v>2065</v>
      </c>
      <c r="E1074" s="60" t="s">
        <v>4</v>
      </c>
      <c r="G1074" s="68">
        <v>223.6</v>
      </c>
      <c r="L1074" s="69"/>
    </row>
    <row r="1075" spans="1:75" ht="13.5" customHeight="1">
      <c r="A1075" s="61" t="s">
        <v>2066</v>
      </c>
      <c r="B1075" s="62" t="s">
        <v>116</v>
      </c>
      <c r="C1075" s="62" t="s">
        <v>2067</v>
      </c>
      <c r="D1075" s="224" t="s">
        <v>2068</v>
      </c>
      <c r="E1075" s="225"/>
      <c r="F1075" s="62" t="s">
        <v>1731</v>
      </c>
      <c r="G1075" s="63">
        <v>141.44</v>
      </c>
      <c r="H1075" s="64">
        <v>0</v>
      </c>
      <c r="I1075" s="63">
        <f>G1075*H1075</f>
        <v>0</v>
      </c>
      <c r="J1075" s="63">
        <v>0.001</v>
      </c>
      <c r="K1075" s="63">
        <f>G1075*J1075</f>
        <v>0.14144</v>
      </c>
      <c r="L1075" s="65" t="s">
        <v>124</v>
      </c>
      <c r="Z1075" s="55">
        <f>IF(AQ1075="5",BJ1075,0)</f>
        <v>0</v>
      </c>
      <c r="AB1075" s="55">
        <f>IF(AQ1075="1",BH1075,0)</f>
        <v>0</v>
      </c>
      <c r="AC1075" s="55">
        <f>IF(AQ1075="1",BI1075,0)</f>
        <v>0</v>
      </c>
      <c r="AD1075" s="55">
        <f>IF(AQ1075="7",BH1075,0)</f>
        <v>0</v>
      </c>
      <c r="AE1075" s="55">
        <f>IF(AQ1075="7",BI1075,0)</f>
        <v>0</v>
      </c>
      <c r="AF1075" s="55">
        <f>IF(AQ1075="2",BH1075,0)</f>
        <v>0</v>
      </c>
      <c r="AG1075" s="55">
        <f>IF(AQ1075="2",BI1075,0)</f>
        <v>0</v>
      </c>
      <c r="AH1075" s="55">
        <f>IF(AQ1075="0",BJ1075,0)</f>
        <v>0</v>
      </c>
      <c r="AI1075" s="34" t="s">
        <v>116</v>
      </c>
      <c r="AJ1075" s="63">
        <f>IF(AN1075=0,I1075,0)</f>
        <v>0</v>
      </c>
      <c r="AK1075" s="63">
        <f>IF(AN1075=12,I1075,0)</f>
        <v>0</v>
      </c>
      <c r="AL1075" s="63">
        <f>IF(AN1075=21,I1075,0)</f>
        <v>0</v>
      </c>
      <c r="AN1075" s="55">
        <v>21</v>
      </c>
      <c r="AO1075" s="55">
        <f>H1075*1</f>
        <v>0</v>
      </c>
      <c r="AP1075" s="55">
        <f>H1075*(1-1)</f>
        <v>0</v>
      </c>
      <c r="AQ1075" s="66" t="s">
        <v>125</v>
      </c>
      <c r="AV1075" s="55">
        <f>AW1075+AX1075</f>
        <v>0</v>
      </c>
      <c r="AW1075" s="55">
        <f>G1075*AO1075</f>
        <v>0</v>
      </c>
      <c r="AX1075" s="55">
        <f>G1075*AP1075</f>
        <v>0</v>
      </c>
      <c r="AY1075" s="58" t="s">
        <v>2029</v>
      </c>
      <c r="AZ1075" s="58" t="s">
        <v>1669</v>
      </c>
      <c r="BA1075" s="34" t="s">
        <v>128</v>
      </c>
      <c r="BC1075" s="55">
        <f>AW1075+AX1075</f>
        <v>0</v>
      </c>
      <c r="BD1075" s="55">
        <f>H1075/(100-BE1075)*100</f>
        <v>0</v>
      </c>
      <c r="BE1075" s="55">
        <v>0</v>
      </c>
      <c r="BF1075" s="55">
        <f>K1075</f>
        <v>0.14144</v>
      </c>
      <c r="BH1075" s="63">
        <f>G1075*AO1075</f>
        <v>0</v>
      </c>
      <c r="BI1075" s="63">
        <f>G1075*AP1075</f>
        <v>0</v>
      </c>
      <c r="BJ1075" s="63">
        <f>G1075*H1075</f>
        <v>0</v>
      </c>
      <c r="BK1075" s="63"/>
      <c r="BL1075" s="55">
        <v>767</v>
      </c>
      <c r="BW1075" s="55">
        <v>21</v>
      </c>
    </row>
    <row r="1076" spans="1:12" ht="14.4">
      <c r="A1076" s="59"/>
      <c r="D1076" s="60" t="s">
        <v>2069</v>
      </c>
      <c r="E1076" s="60" t="s">
        <v>4</v>
      </c>
      <c r="G1076" s="68">
        <v>134.7</v>
      </c>
      <c r="L1076" s="69"/>
    </row>
    <row r="1077" spans="1:12" ht="14.4">
      <c r="A1077" s="59"/>
      <c r="D1077" s="60" t="s">
        <v>2070</v>
      </c>
      <c r="E1077" s="60" t="s">
        <v>4</v>
      </c>
      <c r="G1077" s="68">
        <v>6.74</v>
      </c>
      <c r="L1077" s="69"/>
    </row>
    <row r="1078" spans="1:75" ht="13.5" customHeight="1">
      <c r="A1078" s="61" t="s">
        <v>2071</v>
      </c>
      <c r="B1078" s="62" t="s">
        <v>116</v>
      </c>
      <c r="C1078" s="62" t="s">
        <v>2051</v>
      </c>
      <c r="D1078" s="224" t="s">
        <v>2052</v>
      </c>
      <c r="E1078" s="225"/>
      <c r="F1078" s="62" t="s">
        <v>1731</v>
      </c>
      <c r="G1078" s="63">
        <v>552.8</v>
      </c>
      <c r="H1078" s="64">
        <v>0</v>
      </c>
      <c r="I1078" s="63">
        <f>G1078*H1078</f>
        <v>0</v>
      </c>
      <c r="J1078" s="63">
        <v>0.001</v>
      </c>
      <c r="K1078" s="63">
        <f>G1078*J1078</f>
        <v>0.5528</v>
      </c>
      <c r="L1078" s="65" t="s">
        <v>124</v>
      </c>
      <c r="Z1078" s="55">
        <f>IF(AQ1078="5",BJ1078,0)</f>
        <v>0</v>
      </c>
      <c r="AB1078" s="55">
        <f>IF(AQ1078="1",BH1078,0)</f>
        <v>0</v>
      </c>
      <c r="AC1078" s="55">
        <f>IF(AQ1078="1",BI1078,0)</f>
        <v>0</v>
      </c>
      <c r="AD1078" s="55">
        <f>IF(AQ1078="7",BH1078,0)</f>
        <v>0</v>
      </c>
      <c r="AE1078" s="55">
        <f>IF(AQ1078="7",BI1078,0)</f>
        <v>0</v>
      </c>
      <c r="AF1078" s="55">
        <f>IF(AQ1078="2",BH1078,0)</f>
        <v>0</v>
      </c>
      <c r="AG1078" s="55">
        <f>IF(AQ1078="2",BI1078,0)</f>
        <v>0</v>
      </c>
      <c r="AH1078" s="55">
        <f>IF(AQ1078="0",BJ1078,0)</f>
        <v>0</v>
      </c>
      <c r="AI1078" s="34" t="s">
        <v>116</v>
      </c>
      <c r="AJ1078" s="63">
        <f>IF(AN1078=0,I1078,0)</f>
        <v>0</v>
      </c>
      <c r="AK1078" s="63">
        <f>IF(AN1078=12,I1078,0)</f>
        <v>0</v>
      </c>
      <c r="AL1078" s="63">
        <f>IF(AN1078=21,I1078,0)</f>
        <v>0</v>
      </c>
      <c r="AN1078" s="55">
        <v>21</v>
      </c>
      <c r="AO1078" s="55">
        <f>H1078*1</f>
        <v>0</v>
      </c>
      <c r="AP1078" s="55">
        <f>H1078*(1-1)</f>
        <v>0</v>
      </c>
      <c r="AQ1078" s="66" t="s">
        <v>125</v>
      </c>
      <c r="AV1078" s="55">
        <f>AW1078+AX1078</f>
        <v>0</v>
      </c>
      <c r="AW1078" s="55">
        <f>G1078*AO1078</f>
        <v>0</v>
      </c>
      <c r="AX1078" s="55">
        <f>G1078*AP1078</f>
        <v>0</v>
      </c>
      <c r="AY1078" s="58" t="s">
        <v>2029</v>
      </c>
      <c r="AZ1078" s="58" t="s">
        <v>1669</v>
      </c>
      <c r="BA1078" s="34" t="s">
        <v>128</v>
      </c>
      <c r="BC1078" s="55">
        <f>AW1078+AX1078</f>
        <v>0</v>
      </c>
      <c r="BD1078" s="55">
        <f>H1078/(100-BE1078)*100</f>
        <v>0</v>
      </c>
      <c r="BE1078" s="55">
        <v>0</v>
      </c>
      <c r="BF1078" s="55">
        <f>K1078</f>
        <v>0.5528</v>
      </c>
      <c r="BH1078" s="63">
        <f>G1078*AO1078</f>
        <v>0</v>
      </c>
      <c r="BI1078" s="63">
        <f>G1078*AP1078</f>
        <v>0</v>
      </c>
      <c r="BJ1078" s="63">
        <f>G1078*H1078</f>
        <v>0</v>
      </c>
      <c r="BK1078" s="63"/>
      <c r="BL1078" s="55">
        <v>767</v>
      </c>
      <c r="BW1078" s="55">
        <v>21</v>
      </c>
    </row>
    <row r="1079" spans="1:12" ht="14.4">
      <c r="A1079" s="59"/>
      <c r="D1079" s="60" t="s">
        <v>2072</v>
      </c>
      <c r="E1079" s="60" t="s">
        <v>4</v>
      </c>
      <c r="G1079" s="68">
        <v>552.8</v>
      </c>
      <c r="L1079" s="69"/>
    </row>
    <row r="1080" spans="1:75" ht="13.5" customHeight="1">
      <c r="A1080" s="1" t="s">
        <v>2073</v>
      </c>
      <c r="B1080" s="2" t="s">
        <v>116</v>
      </c>
      <c r="C1080" s="2" t="s">
        <v>2074</v>
      </c>
      <c r="D1080" s="147" t="s">
        <v>2075</v>
      </c>
      <c r="E1080" s="148"/>
      <c r="F1080" s="2" t="s">
        <v>1731</v>
      </c>
      <c r="G1080" s="55">
        <v>685.78</v>
      </c>
      <c r="H1080" s="56">
        <v>0</v>
      </c>
      <c r="I1080" s="55">
        <f>G1080*H1080</f>
        <v>0</v>
      </c>
      <c r="J1080" s="55">
        <v>0.0006</v>
      </c>
      <c r="K1080" s="55">
        <f>G1080*J1080</f>
        <v>0.41146799999999994</v>
      </c>
      <c r="L1080" s="57" t="s">
        <v>124</v>
      </c>
      <c r="Z1080" s="55">
        <f>IF(AQ1080="5",BJ1080,0)</f>
        <v>0</v>
      </c>
      <c r="AB1080" s="55">
        <f>IF(AQ1080="1",BH1080,0)</f>
        <v>0</v>
      </c>
      <c r="AC1080" s="55">
        <f>IF(AQ1080="1",BI1080,0)</f>
        <v>0</v>
      </c>
      <c r="AD1080" s="55">
        <f>IF(AQ1080="7",BH1080,0)</f>
        <v>0</v>
      </c>
      <c r="AE1080" s="55">
        <f>IF(AQ1080="7",BI1080,0)</f>
        <v>0</v>
      </c>
      <c r="AF1080" s="55">
        <f>IF(AQ1080="2",BH1080,0)</f>
        <v>0</v>
      </c>
      <c r="AG1080" s="55">
        <f>IF(AQ1080="2",BI1080,0)</f>
        <v>0</v>
      </c>
      <c r="AH1080" s="55">
        <f>IF(AQ1080="0",BJ1080,0)</f>
        <v>0</v>
      </c>
      <c r="AI1080" s="34" t="s">
        <v>116</v>
      </c>
      <c r="AJ1080" s="55">
        <f>IF(AN1080=0,I1080,0)</f>
        <v>0</v>
      </c>
      <c r="AK1080" s="55">
        <f>IF(AN1080=12,I1080,0)</f>
        <v>0</v>
      </c>
      <c r="AL1080" s="55">
        <f>IF(AN1080=21,I1080,0)</f>
        <v>0</v>
      </c>
      <c r="AN1080" s="55">
        <v>21</v>
      </c>
      <c r="AO1080" s="55">
        <f>H1080*0</f>
        <v>0</v>
      </c>
      <c r="AP1080" s="55">
        <f>H1080*(1-0)</f>
        <v>0</v>
      </c>
      <c r="AQ1080" s="58" t="s">
        <v>125</v>
      </c>
      <c r="AV1080" s="55">
        <f>AW1080+AX1080</f>
        <v>0</v>
      </c>
      <c r="AW1080" s="55">
        <f>G1080*AO1080</f>
        <v>0</v>
      </c>
      <c r="AX1080" s="55">
        <f>G1080*AP1080</f>
        <v>0</v>
      </c>
      <c r="AY1080" s="58" t="s">
        <v>2029</v>
      </c>
      <c r="AZ1080" s="58" t="s">
        <v>1669</v>
      </c>
      <c r="BA1080" s="34" t="s">
        <v>128</v>
      </c>
      <c r="BB1080" s="67">
        <v>100006</v>
      </c>
      <c r="BC1080" s="55">
        <f>AW1080+AX1080</f>
        <v>0</v>
      </c>
      <c r="BD1080" s="55">
        <f>H1080/(100-BE1080)*100</f>
        <v>0</v>
      </c>
      <c r="BE1080" s="55">
        <v>0</v>
      </c>
      <c r="BF1080" s="55">
        <f>K1080</f>
        <v>0.41146799999999994</v>
      </c>
      <c r="BH1080" s="55">
        <f>G1080*AO1080</f>
        <v>0</v>
      </c>
      <c r="BI1080" s="55">
        <f>G1080*AP1080</f>
        <v>0</v>
      </c>
      <c r="BJ1080" s="55">
        <f>G1080*H1080</f>
        <v>0</v>
      </c>
      <c r="BK1080" s="55"/>
      <c r="BL1080" s="55">
        <v>767</v>
      </c>
      <c r="BW1080" s="55">
        <v>21</v>
      </c>
    </row>
    <row r="1081" spans="1:12" ht="13.5" customHeight="1">
      <c r="A1081" s="59"/>
      <c r="D1081" s="218" t="s">
        <v>2076</v>
      </c>
      <c r="E1081" s="219"/>
      <c r="F1081" s="219"/>
      <c r="G1081" s="219"/>
      <c r="H1081" s="220"/>
      <c r="I1081" s="219"/>
      <c r="J1081" s="219"/>
      <c r="K1081" s="219"/>
      <c r="L1081" s="221"/>
    </row>
    <row r="1082" spans="1:12" ht="14.4">
      <c r="A1082" s="59"/>
      <c r="D1082" s="60" t="s">
        <v>2077</v>
      </c>
      <c r="E1082" s="60" t="s">
        <v>2078</v>
      </c>
      <c r="G1082" s="68">
        <v>612.3</v>
      </c>
      <c r="L1082" s="69"/>
    </row>
    <row r="1083" spans="1:12" ht="14.4">
      <c r="A1083" s="59"/>
      <c r="D1083" s="60" t="s">
        <v>2079</v>
      </c>
      <c r="E1083" s="60" t="s">
        <v>2040</v>
      </c>
      <c r="G1083" s="68">
        <v>73.48</v>
      </c>
      <c r="L1083" s="69"/>
    </row>
    <row r="1084" spans="1:75" ht="13.5" customHeight="1">
      <c r="A1084" s="61" t="s">
        <v>2080</v>
      </c>
      <c r="B1084" s="62" t="s">
        <v>116</v>
      </c>
      <c r="C1084" s="62" t="s">
        <v>2081</v>
      </c>
      <c r="D1084" s="224" t="s">
        <v>2082</v>
      </c>
      <c r="E1084" s="225"/>
      <c r="F1084" s="62" t="s">
        <v>939</v>
      </c>
      <c r="G1084" s="63">
        <v>0.64</v>
      </c>
      <c r="H1084" s="64">
        <v>0</v>
      </c>
      <c r="I1084" s="63">
        <f>G1084*H1084</f>
        <v>0</v>
      </c>
      <c r="J1084" s="63">
        <v>1</v>
      </c>
      <c r="K1084" s="63">
        <f>G1084*J1084</f>
        <v>0.64</v>
      </c>
      <c r="L1084" s="65" t="s">
        <v>124</v>
      </c>
      <c r="Z1084" s="55">
        <f>IF(AQ1084="5",BJ1084,0)</f>
        <v>0</v>
      </c>
      <c r="AB1084" s="55">
        <f>IF(AQ1084="1",BH1084,0)</f>
        <v>0</v>
      </c>
      <c r="AC1084" s="55">
        <f>IF(AQ1084="1",BI1084,0)</f>
        <v>0</v>
      </c>
      <c r="AD1084" s="55">
        <f>IF(AQ1084="7",BH1084,0)</f>
        <v>0</v>
      </c>
      <c r="AE1084" s="55">
        <f>IF(AQ1084="7",BI1084,0)</f>
        <v>0</v>
      </c>
      <c r="AF1084" s="55">
        <f>IF(AQ1084="2",BH1084,0)</f>
        <v>0</v>
      </c>
      <c r="AG1084" s="55">
        <f>IF(AQ1084="2",BI1084,0)</f>
        <v>0</v>
      </c>
      <c r="AH1084" s="55">
        <f>IF(AQ1084="0",BJ1084,0)</f>
        <v>0</v>
      </c>
      <c r="AI1084" s="34" t="s">
        <v>116</v>
      </c>
      <c r="AJ1084" s="63">
        <f>IF(AN1084=0,I1084,0)</f>
        <v>0</v>
      </c>
      <c r="AK1084" s="63">
        <f>IF(AN1084=12,I1084,0)</f>
        <v>0</v>
      </c>
      <c r="AL1084" s="63">
        <f>IF(AN1084=21,I1084,0)</f>
        <v>0</v>
      </c>
      <c r="AN1084" s="55">
        <v>21</v>
      </c>
      <c r="AO1084" s="55">
        <f>H1084*1</f>
        <v>0</v>
      </c>
      <c r="AP1084" s="55">
        <f>H1084*(1-1)</f>
        <v>0</v>
      </c>
      <c r="AQ1084" s="66" t="s">
        <v>125</v>
      </c>
      <c r="AV1084" s="55">
        <f>AW1084+AX1084</f>
        <v>0</v>
      </c>
      <c r="AW1084" s="55">
        <f>G1084*AO1084</f>
        <v>0</v>
      </c>
      <c r="AX1084" s="55">
        <f>G1084*AP1084</f>
        <v>0</v>
      </c>
      <c r="AY1084" s="58" t="s">
        <v>2029</v>
      </c>
      <c r="AZ1084" s="58" t="s">
        <v>1669</v>
      </c>
      <c r="BA1084" s="34" t="s">
        <v>128</v>
      </c>
      <c r="BC1084" s="55">
        <f>AW1084+AX1084</f>
        <v>0</v>
      </c>
      <c r="BD1084" s="55">
        <f>H1084/(100-BE1084)*100</f>
        <v>0</v>
      </c>
      <c r="BE1084" s="55">
        <v>0</v>
      </c>
      <c r="BF1084" s="55">
        <f>K1084</f>
        <v>0.64</v>
      </c>
      <c r="BH1084" s="63">
        <f>G1084*AO1084</f>
        <v>0</v>
      </c>
      <c r="BI1084" s="63">
        <f>G1084*AP1084</f>
        <v>0</v>
      </c>
      <c r="BJ1084" s="63">
        <f>G1084*H1084</f>
        <v>0</v>
      </c>
      <c r="BK1084" s="63"/>
      <c r="BL1084" s="55">
        <v>767</v>
      </c>
      <c r="BW1084" s="55">
        <v>21</v>
      </c>
    </row>
    <row r="1085" spans="1:12" ht="14.4">
      <c r="A1085" s="59"/>
      <c r="D1085" s="60" t="s">
        <v>2083</v>
      </c>
      <c r="E1085" s="60" t="s">
        <v>4</v>
      </c>
      <c r="G1085" s="68">
        <v>0.61</v>
      </c>
      <c r="L1085" s="69"/>
    </row>
    <row r="1086" spans="1:12" ht="14.4">
      <c r="A1086" s="59"/>
      <c r="D1086" s="60" t="s">
        <v>2084</v>
      </c>
      <c r="E1086" s="60" t="s">
        <v>4</v>
      </c>
      <c r="G1086" s="68">
        <v>0.03</v>
      </c>
      <c r="L1086" s="69"/>
    </row>
    <row r="1087" spans="1:75" ht="13.5" customHeight="1">
      <c r="A1087" s="61" t="s">
        <v>2085</v>
      </c>
      <c r="B1087" s="62" t="s">
        <v>116</v>
      </c>
      <c r="C1087" s="62" t="s">
        <v>2051</v>
      </c>
      <c r="D1087" s="224" t="s">
        <v>2052</v>
      </c>
      <c r="E1087" s="225"/>
      <c r="F1087" s="62" t="s">
        <v>1731</v>
      </c>
      <c r="G1087" s="63">
        <v>73.5</v>
      </c>
      <c r="H1087" s="64">
        <v>0</v>
      </c>
      <c r="I1087" s="63">
        <f>G1087*H1087</f>
        <v>0</v>
      </c>
      <c r="J1087" s="63">
        <v>0.001</v>
      </c>
      <c r="K1087" s="63">
        <f>G1087*J1087</f>
        <v>0.0735</v>
      </c>
      <c r="L1087" s="65" t="s">
        <v>124</v>
      </c>
      <c r="Z1087" s="55">
        <f>IF(AQ1087="5",BJ1087,0)</f>
        <v>0</v>
      </c>
      <c r="AB1087" s="55">
        <f>IF(AQ1087="1",BH1087,0)</f>
        <v>0</v>
      </c>
      <c r="AC1087" s="55">
        <f>IF(AQ1087="1",BI1087,0)</f>
        <v>0</v>
      </c>
      <c r="AD1087" s="55">
        <f>IF(AQ1087="7",BH1087,0)</f>
        <v>0</v>
      </c>
      <c r="AE1087" s="55">
        <f>IF(AQ1087="7",BI1087,0)</f>
        <v>0</v>
      </c>
      <c r="AF1087" s="55">
        <f>IF(AQ1087="2",BH1087,0)</f>
        <v>0</v>
      </c>
      <c r="AG1087" s="55">
        <f>IF(AQ1087="2",BI1087,0)</f>
        <v>0</v>
      </c>
      <c r="AH1087" s="55">
        <f>IF(AQ1087="0",BJ1087,0)</f>
        <v>0</v>
      </c>
      <c r="AI1087" s="34" t="s">
        <v>116</v>
      </c>
      <c r="AJ1087" s="63">
        <f>IF(AN1087=0,I1087,0)</f>
        <v>0</v>
      </c>
      <c r="AK1087" s="63">
        <f>IF(AN1087=12,I1087,0)</f>
        <v>0</v>
      </c>
      <c r="AL1087" s="63">
        <f>IF(AN1087=21,I1087,0)</f>
        <v>0</v>
      </c>
      <c r="AN1087" s="55">
        <v>21</v>
      </c>
      <c r="AO1087" s="55">
        <f>H1087*1</f>
        <v>0</v>
      </c>
      <c r="AP1087" s="55">
        <f>H1087*(1-1)</f>
        <v>0</v>
      </c>
      <c r="AQ1087" s="66" t="s">
        <v>125</v>
      </c>
      <c r="AV1087" s="55">
        <f>AW1087+AX1087</f>
        <v>0</v>
      </c>
      <c r="AW1087" s="55">
        <f>G1087*AO1087</f>
        <v>0</v>
      </c>
      <c r="AX1087" s="55">
        <f>G1087*AP1087</f>
        <v>0</v>
      </c>
      <c r="AY1087" s="58" t="s">
        <v>2029</v>
      </c>
      <c r="AZ1087" s="58" t="s">
        <v>1669</v>
      </c>
      <c r="BA1087" s="34" t="s">
        <v>128</v>
      </c>
      <c r="BC1087" s="55">
        <f>AW1087+AX1087</f>
        <v>0</v>
      </c>
      <c r="BD1087" s="55">
        <f>H1087/(100-BE1087)*100</f>
        <v>0</v>
      </c>
      <c r="BE1087" s="55">
        <v>0</v>
      </c>
      <c r="BF1087" s="55">
        <f>K1087</f>
        <v>0.0735</v>
      </c>
      <c r="BH1087" s="63">
        <f>G1087*AO1087</f>
        <v>0</v>
      </c>
      <c r="BI1087" s="63">
        <f>G1087*AP1087</f>
        <v>0</v>
      </c>
      <c r="BJ1087" s="63">
        <f>G1087*H1087</f>
        <v>0</v>
      </c>
      <c r="BK1087" s="63"/>
      <c r="BL1087" s="55">
        <v>767</v>
      </c>
      <c r="BW1087" s="55">
        <v>21</v>
      </c>
    </row>
    <row r="1088" spans="1:12" ht="14.4">
      <c r="A1088" s="59"/>
      <c r="D1088" s="60" t="s">
        <v>2086</v>
      </c>
      <c r="E1088" s="60" t="s">
        <v>4</v>
      </c>
      <c r="G1088" s="68">
        <v>73.5</v>
      </c>
      <c r="L1088" s="69"/>
    </row>
    <row r="1089" spans="1:75" ht="13.5" customHeight="1">
      <c r="A1089" s="1" t="s">
        <v>2087</v>
      </c>
      <c r="B1089" s="2" t="s">
        <v>116</v>
      </c>
      <c r="C1089" s="2" t="s">
        <v>2088</v>
      </c>
      <c r="D1089" s="147" t="s">
        <v>2089</v>
      </c>
      <c r="E1089" s="148"/>
      <c r="F1089" s="2" t="s">
        <v>174</v>
      </c>
      <c r="G1089" s="55">
        <v>261.14</v>
      </c>
      <c r="H1089" s="56">
        <v>0</v>
      </c>
      <c r="I1089" s="55">
        <f>G1089*H1089</f>
        <v>0</v>
      </c>
      <c r="J1089" s="55">
        <v>0</v>
      </c>
      <c r="K1089" s="55">
        <f>G1089*J1089</f>
        <v>0</v>
      </c>
      <c r="L1089" s="57" t="s">
        <v>124</v>
      </c>
      <c r="Z1089" s="55">
        <f>IF(AQ1089="5",BJ1089,0)</f>
        <v>0</v>
      </c>
      <c r="AB1089" s="55">
        <f>IF(AQ1089="1",BH1089,0)</f>
        <v>0</v>
      </c>
      <c r="AC1089" s="55">
        <f>IF(AQ1089="1",BI1089,0)</f>
        <v>0</v>
      </c>
      <c r="AD1089" s="55">
        <f>IF(AQ1089="7",BH1089,0)</f>
        <v>0</v>
      </c>
      <c r="AE1089" s="55">
        <f>IF(AQ1089="7",BI1089,0)</f>
        <v>0</v>
      </c>
      <c r="AF1089" s="55">
        <f>IF(AQ1089="2",BH1089,0)</f>
        <v>0</v>
      </c>
      <c r="AG1089" s="55">
        <f>IF(AQ1089="2",BI1089,0)</f>
        <v>0</v>
      </c>
      <c r="AH1089" s="55">
        <f>IF(AQ1089="0",BJ1089,0)</f>
        <v>0</v>
      </c>
      <c r="AI1089" s="34" t="s">
        <v>116</v>
      </c>
      <c r="AJ1089" s="55">
        <f>IF(AN1089=0,I1089,0)</f>
        <v>0</v>
      </c>
      <c r="AK1089" s="55">
        <f>IF(AN1089=12,I1089,0)</f>
        <v>0</v>
      </c>
      <c r="AL1089" s="55">
        <f>IF(AN1089=21,I1089,0)</f>
        <v>0</v>
      </c>
      <c r="AN1089" s="55">
        <v>21</v>
      </c>
      <c r="AO1089" s="55">
        <f>H1089*0</f>
        <v>0</v>
      </c>
      <c r="AP1089" s="55">
        <f>H1089*(1-0)</f>
        <v>0</v>
      </c>
      <c r="AQ1089" s="58" t="s">
        <v>125</v>
      </c>
      <c r="AV1089" s="55">
        <f>AW1089+AX1089</f>
        <v>0</v>
      </c>
      <c r="AW1089" s="55">
        <f>G1089*AO1089</f>
        <v>0</v>
      </c>
      <c r="AX1089" s="55">
        <f>G1089*AP1089</f>
        <v>0</v>
      </c>
      <c r="AY1089" s="58" t="s">
        <v>2029</v>
      </c>
      <c r="AZ1089" s="58" t="s">
        <v>1669</v>
      </c>
      <c r="BA1089" s="34" t="s">
        <v>128</v>
      </c>
      <c r="BB1089" s="67">
        <v>100006</v>
      </c>
      <c r="BC1089" s="55">
        <f>AW1089+AX1089</f>
        <v>0</v>
      </c>
      <c r="BD1089" s="55">
        <f>H1089/(100-BE1089)*100</f>
        <v>0</v>
      </c>
      <c r="BE1089" s="55">
        <v>0</v>
      </c>
      <c r="BF1089" s="55">
        <f>K1089</f>
        <v>0</v>
      </c>
      <c r="BH1089" s="55">
        <f>G1089*AO1089</f>
        <v>0</v>
      </c>
      <c r="BI1089" s="55">
        <f>G1089*AP1089</f>
        <v>0</v>
      </c>
      <c r="BJ1089" s="55">
        <f>G1089*H1089</f>
        <v>0</v>
      </c>
      <c r="BK1089" s="55"/>
      <c r="BL1089" s="55">
        <v>767</v>
      </c>
      <c r="BW1089" s="55">
        <v>21</v>
      </c>
    </row>
    <row r="1090" spans="1:12" ht="14.4">
      <c r="A1090" s="59"/>
      <c r="D1090" s="60" t="s">
        <v>2090</v>
      </c>
      <c r="E1090" s="60" t="s">
        <v>2091</v>
      </c>
      <c r="G1090" s="68">
        <v>84.65</v>
      </c>
      <c r="L1090" s="69"/>
    </row>
    <row r="1091" spans="1:12" ht="14.4">
      <c r="A1091" s="59"/>
      <c r="D1091" s="60" t="s">
        <v>2092</v>
      </c>
      <c r="E1091" s="60" t="s">
        <v>2093</v>
      </c>
      <c r="G1091" s="68">
        <v>157.93</v>
      </c>
      <c r="L1091" s="69"/>
    </row>
    <row r="1092" spans="1:12" ht="14.4">
      <c r="A1092" s="59"/>
      <c r="D1092" s="60" t="s">
        <v>2094</v>
      </c>
      <c r="E1092" s="60" t="s">
        <v>2095</v>
      </c>
      <c r="G1092" s="68">
        <v>18.56</v>
      </c>
      <c r="L1092" s="69"/>
    </row>
    <row r="1093" spans="1:75" ht="13.5" customHeight="1">
      <c r="A1093" s="1" t="s">
        <v>2096</v>
      </c>
      <c r="B1093" s="2" t="s">
        <v>116</v>
      </c>
      <c r="C1093" s="2" t="s">
        <v>2097</v>
      </c>
      <c r="D1093" s="147" t="s">
        <v>2098</v>
      </c>
      <c r="E1093" s="148"/>
      <c r="F1093" s="2" t="s">
        <v>1731</v>
      </c>
      <c r="G1093" s="55">
        <v>45.77</v>
      </c>
      <c r="H1093" s="56">
        <v>0</v>
      </c>
      <c r="I1093" s="55">
        <f>G1093*H1093</f>
        <v>0</v>
      </c>
      <c r="J1093" s="55">
        <v>0.001</v>
      </c>
      <c r="K1093" s="55">
        <f>G1093*J1093</f>
        <v>0.045770000000000005</v>
      </c>
      <c r="L1093" s="57" t="s">
        <v>785</v>
      </c>
      <c r="Z1093" s="55">
        <f>IF(AQ1093="5",BJ1093,0)</f>
        <v>0</v>
      </c>
      <c r="AB1093" s="55">
        <f>IF(AQ1093="1",BH1093,0)</f>
        <v>0</v>
      </c>
      <c r="AC1093" s="55">
        <f>IF(AQ1093="1",BI1093,0)</f>
        <v>0</v>
      </c>
      <c r="AD1093" s="55">
        <f>IF(AQ1093="7",BH1093,0)</f>
        <v>0</v>
      </c>
      <c r="AE1093" s="55">
        <f>IF(AQ1093="7",BI1093,0)</f>
        <v>0</v>
      </c>
      <c r="AF1093" s="55">
        <f>IF(AQ1093="2",BH1093,0)</f>
        <v>0</v>
      </c>
      <c r="AG1093" s="55">
        <f>IF(AQ1093="2",BI1093,0)</f>
        <v>0</v>
      </c>
      <c r="AH1093" s="55">
        <f>IF(AQ1093="0",BJ1093,0)</f>
        <v>0</v>
      </c>
      <c r="AI1093" s="34" t="s">
        <v>116</v>
      </c>
      <c r="AJ1093" s="55">
        <f>IF(AN1093=0,I1093,0)</f>
        <v>0</v>
      </c>
      <c r="AK1093" s="55">
        <f>IF(AN1093=12,I1093,0)</f>
        <v>0</v>
      </c>
      <c r="AL1093" s="55">
        <f>IF(AN1093=21,I1093,0)</f>
        <v>0</v>
      </c>
      <c r="AN1093" s="55">
        <v>21</v>
      </c>
      <c r="AO1093" s="55">
        <f>H1093*0.164793094</f>
        <v>0</v>
      </c>
      <c r="AP1093" s="55">
        <f>H1093*(1-0.164793094)</f>
        <v>0</v>
      </c>
      <c r="AQ1093" s="58" t="s">
        <v>125</v>
      </c>
      <c r="AV1093" s="55">
        <f>AW1093+AX1093</f>
        <v>0</v>
      </c>
      <c r="AW1093" s="55">
        <f>G1093*AO1093</f>
        <v>0</v>
      </c>
      <c r="AX1093" s="55">
        <f>G1093*AP1093</f>
        <v>0</v>
      </c>
      <c r="AY1093" s="58" t="s">
        <v>2029</v>
      </c>
      <c r="AZ1093" s="58" t="s">
        <v>1669</v>
      </c>
      <c r="BA1093" s="34" t="s">
        <v>128</v>
      </c>
      <c r="BC1093" s="55">
        <f>AW1093+AX1093</f>
        <v>0</v>
      </c>
      <c r="BD1093" s="55">
        <f>H1093/(100-BE1093)*100</f>
        <v>0</v>
      </c>
      <c r="BE1093" s="55">
        <v>0</v>
      </c>
      <c r="BF1093" s="55">
        <f>K1093</f>
        <v>0.045770000000000005</v>
      </c>
      <c r="BH1093" s="55">
        <f>G1093*AO1093</f>
        <v>0</v>
      </c>
      <c r="BI1093" s="55">
        <f>G1093*AP1093</f>
        <v>0</v>
      </c>
      <c r="BJ1093" s="55">
        <f>G1093*H1093</f>
        <v>0</v>
      </c>
      <c r="BK1093" s="55"/>
      <c r="BL1093" s="55">
        <v>767</v>
      </c>
      <c r="BW1093" s="55">
        <v>21</v>
      </c>
    </row>
    <row r="1094" spans="1:12" ht="13.5" customHeight="1">
      <c r="A1094" s="59"/>
      <c r="D1094" s="218" t="s">
        <v>2099</v>
      </c>
      <c r="E1094" s="219"/>
      <c r="F1094" s="219"/>
      <c r="G1094" s="219"/>
      <c r="H1094" s="220"/>
      <c r="I1094" s="219"/>
      <c r="J1094" s="219"/>
      <c r="K1094" s="219"/>
      <c r="L1094" s="221"/>
    </row>
    <row r="1095" spans="1:12" ht="14.4">
      <c r="A1095" s="59"/>
      <c r="D1095" s="60" t="s">
        <v>2100</v>
      </c>
      <c r="E1095" s="60" t="s">
        <v>2101</v>
      </c>
      <c r="G1095" s="68">
        <v>17.5</v>
      </c>
      <c r="L1095" s="69"/>
    </row>
    <row r="1096" spans="1:12" ht="14.4">
      <c r="A1096" s="59"/>
      <c r="D1096" s="60" t="s">
        <v>2102</v>
      </c>
      <c r="E1096" s="60" t="s">
        <v>2103</v>
      </c>
      <c r="G1096" s="68">
        <v>10.5</v>
      </c>
      <c r="L1096" s="69"/>
    </row>
    <row r="1097" spans="1:12" ht="14.4">
      <c r="A1097" s="59"/>
      <c r="D1097" s="60" t="s">
        <v>2104</v>
      </c>
      <c r="E1097" s="60" t="s">
        <v>2105</v>
      </c>
      <c r="G1097" s="68">
        <v>14</v>
      </c>
      <c r="L1097" s="69"/>
    </row>
    <row r="1098" spans="1:12" ht="14.4">
      <c r="A1098" s="59"/>
      <c r="D1098" s="60" t="s">
        <v>2106</v>
      </c>
      <c r="E1098" s="60" t="s">
        <v>2107</v>
      </c>
      <c r="G1098" s="68">
        <v>2.03</v>
      </c>
      <c r="L1098" s="69"/>
    </row>
    <row r="1099" spans="1:12" ht="14.4">
      <c r="A1099" s="59"/>
      <c r="D1099" s="60" t="s">
        <v>2108</v>
      </c>
      <c r="E1099" s="60" t="s">
        <v>2109</v>
      </c>
      <c r="G1099" s="68">
        <v>1.74</v>
      </c>
      <c r="L1099" s="69"/>
    </row>
    <row r="1100" spans="1:75" ht="13.5" customHeight="1">
      <c r="A1100" s="1" t="s">
        <v>2110</v>
      </c>
      <c r="B1100" s="2" t="s">
        <v>116</v>
      </c>
      <c r="C1100" s="2" t="s">
        <v>2111</v>
      </c>
      <c r="D1100" s="147" t="s">
        <v>2112</v>
      </c>
      <c r="E1100" s="148"/>
      <c r="F1100" s="2" t="s">
        <v>1731</v>
      </c>
      <c r="G1100" s="55">
        <v>68.8</v>
      </c>
      <c r="H1100" s="56">
        <v>0</v>
      </c>
      <c r="I1100" s="55">
        <f>G1100*H1100</f>
        <v>0</v>
      </c>
      <c r="J1100" s="55">
        <v>6E-05</v>
      </c>
      <c r="K1100" s="55">
        <f>G1100*J1100</f>
        <v>0.004128</v>
      </c>
      <c r="L1100" s="57" t="s">
        <v>124</v>
      </c>
      <c r="Z1100" s="55">
        <f>IF(AQ1100="5",BJ1100,0)</f>
        <v>0</v>
      </c>
      <c r="AB1100" s="55">
        <f>IF(AQ1100="1",BH1100,0)</f>
        <v>0</v>
      </c>
      <c r="AC1100" s="55">
        <f>IF(AQ1100="1",BI1100,0)</f>
        <v>0</v>
      </c>
      <c r="AD1100" s="55">
        <f>IF(AQ1100="7",BH1100,0)</f>
        <v>0</v>
      </c>
      <c r="AE1100" s="55">
        <f>IF(AQ1100="7",BI1100,0)</f>
        <v>0</v>
      </c>
      <c r="AF1100" s="55">
        <f>IF(AQ1100="2",BH1100,0)</f>
        <v>0</v>
      </c>
      <c r="AG1100" s="55">
        <f>IF(AQ1100="2",BI1100,0)</f>
        <v>0</v>
      </c>
      <c r="AH1100" s="55">
        <f>IF(AQ1100="0",BJ1100,0)</f>
        <v>0</v>
      </c>
      <c r="AI1100" s="34" t="s">
        <v>116</v>
      </c>
      <c r="AJ1100" s="55">
        <f>IF(AN1100=0,I1100,0)</f>
        <v>0</v>
      </c>
      <c r="AK1100" s="55">
        <f>IF(AN1100=12,I1100,0)</f>
        <v>0</v>
      </c>
      <c r="AL1100" s="55">
        <f>IF(AN1100=21,I1100,0)</f>
        <v>0</v>
      </c>
      <c r="AN1100" s="55">
        <v>21</v>
      </c>
      <c r="AO1100" s="55">
        <f>H1100*0.276428571</f>
        <v>0</v>
      </c>
      <c r="AP1100" s="55">
        <f>H1100*(1-0.276428571)</f>
        <v>0</v>
      </c>
      <c r="AQ1100" s="58" t="s">
        <v>125</v>
      </c>
      <c r="AV1100" s="55">
        <f>AW1100+AX1100</f>
        <v>0</v>
      </c>
      <c r="AW1100" s="55">
        <f>G1100*AO1100</f>
        <v>0</v>
      </c>
      <c r="AX1100" s="55">
        <f>G1100*AP1100</f>
        <v>0</v>
      </c>
      <c r="AY1100" s="58" t="s">
        <v>2029</v>
      </c>
      <c r="AZ1100" s="58" t="s">
        <v>1669</v>
      </c>
      <c r="BA1100" s="34" t="s">
        <v>128</v>
      </c>
      <c r="BB1100" s="67">
        <v>100006</v>
      </c>
      <c r="BC1100" s="55">
        <f>AW1100+AX1100</f>
        <v>0</v>
      </c>
      <c r="BD1100" s="55">
        <f>H1100/(100-BE1100)*100</f>
        <v>0</v>
      </c>
      <c r="BE1100" s="55">
        <v>0</v>
      </c>
      <c r="BF1100" s="55">
        <f>K1100</f>
        <v>0.004128</v>
      </c>
      <c r="BH1100" s="55">
        <f>G1100*AO1100</f>
        <v>0</v>
      </c>
      <c r="BI1100" s="55">
        <f>G1100*AP1100</f>
        <v>0</v>
      </c>
      <c r="BJ1100" s="55">
        <f>G1100*H1100</f>
        <v>0</v>
      </c>
      <c r="BK1100" s="55"/>
      <c r="BL1100" s="55">
        <v>767</v>
      </c>
      <c r="BW1100" s="55">
        <v>21</v>
      </c>
    </row>
    <row r="1101" spans="1:12" ht="13.5" customHeight="1">
      <c r="A1101" s="59"/>
      <c r="D1101" s="218" t="s">
        <v>2113</v>
      </c>
      <c r="E1101" s="219"/>
      <c r="F1101" s="219"/>
      <c r="G1101" s="219"/>
      <c r="H1101" s="220"/>
      <c r="I1101" s="219"/>
      <c r="J1101" s="219"/>
      <c r="K1101" s="219"/>
      <c r="L1101" s="221"/>
    </row>
    <row r="1102" spans="1:12" ht="14.4">
      <c r="A1102" s="59"/>
      <c r="D1102" s="60" t="s">
        <v>2114</v>
      </c>
      <c r="E1102" s="60" t="s">
        <v>2115</v>
      </c>
      <c r="G1102" s="68">
        <v>68.8</v>
      </c>
      <c r="L1102" s="69"/>
    </row>
    <row r="1103" spans="1:75" ht="13.5" customHeight="1">
      <c r="A1103" s="1" t="s">
        <v>2116</v>
      </c>
      <c r="B1103" s="2" t="s">
        <v>116</v>
      </c>
      <c r="C1103" s="2" t="s">
        <v>2117</v>
      </c>
      <c r="D1103" s="147" t="s">
        <v>2118</v>
      </c>
      <c r="E1103" s="148"/>
      <c r="F1103" s="2" t="s">
        <v>1731</v>
      </c>
      <c r="G1103" s="55">
        <v>49.7</v>
      </c>
      <c r="H1103" s="56">
        <v>0</v>
      </c>
      <c r="I1103" s="55">
        <f>G1103*H1103</f>
        <v>0</v>
      </c>
      <c r="J1103" s="55">
        <v>5E-05</v>
      </c>
      <c r="K1103" s="55">
        <f>G1103*J1103</f>
        <v>0.0024850000000000002</v>
      </c>
      <c r="L1103" s="57" t="s">
        <v>785</v>
      </c>
      <c r="Z1103" s="55">
        <f>IF(AQ1103="5",BJ1103,0)</f>
        <v>0</v>
      </c>
      <c r="AB1103" s="55">
        <f>IF(AQ1103="1",BH1103,0)</f>
        <v>0</v>
      </c>
      <c r="AC1103" s="55">
        <f>IF(AQ1103="1",BI1103,0)</f>
        <v>0</v>
      </c>
      <c r="AD1103" s="55">
        <f>IF(AQ1103="7",BH1103,0)</f>
        <v>0</v>
      </c>
      <c r="AE1103" s="55">
        <f>IF(AQ1103="7",BI1103,0)</f>
        <v>0</v>
      </c>
      <c r="AF1103" s="55">
        <f>IF(AQ1103="2",BH1103,0)</f>
        <v>0</v>
      </c>
      <c r="AG1103" s="55">
        <f>IF(AQ1103="2",BI1103,0)</f>
        <v>0</v>
      </c>
      <c r="AH1103" s="55">
        <f>IF(AQ1103="0",BJ1103,0)</f>
        <v>0</v>
      </c>
      <c r="AI1103" s="34" t="s">
        <v>116</v>
      </c>
      <c r="AJ1103" s="55">
        <f>IF(AN1103=0,I1103,0)</f>
        <v>0</v>
      </c>
      <c r="AK1103" s="55">
        <f>IF(AN1103=12,I1103,0)</f>
        <v>0</v>
      </c>
      <c r="AL1103" s="55">
        <f>IF(AN1103=21,I1103,0)</f>
        <v>0</v>
      </c>
      <c r="AN1103" s="55">
        <v>21</v>
      </c>
      <c r="AO1103" s="55">
        <f>H1103*0.454637855</f>
        <v>0</v>
      </c>
      <c r="AP1103" s="55">
        <f>H1103*(1-0.454637855)</f>
        <v>0</v>
      </c>
      <c r="AQ1103" s="58" t="s">
        <v>125</v>
      </c>
      <c r="AV1103" s="55">
        <f>AW1103+AX1103</f>
        <v>0</v>
      </c>
      <c r="AW1103" s="55">
        <f>G1103*AO1103</f>
        <v>0</v>
      </c>
      <c r="AX1103" s="55">
        <f>G1103*AP1103</f>
        <v>0</v>
      </c>
      <c r="AY1103" s="58" t="s">
        <v>2029</v>
      </c>
      <c r="AZ1103" s="58" t="s">
        <v>1669</v>
      </c>
      <c r="BA1103" s="34" t="s">
        <v>128</v>
      </c>
      <c r="BB1103" s="67">
        <v>100006</v>
      </c>
      <c r="BC1103" s="55">
        <f>AW1103+AX1103</f>
        <v>0</v>
      </c>
      <c r="BD1103" s="55">
        <f>H1103/(100-BE1103)*100</f>
        <v>0</v>
      </c>
      <c r="BE1103" s="55">
        <v>0</v>
      </c>
      <c r="BF1103" s="55">
        <f>K1103</f>
        <v>0.0024850000000000002</v>
      </c>
      <c r="BH1103" s="55">
        <f>G1103*AO1103</f>
        <v>0</v>
      </c>
      <c r="BI1103" s="55">
        <f>G1103*AP1103</f>
        <v>0</v>
      </c>
      <c r="BJ1103" s="55">
        <f>G1103*H1103</f>
        <v>0</v>
      </c>
      <c r="BK1103" s="55"/>
      <c r="BL1103" s="55">
        <v>767</v>
      </c>
      <c r="BW1103" s="55">
        <v>21</v>
      </c>
    </row>
    <row r="1104" spans="1:12" ht="13.5" customHeight="1">
      <c r="A1104" s="59"/>
      <c r="D1104" s="218" t="s">
        <v>2099</v>
      </c>
      <c r="E1104" s="219"/>
      <c r="F1104" s="219"/>
      <c r="G1104" s="219"/>
      <c r="H1104" s="220"/>
      <c r="I1104" s="219"/>
      <c r="J1104" s="219"/>
      <c r="K1104" s="219"/>
      <c r="L1104" s="221"/>
    </row>
    <row r="1105" spans="1:12" ht="14.4">
      <c r="A1105" s="59"/>
      <c r="D1105" s="60" t="s">
        <v>2119</v>
      </c>
      <c r="E1105" s="60" t="s">
        <v>2120</v>
      </c>
      <c r="G1105" s="68">
        <v>28.6</v>
      </c>
      <c r="L1105" s="69"/>
    </row>
    <row r="1106" spans="1:12" ht="14.4">
      <c r="A1106" s="59"/>
      <c r="D1106" s="60" t="s">
        <v>2121</v>
      </c>
      <c r="E1106" s="60" t="s">
        <v>2122</v>
      </c>
      <c r="G1106" s="68">
        <v>21.1</v>
      </c>
      <c r="L1106" s="69"/>
    </row>
    <row r="1107" spans="1:75" ht="13.5" customHeight="1">
      <c r="A1107" s="1" t="s">
        <v>2123</v>
      </c>
      <c r="B1107" s="2" t="s">
        <v>116</v>
      </c>
      <c r="C1107" s="2" t="s">
        <v>2124</v>
      </c>
      <c r="D1107" s="147" t="s">
        <v>2125</v>
      </c>
      <c r="E1107" s="148"/>
      <c r="F1107" s="2" t="s">
        <v>1731</v>
      </c>
      <c r="G1107" s="55">
        <v>60</v>
      </c>
      <c r="H1107" s="56">
        <v>0</v>
      </c>
      <c r="I1107" s="55">
        <f>G1107*H1107</f>
        <v>0</v>
      </c>
      <c r="J1107" s="55">
        <v>6E-05</v>
      </c>
      <c r="K1107" s="55">
        <f>G1107*J1107</f>
        <v>0.0036</v>
      </c>
      <c r="L1107" s="57" t="s">
        <v>785</v>
      </c>
      <c r="Z1107" s="55">
        <f>IF(AQ1107="5",BJ1107,0)</f>
        <v>0</v>
      </c>
      <c r="AB1107" s="55">
        <f>IF(AQ1107="1",BH1107,0)</f>
        <v>0</v>
      </c>
      <c r="AC1107" s="55">
        <f>IF(AQ1107="1",BI1107,0)</f>
        <v>0</v>
      </c>
      <c r="AD1107" s="55">
        <f>IF(AQ1107="7",BH1107,0)</f>
        <v>0</v>
      </c>
      <c r="AE1107" s="55">
        <f>IF(AQ1107="7",BI1107,0)</f>
        <v>0</v>
      </c>
      <c r="AF1107" s="55">
        <f>IF(AQ1107="2",BH1107,0)</f>
        <v>0</v>
      </c>
      <c r="AG1107" s="55">
        <f>IF(AQ1107="2",BI1107,0)</f>
        <v>0</v>
      </c>
      <c r="AH1107" s="55">
        <f>IF(AQ1107="0",BJ1107,0)</f>
        <v>0</v>
      </c>
      <c r="AI1107" s="34" t="s">
        <v>116</v>
      </c>
      <c r="AJ1107" s="55">
        <f>IF(AN1107=0,I1107,0)</f>
        <v>0</v>
      </c>
      <c r="AK1107" s="55">
        <f>IF(AN1107=12,I1107,0)</f>
        <v>0</v>
      </c>
      <c r="AL1107" s="55">
        <f>IF(AN1107=21,I1107,0)</f>
        <v>0</v>
      </c>
      <c r="AN1107" s="55">
        <v>21</v>
      </c>
      <c r="AO1107" s="55">
        <f>H1107*0.114427487</f>
        <v>0</v>
      </c>
      <c r="AP1107" s="55">
        <f>H1107*(1-0.114427487)</f>
        <v>0</v>
      </c>
      <c r="AQ1107" s="58" t="s">
        <v>125</v>
      </c>
      <c r="AV1107" s="55">
        <f>AW1107+AX1107</f>
        <v>0</v>
      </c>
      <c r="AW1107" s="55">
        <f>G1107*AO1107</f>
        <v>0</v>
      </c>
      <c r="AX1107" s="55">
        <f>G1107*AP1107</f>
        <v>0</v>
      </c>
      <c r="AY1107" s="58" t="s">
        <v>2029</v>
      </c>
      <c r="AZ1107" s="58" t="s">
        <v>1669</v>
      </c>
      <c r="BA1107" s="34" t="s">
        <v>128</v>
      </c>
      <c r="BB1107" s="67">
        <v>100006</v>
      </c>
      <c r="BC1107" s="55">
        <f>AW1107+AX1107</f>
        <v>0</v>
      </c>
      <c r="BD1107" s="55">
        <f>H1107/(100-BE1107)*100</f>
        <v>0</v>
      </c>
      <c r="BE1107" s="55">
        <v>0</v>
      </c>
      <c r="BF1107" s="55">
        <f>K1107</f>
        <v>0.0036</v>
      </c>
      <c r="BH1107" s="55">
        <f>G1107*AO1107</f>
        <v>0</v>
      </c>
      <c r="BI1107" s="55">
        <f>G1107*AP1107</f>
        <v>0</v>
      </c>
      <c r="BJ1107" s="55">
        <f>G1107*H1107</f>
        <v>0</v>
      </c>
      <c r="BK1107" s="55"/>
      <c r="BL1107" s="55">
        <v>767</v>
      </c>
      <c r="BW1107" s="55">
        <v>21</v>
      </c>
    </row>
    <row r="1108" spans="1:12" ht="13.5" customHeight="1">
      <c r="A1108" s="59"/>
      <c r="D1108" s="218" t="s">
        <v>2126</v>
      </c>
      <c r="E1108" s="219"/>
      <c r="F1108" s="219"/>
      <c r="G1108" s="219"/>
      <c r="H1108" s="220"/>
      <c r="I1108" s="219"/>
      <c r="J1108" s="219"/>
      <c r="K1108" s="219"/>
      <c r="L1108" s="221"/>
    </row>
    <row r="1109" spans="1:12" ht="14.4">
      <c r="A1109" s="59"/>
      <c r="D1109" s="60" t="s">
        <v>310</v>
      </c>
      <c r="E1109" s="60" t="s">
        <v>1709</v>
      </c>
      <c r="G1109" s="68">
        <v>60</v>
      </c>
      <c r="L1109" s="69"/>
    </row>
    <row r="1110" spans="1:75" ht="13.5" customHeight="1">
      <c r="A1110" s="1" t="s">
        <v>2127</v>
      </c>
      <c r="B1110" s="2" t="s">
        <v>116</v>
      </c>
      <c r="C1110" s="2" t="s">
        <v>2128</v>
      </c>
      <c r="D1110" s="147" t="s">
        <v>2129</v>
      </c>
      <c r="E1110" s="148"/>
      <c r="F1110" s="2" t="s">
        <v>939</v>
      </c>
      <c r="G1110" s="55">
        <v>23.72</v>
      </c>
      <c r="H1110" s="56">
        <v>0</v>
      </c>
      <c r="I1110" s="55">
        <f>G1110*H1110</f>
        <v>0</v>
      </c>
      <c r="J1110" s="55">
        <v>0</v>
      </c>
      <c r="K1110" s="55">
        <f>G1110*J1110</f>
        <v>0</v>
      </c>
      <c r="L1110" s="57" t="s">
        <v>785</v>
      </c>
      <c r="Z1110" s="55">
        <f>IF(AQ1110="5",BJ1110,0)</f>
        <v>0</v>
      </c>
      <c r="AB1110" s="55">
        <f>IF(AQ1110="1",BH1110,0)</f>
        <v>0</v>
      </c>
      <c r="AC1110" s="55">
        <f>IF(AQ1110="1",BI1110,0)</f>
        <v>0</v>
      </c>
      <c r="AD1110" s="55">
        <f>IF(AQ1110="7",BH1110,0)</f>
        <v>0</v>
      </c>
      <c r="AE1110" s="55">
        <f>IF(AQ1110="7",BI1110,0)</f>
        <v>0</v>
      </c>
      <c r="AF1110" s="55">
        <f>IF(AQ1110="2",BH1110,0)</f>
        <v>0</v>
      </c>
      <c r="AG1110" s="55">
        <f>IF(AQ1110="2",BI1110,0)</f>
        <v>0</v>
      </c>
      <c r="AH1110" s="55">
        <f>IF(AQ1110="0",BJ1110,0)</f>
        <v>0</v>
      </c>
      <c r="AI1110" s="34" t="s">
        <v>116</v>
      </c>
      <c r="AJ1110" s="55">
        <f>IF(AN1110=0,I1110,0)</f>
        <v>0</v>
      </c>
      <c r="AK1110" s="55">
        <f>IF(AN1110=12,I1110,0)</f>
        <v>0</v>
      </c>
      <c r="AL1110" s="55">
        <f>IF(AN1110=21,I1110,0)</f>
        <v>0</v>
      </c>
      <c r="AN1110" s="55">
        <v>21</v>
      </c>
      <c r="AO1110" s="55">
        <f>H1110*0</f>
        <v>0</v>
      </c>
      <c r="AP1110" s="55">
        <f>H1110*(1-0)</f>
        <v>0</v>
      </c>
      <c r="AQ1110" s="58" t="s">
        <v>139</v>
      </c>
      <c r="AV1110" s="55">
        <f>AW1110+AX1110</f>
        <v>0</v>
      </c>
      <c r="AW1110" s="55">
        <f>G1110*AO1110</f>
        <v>0</v>
      </c>
      <c r="AX1110" s="55">
        <f>G1110*AP1110</f>
        <v>0</v>
      </c>
      <c r="AY1110" s="58" t="s">
        <v>2029</v>
      </c>
      <c r="AZ1110" s="58" t="s">
        <v>1669</v>
      </c>
      <c r="BA1110" s="34" t="s">
        <v>128</v>
      </c>
      <c r="BC1110" s="55">
        <f>AW1110+AX1110</f>
        <v>0</v>
      </c>
      <c r="BD1110" s="55">
        <f>H1110/(100-BE1110)*100</f>
        <v>0</v>
      </c>
      <c r="BE1110" s="55">
        <v>0</v>
      </c>
      <c r="BF1110" s="55">
        <f>K1110</f>
        <v>0</v>
      </c>
      <c r="BH1110" s="55">
        <f>G1110*AO1110</f>
        <v>0</v>
      </c>
      <c r="BI1110" s="55">
        <f>G1110*AP1110</f>
        <v>0</v>
      </c>
      <c r="BJ1110" s="55">
        <f>G1110*H1110</f>
        <v>0</v>
      </c>
      <c r="BK1110" s="55"/>
      <c r="BL1110" s="55">
        <v>767</v>
      </c>
      <c r="BW1110" s="55">
        <v>21</v>
      </c>
    </row>
    <row r="1111" spans="1:12" ht="14.4">
      <c r="A1111" s="59"/>
      <c r="D1111" s="60" t="s">
        <v>2130</v>
      </c>
      <c r="E1111" s="60" t="s">
        <v>4</v>
      </c>
      <c r="G1111" s="68">
        <v>23.72</v>
      </c>
      <c r="L1111" s="69"/>
    </row>
    <row r="1112" spans="1:47" ht="14.4">
      <c r="A1112" s="50" t="s">
        <v>4</v>
      </c>
      <c r="B1112" s="51" t="s">
        <v>116</v>
      </c>
      <c r="C1112" s="51" t="s">
        <v>2131</v>
      </c>
      <c r="D1112" s="222" t="s">
        <v>2132</v>
      </c>
      <c r="E1112" s="223"/>
      <c r="F1112" s="52" t="s">
        <v>79</v>
      </c>
      <c r="G1112" s="52" t="s">
        <v>79</v>
      </c>
      <c r="H1112" s="53" t="s">
        <v>79</v>
      </c>
      <c r="I1112" s="27">
        <f>SUM(I1113:I1130)</f>
        <v>0</v>
      </c>
      <c r="J1112" s="34" t="s">
        <v>4</v>
      </c>
      <c r="K1112" s="27">
        <f>SUM(K1113:K1130)</f>
        <v>0.8472469999999999</v>
      </c>
      <c r="L1112" s="54" t="s">
        <v>4</v>
      </c>
      <c r="AI1112" s="34" t="s">
        <v>116</v>
      </c>
      <c r="AS1112" s="27">
        <f>SUM(AJ1113:AJ1130)</f>
        <v>0</v>
      </c>
      <c r="AT1112" s="27">
        <f>SUM(AK1113:AK1130)</f>
        <v>0</v>
      </c>
      <c r="AU1112" s="27">
        <f>SUM(AL1113:AL1130)</f>
        <v>0</v>
      </c>
    </row>
    <row r="1113" spans="1:75" ht="13.5" customHeight="1">
      <c r="A1113" s="1" t="s">
        <v>2133</v>
      </c>
      <c r="B1113" s="2" t="s">
        <v>116</v>
      </c>
      <c r="C1113" s="2" t="s">
        <v>2134</v>
      </c>
      <c r="D1113" s="147" t="s">
        <v>2135</v>
      </c>
      <c r="E1113" s="148"/>
      <c r="F1113" s="2" t="s">
        <v>174</v>
      </c>
      <c r="G1113" s="55">
        <v>85.9</v>
      </c>
      <c r="H1113" s="56">
        <v>0</v>
      </c>
      <c r="I1113" s="55">
        <f>G1113*H1113</f>
        <v>0</v>
      </c>
      <c r="J1113" s="55">
        <v>4E-05</v>
      </c>
      <c r="K1113" s="55">
        <f>G1113*J1113</f>
        <v>0.0034360000000000007</v>
      </c>
      <c r="L1113" s="57" t="s">
        <v>785</v>
      </c>
      <c r="Z1113" s="55">
        <f>IF(AQ1113="5",BJ1113,0)</f>
        <v>0</v>
      </c>
      <c r="AB1113" s="55">
        <f>IF(AQ1113="1",BH1113,0)</f>
        <v>0</v>
      </c>
      <c r="AC1113" s="55">
        <f>IF(AQ1113="1",BI1113,0)</f>
        <v>0</v>
      </c>
      <c r="AD1113" s="55">
        <f>IF(AQ1113="7",BH1113,0)</f>
        <v>0</v>
      </c>
      <c r="AE1113" s="55">
        <f>IF(AQ1113="7",BI1113,0)</f>
        <v>0</v>
      </c>
      <c r="AF1113" s="55">
        <f>IF(AQ1113="2",BH1113,0)</f>
        <v>0</v>
      </c>
      <c r="AG1113" s="55">
        <f>IF(AQ1113="2",BI1113,0)</f>
        <v>0</v>
      </c>
      <c r="AH1113" s="55">
        <f>IF(AQ1113="0",BJ1113,0)</f>
        <v>0</v>
      </c>
      <c r="AI1113" s="34" t="s">
        <v>116</v>
      </c>
      <c r="AJ1113" s="55">
        <f>IF(AN1113=0,I1113,0)</f>
        <v>0</v>
      </c>
      <c r="AK1113" s="55">
        <f>IF(AN1113=12,I1113,0)</f>
        <v>0</v>
      </c>
      <c r="AL1113" s="55">
        <f>IF(AN1113=21,I1113,0)</f>
        <v>0</v>
      </c>
      <c r="AN1113" s="55">
        <v>21</v>
      </c>
      <c r="AO1113" s="55">
        <f>H1113*0.500127481</f>
        <v>0</v>
      </c>
      <c r="AP1113" s="55">
        <f>H1113*(1-0.500127481)</f>
        <v>0</v>
      </c>
      <c r="AQ1113" s="58" t="s">
        <v>125</v>
      </c>
      <c r="AV1113" s="55">
        <f>AW1113+AX1113</f>
        <v>0</v>
      </c>
      <c r="AW1113" s="55">
        <f>G1113*AO1113</f>
        <v>0</v>
      </c>
      <c r="AX1113" s="55">
        <f>G1113*AP1113</f>
        <v>0</v>
      </c>
      <c r="AY1113" s="58" t="s">
        <v>2136</v>
      </c>
      <c r="AZ1113" s="58" t="s">
        <v>2137</v>
      </c>
      <c r="BA1113" s="34" t="s">
        <v>128</v>
      </c>
      <c r="BB1113" s="67">
        <v>100008</v>
      </c>
      <c r="BC1113" s="55">
        <f>AW1113+AX1113</f>
        <v>0</v>
      </c>
      <c r="BD1113" s="55">
        <f>H1113/(100-BE1113)*100</f>
        <v>0</v>
      </c>
      <c r="BE1113" s="55">
        <v>0</v>
      </c>
      <c r="BF1113" s="55">
        <f>K1113</f>
        <v>0.0034360000000000007</v>
      </c>
      <c r="BH1113" s="55">
        <f>G1113*AO1113</f>
        <v>0</v>
      </c>
      <c r="BI1113" s="55">
        <f>G1113*AP1113</f>
        <v>0</v>
      </c>
      <c r="BJ1113" s="55">
        <f>G1113*H1113</f>
        <v>0</v>
      </c>
      <c r="BK1113" s="55"/>
      <c r="BL1113" s="55">
        <v>771</v>
      </c>
      <c r="BW1113" s="55">
        <v>21</v>
      </c>
    </row>
    <row r="1114" spans="1:12" ht="14.4">
      <c r="A1114" s="59"/>
      <c r="D1114" s="60" t="s">
        <v>2138</v>
      </c>
      <c r="E1114" s="60" t="s">
        <v>2139</v>
      </c>
      <c r="G1114" s="68">
        <v>39.5</v>
      </c>
      <c r="L1114" s="69"/>
    </row>
    <row r="1115" spans="1:12" ht="14.4">
      <c r="A1115" s="59"/>
      <c r="D1115" s="60" t="s">
        <v>2140</v>
      </c>
      <c r="E1115" s="60" t="s">
        <v>2141</v>
      </c>
      <c r="G1115" s="68">
        <v>46.4</v>
      </c>
      <c r="L1115" s="69"/>
    </row>
    <row r="1116" spans="1:75" ht="13.5" customHeight="1">
      <c r="A1116" s="1" t="s">
        <v>2142</v>
      </c>
      <c r="B1116" s="2" t="s">
        <v>116</v>
      </c>
      <c r="C1116" s="2" t="s">
        <v>2143</v>
      </c>
      <c r="D1116" s="147" t="s">
        <v>2144</v>
      </c>
      <c r="E1116" s="148"/>
      <c r="F1116" s="2" t="s">
        <v>729</v>
      </c>
      <c r="G1116" s="55">
        <v>56.7</v>
      </c>
      <c r="H1116" s="56">
        <v>0</v>
      </c>
      <c r="I1116" s="55">
        <f>G1116*H1116</f>
        <v>0</v>
      </c>
      <c r="J1116" s="55">
        <v>0.00021</v>
      </c>
      <c r="K1116" s="55">
        <f>G1116*J1116</f>
        <v>0.011907000000000001</v>
      </c>
      <c r="L1116" s="57" t="s">
        <v>785</v>
      </c>
      <c r="Z1116" s="55">
        <f>IF(AQ1116="5",BJ1116,0)</f>
        <v>0</v>
      </c>
      <c r="AB1116" s="55">
        <f>IF(AQ1116="1",BH1116,0)</f>
        <v>0</v>
      </c>
      <c r="AC1116" s="55">
        <f>IF(AQ1116="1",BI1116,0)</f>
        <v>0</v>
      </c>
      <c r="AD1116" s="55">
        <f>IF(AQ1116="7",BH1116,0)</f>
        <v>0</v>
      </c>
      <c r="AE1116" s="55">
        <f>IF(AQ1116="7",BI1116,0)</f>
        <v>0</v>
      </c>
      <c r="AF1116" s="55">
        <f>IF(AQ1116="2",BH1116,0)</f>
        <v>0</v>
      </c>
      <c r="AG1116" s="55">
        <f>IF(AQ1116="2",BI1116,0)</f>
        <v>0</v>
      </c>
      <c r="AH1116" s="55">
        <f>IF(AQ1116="0",BJ1116,0)</f>
        <v>0</v>
      </c>
      <c r="AI1116" s="34" t="s">
        <v>116</v>
      </c>
      <c r="AJ1116" s="55">
        <f>IF(AN1116=0,I1116,0)</f>
        <v>0</v>
      </c>
      <c r="AK1116" s="55">
        <f>IF(AN1116=12,I1116,0)</f>
        <v>0</v>
      </c>
      <c r="AL1116" s="55">
        <f>IF(AN1116=21,I1116,0)</f>
        <v>0</v>
      </c>
      <c r="AN1116" s="55">
        <v>21</v>
      </c>
      <c r="AO1116" s="55">
        <f>H1116*0.477370178</f>
        <v>0</v>
      </c>
      <c r="AP1116" s="55">
        <f>H1116*(1-0.477370178)</f>
        <v>0</v>
      </c>
      <c r="AQ1116" s="58" t="s">
        <v>125</v>
      </c>
      <c r="AV1116" s="55">
        <f>AW1116+AX1116</f>
        <v>0</v>
      </c>
      <c r="AW1116" s="55">
        <f>G1116*AO1116</f>
        <v>0</v>
      </c>
      <c r="AX1116" s="55">
        <f>G1116*AP1116</f>
        <v>0</v>
      </c>
      <c r="AY1116" s="58" t="s">
        <v>2136</v>
      </c>
      <c r="AZ1116" s="58" t="s">
        <v>2137</v>
      </c>
      <c r="BA1116" s="34" t="s">
        <v>128</v>
      </c>
      <c r="BB1116" s="67">
        <v>100008</v>
      </c>
      <c r="BC1116" s="55">
        <f>AW1116+AX1116</f>
        <v>0</v>
      </c>
      <c r="BD1116" s="55">
        <f>H1116/(100-BE1116)*100</f>
        <v>0</v>
      </c>
      <c r="BE1116" s="55">
        <v>0</v>
      </c>
      <c r="BF1116" s="55">
        <f>K1116</f>
        <v>0.011907000000000001</v>
      </c>
      <c r="BH1116" s="55">
        <f>G1116*AO1116</f>
        <v>0</v>
      </c>
      <c r="BI1116" s="55">
        <f>G1116*AP1116</f>
        <v>0</v>
      </c>
      <c r="BJ1116" s="55">
        <f>G1116*H1116</f>
        <v>0</v>
      </c>
      <c r="BK1116" s="55"/>
      <c r="BL1116" s="55">
        <v>771</v>
      </c>
      <c r="BW1116" s="55">
        <v>21</v>
      </c>
    </row>
    <row r="1117" spans="1:12" ht="13.5" customHeight="1">
      <c r="A1117" s="59"/>
      <c r="D1117" s="218" t="s">
        <v>2145</v>
      </c>
      <c r="E1117" s="219"/>
      <c r="F1117" s="219"/>
      <c r="G1117" s="219"/>
      <c r="H1117" s="220"/>
      <c r="I1117" s="219"/>
      <c r="J1117" s="219"/>
      <c r="K1117" s="219"/>
      <c r="L1117" s="221"/>
    </row>
    <row r="1118" spans="1:12" ht="14.4">
      <c r="A1118" s="59"/>
      <c r="D1118" s="60" t="s">
        <v>999</v>
      </c>
      <c r="E1118" s="60" t="s">
        <v>2146</v>
      </c>
      <c r="G1118" s="68">
        <v>52.9</v>
      </c>
      <c r="L1118" s="69"/>
    </row>
    <row r="1119" spans="1:12" ht="14.4">
      <c r="A1119" s="59"/>
      <c r="D1119" s="60" t="s">
        <v>2147</v>
      </c>
      <c r="E1119" s="60" t="s">
        <v>2148</v>
      </c>
      <c r="G1119" s="68">
        <v>3.8</v>
      </c>
      <c r="L1119" s="69"/>
    </row>
    <row r="1120" spans="1:75" ht="13.5" customHeight="1">
      <c r="A1120" s="1" t="s">
        <v>2149</v>
      </c>
      <c r="B1120" s="2" t="s">
        <v>116</v>
      </c>
      <c r="C1120" s="2" t="s">
        <v>2150</v>
      </c>
      <c r="D1120" s="147" t="s">
        <v>2151</v>
      </c>
      <c r="E1120" s="148"/>
      <c r="F1120" s="2" t="s">
        <v>729</v>
      </c>
      <c r="G1120" s="55">
        <v>35.5</v>
      </c>
      <c r="H1120" s="56">
        <v>0</v>
      </c>
      <c r="I1120" s="55">
        <f>G1120*H1120</f>
        <v>0</v>
      </c>
      <c r="J1120" s="55">
        <v>0</v>
      </c>
      <c r="K1120" s="55">
        <f>G1120*J1120</f>
        <v>0</v>
      </c>
      <c r="L1120" s="57" t="s">
        <v>785</v>
      </c>
      <c r="Z1120" s="55">
        <f>IF(AQ1120="5",BJ1120,0)</f>
        <v>0</v>
      </c>
      <c r="AB1120" s="55">
        <f>IF(AQ1120="1",BH1120,0)</f>
        <v>0</v>
      </c>
      <c r="AC1120" s="55">
        <f>IF(AQ1120="1",BI1120,0)</f>
        <v>0</v>
      </c>
      <c r="AD1120" s="55">
        <f>IF(AQ1120="7",BH1120,0)</f>
        <v>0</v>
      </c>
      <c r="AE1120" s="55">
        <f>IF(AQ1120="7",BI1120,0)</f>
        <v>0</v>
      </c>
      <c r="AF1120" s="55">
        <f>IF(AQ1120="2",BH1120,0)</f>
        <v>0</v>
      </c>
      <c r="AG1120" s="55">
        <f>IF(AQ1120="2",BI1120,0)</f>
        <v>0</v>
      </c>
      <c r="AH1120" s="55">
        <f>IF(AQ1120="0",BJ1120,0)</f>
        <v>0</v>
      </c>
      <c r="AI1120" s="34" t="s">
        <v>116</v>
      </c>
      <c r="AJ1120" s="55">
        <f>IF(AN1120=0,I1120,0)</f>
        <v>0</v>
      </c>
      <c r="AK1120" s="55">
        <f>IF(AN1120=12,I1120,0)</f>
        <v>0</v>
      </c>
      <c r="AL1120" s="55">
        <f>IF(AN1120=21,I1120,0)</f>
        <v>0</v>
      </c>
      <c r="AN1120" s="55">
        <v>21</v>
      </c>
      <c r="AO1120" s="55">
        <f>H1120*0</f>
        <v>0</v>
      </c>
      <c r="AP1120" s="55">
        <f>H1120*(1-0)</f>
        <v>0</v>
      </c>
      <c r="AQ1120" s="58" t="s">
        <v>125</v>
      </c>
      <c r="AV1120" s="55">
        <f>AW1120+AX1120</f>
        <v>0</v>
      </c>
      <c r="AW1120" s="55">
        <f>G1120*AO1120</f>
        <v>0</v>
      </c>
      <c r="AX1120" s="55">
        <f>G1120*AP1120</f>
        <v>0</v>
      </c>
      <c r="AY1120" s="58" t="s">
        <v>2136</v>
      </c>
      <c r="AZ1120" s="58" t="s">
        <v>2137</v>
      </c>
      <c r="BA1120" s="34" t="s">
        <v>128</v>
      </c>
      <c r="BB1120" s="67">
        <v>100008</v>
      </c>
      <c r="BC1120" s="55">
        <f>AW1120+AX1120</f>
        <v>0</v>
      </c>
      <c r="BD1120" s="55">
        <f>H1120/(100-BE1120)*100</f>
        <v>0</v>
      </c>
      <c r="BE1120" s="55">
        <v>0</v>
      </c>
      <c r="BF1120" s="55">
        <f>K1120</f>
        <v>0</v>
      </c>
      <c r="BH1120" s="55">
        <f>G1120*AO1120</f>
        <v>0</v>
      </c>
      <c r="BI1120" s="55">
        <f>G1120*AP1120</f>
        <v>0</v>
      </c>
      <c r="BJ1120" s="55">
        <f>G1120*H1120</f>
        <v>0</v>
      </c>
      <c r="BK1120" s="55"/>
      <c r="BL1120" s="55">
        <v>771</v>
      </c>
      <c r="BW1120" s="55">
        <v>21</v>
      </c>
    </row>
    <row r="1121" spans="1:12" ht="13.5" customHeight="1">
      <c r="A1121" s="59"/>
      <c r="D1121" s="218" t="s">
        <v>2152</v>
      </c>
      <c r="E1121" s="219"/>
      <c r="F1121" s="219"/>
      <c r="G1121" s="219"/>
      <c r="H1121" s="220"/>
      <c r="I1121" s="219"/>
      <c r="J1121" s="219"/>
      <c r="K1121" s="219"/>
      <c r="L1121" s="221"/>
    </row>
    <row r="1122" spans="1:12" ht="14.4">
      <c r="A1122" s="59"/>
      <c r="D1122" s="60" t="s">
        <v>2153</v>
      </c>
      <c r="E1122" s="60" t="s">
        <v>2146</v>
      </c>
      <c r="G1122" s="68">
        <v>35.5</v>
      </c>
      <c r="L1122" s="69"/>
    </row>
    <row r="1123" spans="1:75" ht="13.5" customHeight="1">
      <c r="A1123" s="61" t="s">
        <v>2154</v>
      </c>
      <c r="B1123" s="62" t="s">
        <v>116</v>
      </c>
      <c r="C1123" s="62" t="s">
        <v>2155</v>
      </c>
      <c r="D1123" s="224" t="s">
        <v>2156</v>
      </c>
      <c r="E1123" s="225"/>
      <c r="F1123" s="62" t="s">
        <v>729</v>
      </c>
      <c r="G1123" s="63">
        <v>42.98</v>
      </c>
      <c r="H1123" s="64">
        <v>0</v>
      </c>
      <c r="I1123" s="63">
        <f>G1123*H1123</f>
        <v>0</v>
      </c>
      <c r="J1123" s="63">
        <v>0.0192</v>
      </c>
      <c r="K1123" s="63">
        <f>G1123*J1123</f>
        <v>0.8252159999999998</v>
      </c>
      <c r="L1123" s="65" t="s">
        <v>124</v>
      </c>
      <c r="Z1123" s="55">
        <f>IF(AQ1123="5",BJ1123,0)</f>
        <v>0</v>
      </c>
      <c r="AB1123" s="55">
        <f>IF(AQ1123="1",BH1123,0)</f>
        <v>0</v>
      </c>
      <c r="AC1123" s="55">
        <f>IF(AQ1123="1",BI1123,0)</f>
        <v>0</v>
      </c>
      <c r="AD1123" s="55">
        <f>IF(AQ1123="7",BH1123,0)</f>
        <v>0</v>
      </c>
      <c r="AE1123" s="55">
        <f>IF(AQ1123="7",BI1123,0)</f>
        <v>0</v>
      </c>
      <c r="AF1123" s="55">
        <f>IF(AQ1123="2",BH1123,0)</f>
        <v>0</v>
      </c>
      <c r="AG1123" s="55">
        <f>IF(AQ1123="2",BI1123,0)</f>
        <v>0</v>
      </c>
      <c r="AH1123" s="55">
        <f>IF(AQ1123="0",BJ1123,0)</f>
        <v>0</v>
      </c>
      <c r="AI1123" s="34" t="s">
        <v>116</v>
      </c>
      <c r="AJ1123" s="63">
        <f>IF(AN1123=0,I1123,0)</f>
        <v>0</v>
      </c>
      <c r="AK1123" s="63">
        <f>IF(AN1123=12,I1123,0)</f>
        <v>0</v>
      </c>
      <c r="AL1123" s="63">
        <f>IF(AN1123=21,I1123,0)</f>
        <v>0</v>
      </c>
      <c r="AN1123" s="55">
        <v>21</v>
      </c>
      <c r="AO1123" s="55">
        <f>H1123*1</f>
        <v>0</v>
      </c>
      <c r="AP1123" s="55">
        <f>H1123*(1-1)</f>
        <v>0</v>
      </c>
      <c r="AQ1123" s="66" t="s">
        <v>125</v>
      </c>
      <c r="AV1123" s="55">
        <f>AW1123+AX1123</f>
        <v>0</v>
      </c>
      <c r="AW1123" s="55">
        <f>G1123*AO1123</f>
        <v>0</v>
      </c>
      <c r="AX1123" s="55">
        <f>G1123*AP1123</f>
        <v>0</v>
      </c>
      <c r="AY1123" s="58" t="s">
        <v>2136</v>
      </c>
      <c r="AZ1123" s="58" t="s">
        <v>2137</v>
      </c>
      <c r="BA1123" s="34" t="s">
        <v>128</v>
      </c>
      <c r="BC1123" s="55">
        <f>AW1123+AX1123</f>
        <v>0</v>
      </c>
      <c r="BD1123" s="55">
        <f>H1123/(100-BE1123)*100</f>
        <v>0</v>
      </c>
      <c r="BE1123" s="55">
        <v>0</v>
      </c>
      <c r="BF1123" s="55">
        <f>K1123</f>
        <v>0.8252159999999998</v>
      </c>
      <c r="BH1123" s="63">
        <f>G1123*AO1123</f>
        <v>0</v>
      </c>
      <c r="BI1123" s="63">
        <f>G1123*AP1123</f>
        <v>0</v>
      </c>
      <c r="BJ1123" s="63">
        <f>G1123*H1123</f>
        <v>0</v>
      </c>
      <c r="BK1123" s="63"/>
      <c r="BL1123" s="55">
        <v>771</v>
      </c>
      <c r="BW1123" s="55">
        <v>21</v>
      </c>
    </row>
    <row r="1124" spans="1:12" ht="14.4">
      <c r="A1124" s="59"/>
      <c r="D1124" s="60" t="s">
        <v>2153</v>
      </c>
      <c r="E1124" s="60" t="s">
        <v>2146</v>
      </c>
      <c r="G1124" s="68">
        <v>35.5</v>
      </c>
      <c r="L1124" s="69"/>
    </row>
    <row r="1125" spans="1:12" ht="14.4">
      <c r="A1125" s="59"/>
      <c r="D1125" s="60" t="s">
        <v>2157</v>
      </c>
      <c r="E1125" s="60" t="s">
        <v>2139</v>
      </c>
      <c r="G1125" s="68">
        <v>1.87</v>
      </c>
      <c r="L1125" s="69"/>
    </row>
    <row r="1126" spans="1:12" ht="14.4">
      <c r="A1126" s="59"/>
      <c r="D1126" s="60" t="s">
        <v>2158</v>
      </c>
      <c r="E1126" s="60" t="s">
        <v>4</v>
      </c>
      <c r="G1126" s="68">
        <v>5.61</v>
      </c>
      <c r="L1126" s="69"/>
    </row>
    <row r="1127" spans="1:75" ht="13.5" customHeight="1">
      <c r="A1127" s="1" t="s">
        <v>2159</v>
      </c>
      <c r="B1127" s="2" t="s">
        <v>116</v>
      </c>
      <c r="C1127" s="2" t="s">
        <v>2160</v>
      </c>
      <c r="D1127" s="147" t="s">
        <v>2161</v>
      </c>
      <c r="E1127" s="148"/>
      <c r="F1127" s="2" t="s">
        <v>174</v>
      </c>
      <c r="G1127" s="55">
        <v>20.9</v>
      </c>
      <c r="H1127" s="56">
        <v>0</v>
      </c>
      <c r="I1127" s="55">
        <f>G1127*H1127</f>
        <v>0</v>
      </c>
      <c r="J1127" s="55">
        <v>0.00032</v>
      </c>
      <c r="K1127" s="55">
        <f>G1127*J1127</f>
        <v>0.006688</v>
      </c>
      <c r="L1127" s="57" t="s">
        <v>785</v>
      </c>
      <c r="Z1127" s="55">
        <f>IF(AQ1127="5",BJ1127,0)</f>
        <v>0</v>
      </c>
      <c r="AB1127" s="55">
        <f>IF(AQ1127="1",BH1127,0)</f>
        <v>0</v>
      </c>
      <c r="AC1127" s="55">
        <f>IF(AQ1127="1",BI1127,0)</f>
        <v>0</v>
      </c>
      <c r="AD1127" s="55">
        <f>IF(AQ1127="7",BH1127,0)</f>
        <v>0</v>
      </c>
      <c r="AE1127" s="55">
        <f>IF(AQ1127="7",BI1127,0)</f>
        <v>0</v>
      </c>
      <c r="AF1127" s="55">
        <f>IF(AQ1127="2",BH1127,0)</f>
        <v>0</v>
      </c>
      <c r="AG1127" s="55">
        <f>IF(AQ1127="2",BI1127,0)</f>
        <v>0</v>
      </c>
      <c r="AH1127" s="55">
        <f>IF(AQ1127="0",BJ1127,0)</f>
        <v>0</v>
      </c>
      <c r="AI1127" s="34" t="s">
        <v>116</v>
      </c>
      <c r="AJ1127" s="55">
        <f>IF(AN1127=0,I1127,0)</f>
        <v>0</v>
      </c>
      <c r="AK1127" s="55">
        <f>IF(AN1127=12,I1127,0)</f>
        <v>0</v>
      </c>
      <c r="AL1127" s="55">
        <f>IF(AN1127=21,I1127,0)</f>
        <v>0</v>
      </c>
      <c r="AN1127" s="55">
        <v>21</v>
      </c>
      <c r="AO1127" s="55">
        <f>H1127*0.104563758</f>
        <v>0</v>
      </c>
      <c r="AP1127" s="55">
        <f>H1127*(1-0.104563758)</f>
        <v>0</v>
      </c>
      <c r="AQ1127" s="58" t="s">
        <v>125</v>
      </c>
      <c r="AV1127" s="55">
        <f>AW1127+AX1127</f>
        <v>0</v>
      </c>
      <c r="AW1127" s="55">
        <f>G1127*AO1127</f>
        <v>0</v>
      </c>
      <c r="AX1127" s="55">
        <f>G1127*AP1127</f>
        <v>0</v>
      </c>
      <c r="AY1127" s="58" t="s">
        <v>2136</v>
      </c>
      <c r="AZ1127" s="58" t="s">
        <v>2137</v>
      </c>
      <c r="BA1127" s="34" t="s">
        <v>128</v>
      </c>
      <c r="BB1127" s="67">
        <v>100008</v>
      </c>
      <c r="BC1127" s="55">
        <f>AW1127+AX1127</f>
        <v>0</v>
      </c>
      <c r="BD1127" s="55">
        <f>H1127/(100-BE1127)*100</f>
        <v>0</v>
      </c>
      <c r="BE1127" s="55">
        <v>0</v>
      </c>
      <c r="BF1127" s="55">
        <f>K1127</f>
        <v>0.006688</v>
      </c>
      <c r="BH1127" s="55">
        <f>G1127*AO1127</f>
        <v>0</v>
      </c>
      <c r="BI1127" s="55">
        <f>G1127*AP1127</f>
        <v>0</v>
      </c>
      <c r="BJ1127" s="55">
        <f>G1127*H1127</f>
        <v>0</v>
      </c>
      <c r="BK1127" s="55"/>
      <c r="BL1127" s="55">
        <v>771</v>
      </c>
      <c r="BW1127" s="55">
        <v>21</v>
      </c>
    </row>
    <row r="1128" spans="1:12" ht="13.5" customHeight="1">
      <c r="A1128" s="59"/>
      <c r="D1128" s="218" t="s">
        <v>2152</v>
      </c>
      <c r="E1128" s="219"/>
      <c r="F1128" s="219"/>
      <c r="G1128" s="219"/>
      <c r="H1128" s="220"/>
      <c r="I1128" s="219"/>
      <c r="J1128" s="219"/>
      <c r="K1128" s="219"/>
      <c r="L1128" s="221"/>
    </row>
    <row r="1129" spans="1:12" ht="14.4">
      <c r="A1129" s="59"/>
      <c r="D1129" s="60" t="s">
        <v>2162</v>
      </c>
      <c r="E1129" s="60" t="s">
        <v>2163</v>
      </c>
      <c r="G1129" s="68">
        <v>20.9</v>
      </c>
      <c r="L1129" s="69"/>
    </row>
    <row r="1130" spans="1:75" ht="13.5" customHeight="1">
      <c r="A1130" s="1" t="s">
        <v>2164</v>
      </c>
      <c r="B1130" s="2" t="s">
        <v>116</v>
      </c>
      <c r="C1130" s="2" t="s">
        <v>2165</v>
      </c>
      <c r="D1130" s="147" t="s">
        <v>2166</v>
      </c>
      <c r="E1130" s="148"/>
      <c r="F1130" s="2" t="s">
        <v>939</v>
      </c>
      <c r="G1130" s="55">
        <v>0.85</v>
      </c>
      <c r="H1130" s="56">
        <v>0</v>
      </c>
      <c r="I1130" s="55">
        <f>G1130*H1130</f>
        <v>0</v>
      </c>
      <c r="J1130" s="55">
        <v>0</v>
      </c>
      <c r="K1130" s="55">
        <f>G1130*J1130</f>
        <v>0</v>
      </c>
      <c r="L1130" s="57" t="s">
        <v>785</v>
      </c>
      <c r="Z1130" s="55">
        <f>IF(AQ1130="5",BJ1130,0)</f>
        <v>0</v>
      </c>
      <c r="AB1130" s="55">
        <f>IF(AQ1130="1",BH1130,0)</f>
        <v>0</v>
      </c>
      <c r="AC1130" s="55">
        <f>IF(AQ1130="1",BI1130,0)</f>
        <v>0</v>
      </c>
      <c r="AD1130" s="55">
        <f>IF(AQ1130="7",BH1130,0)</f>
        <v>0</v>
      </c>
      <c r="AE1130" s="55">
        <f>IF(AQ1130="7",BI1130,0)</f>
        <v>0</v>
      </c>
      <c r="AF1130" s="55">
        <f>IF(AQ1130="2",BH1130,0)</f>
        <v>0</v>
      </c>
      <c r="AG1130" s="55">
        <f>IF(AQ1130="2",BI1130,0)</f>
        <v>0</v>
      </c>
      <c r="AH1130" s="55">
        <f>IF(AQ1130="0",BJ1130,0)</f>
        <v>0</v>
      </c>
      <c r="AI1130" s="34" t="s">
        <v>116</v>
      </c>
      <c r="AJ1130" s="55">
        <f>IF(AN1130=0,I1130,0)</f>
        <v>0</v>
      </c>
      <c r="AK1130" s="55">
        <f>IF(AN1130=12,I1130,0)</f>
        <v>0</v>
      </c>
      <c r="AL1130" s="55">
        <f>IF(AN1130=21,I1130,0)</f>
        <v>0</v>
      </c>
      <c r="AN1130" s="55">
        <v>21</v>
      </c>
      <c r="AO1130" s="55">
        <f>H1130*0</f>
        <v>0</v>
      </c>
      <c r="AP1130" s="55">
        <f>H1130*(1-0)</f>
        <v>0</v>
      </c>
      <c r="AQ1130" s="58" t="s">
        <v>139</v>
      </c>
      <c r="AV1130" s="55">
        <f>AW1130+AX1130</f>
        <v>0</v>
      </c>
      <c r="AW1130" s="55">
        <f>G1130*AO1130</f>
        <v>0</v>
      </c>
      <c r="AX1130" s="55">
        <f>G1130*AP1130</f>
        <v>0</v>
      </c>
      <c r="AY1130" s="58" t="s">
        <v>2136</v>
      </c>
      <c r="AZ1130" s="58" t="s">
        <v>2137</v>
      </c>
      <c r="BA1130" s="34" t="s">
        <v>128</v>
      </c>
      <c r="BC1130" s="55">
        <f>AW1130+AX1130</f>
        <v>0</v>
      </c>
      <c r="BD1130" s="55">
        <f>H1130/(100-BE1130)*100</f>
        <v>0</v>
      </c>
      <c r="BE1130" s="55">
        <v>0</v>
      </c>
      <c r="BF1130" s="55">
        <f>K1130</f>
        <v>0</v>
      </c>
      <c r="BH1130" s="55">
        <f>G1130*AO1130</f>
        <v>0</v>
      </c>
      <c r="BI1130" s="55">
        <f>G1130*AP1130</f>
        <v>0</v>
      </c>
      <c r="BJ1130" s="55">
        <f>G1130*H1130</f>
        <v>0</v>
      </c>
      <c r="BK1130" s="55"/>
      <c r="BL1130" s="55">
        <v>771</v>
      </c>
      <c r="BW1130" s="55">
        <v>21</v>
      </c>
    </row>
    <row r="1131" spans="1:12" ht="14.4">
      <c r="A1131" s="59"/>
      <c r="D1131" s="60" t="s">
        <v>2167</v>
      </c>
      <c r="E1131" s="60" t="s">
        <v>4</v>
      </c>
      <c r="G1131" s="68">
        <v>0.85</v>
      </c>
      <c r="L1131" s="69"/>
    </row>
    <row r="1132" spans="1:47" ht="14.4">
      <c r="A1132" s="50" t="s">
        <v>4</v>
      </c>
      <c r="B1132" s="51" t="s">
        <v>116</v>
      </c>
      <c r="C1132" s="51" t="s">
        <v>2168</v>
      </c>
      <c r="D1132" s="222" t="s">
        <v>2169</v>
      </c>
      <c r="E1132" s="223"/>
      <c r="F1132" s="52" t="s">
        <v>79</v>
      </c>
      <c r="G1132" s="52" t="s">
        <v>79</v>
      </c>
      <c r="H1132" s="53" t="s">
        <v>79</v>
      </c>
      <c r="I1132" s="27">
        <f>SUM(I1133:I1148)</f>
        <v>0</v>
      </c>
      <c r="J1132" s="34" t="s">
        <v>4</v>
      </c>
      <c r="K1132" s="27">
        <f>SUM(K1133:K1148)</f>
        <v>0.860241</v>
      </c>
      <c r="L1132" s="54" t="s">
        <v>4</v>
      </c>
      <c r="AI1132" s="34" t="s">
        <v>116</v>
      </c>
      <c r="AS1132" s="27">
        <f>SUM(AJ1133:AJ1148)</f>
        <v>0</v>
      </c>
      <c r="AT1132" s="27">
        <f>SUM(AK1133:AK1148)</f>
        <v>0</v>
      </c>
      <c r="AU1132" s="27">
        <f>SUM(AL1133:AL1148)</f>
        <v>0</v>
      </c>
    </row>
    <row r="1133" spans="1:75" ht="13.5" customHeight="1">
      <c r="A1133" s="1" t="s">
        <v>2170</v>
      </c>
      <c r="B1133" s="2" t="s">
        <v>116</v>
      </c>
      <c r="C1133" s="2" t="s">
        <v>2171</v>
      </c>
      <c r="D1133" s="147" t="s">
        <v>2172</v>
      </c>
      <c r="E1133" s="148"/>
      <c r="F1133" s="2" t="s">
        <v>174</v>
      </c>
      <c r="G1133" s="55">
        <v>8.25</v>
      </c>
      <c r="H1133" s="56">
        <v>0</v>
      </c>
      <c r="I1133" s="55">
        <f>G1133*H1133</f>
        <v>0</v>
      </c>
      <c r="J1133" s="55">
        <v>0.04751</v>
      </c>
      <c r="K1133" s="55">
        <f>G1133*J1133</f>
        <v>0.39195749999999996</v>
      </c>
      <c r="L1133" s="57" t="s">
        <v>2173</v>
      </c>
      <c r="Z1133" s="55">
        <f>IF(AQ1133="5",BJ1133,0)</f>
        <v>0</v>
      </c>
      <c r="AB1133" s="55">
        <f>IF(AQ1133="1",BH1133,0)</f>
        <v>0</v>
      </c>
      <c r="AC1133" s="55">
        <f>IF(AQ1133="1",BI1133,0)</f>
        <v>0</v>
      </c>
      <c r="AD1133" s="55">
        <f>IF(AQ1133="7",BH1133,0)</f>
        <v>0</v>
      </c>
      <c r="AE1133" s="55">
        <f>IF(AQ1133="7",BI1133,0)</f>
        <v>0</v>
      </c>
      <c r="AF1133" s="55">
        <f>IF(AQ1133="2",BH1133,0)</f>
        <v>0</v>
      </c>
      <c r="AG1133" s="55">
        <f>IF(AQ1133="2",BI1133,0)</f>
        <v>0</v>
      </c>
      <c r="AH1133" s="55">
        <f>IF(AQ1133="0",BJ1133,0)</f>
        <v>0</v>
      </c>
      <c r="AI1133" s="34" t="s">
        <v>116</v>
      </c>
      <c r="AJ1133" s="55">
        <f>IF(AN1133=0,I1133,0)</f>
        <v>0</v>
      </c>
      <c r="AK1133" s="55">
        <f>IF(AN1133=12,I1133,0)</f>
        <v>0</v>
      </c>
      <c r="AL1133" s="55">
        <f>IF(AN1133=21,I1133,0)</f>
        <v>0</v>
      </c>
      <c r="AN1133" s="55">
        <v>21</v>
      </c>
      <c r="AO1133" s="55">
        <f>H1133*0.186482698</f>
        <v>0</v>
      </c>
      <c r="AP1133" s="55">
        <f>H1133*(1-0.186482698)</f>
        <v>0</v>
      </c>
      <c r="AQ1133" s="58" t="s">
        <v>125</v>
      </c>
      <c r="AV1133" s="55">
        <f>AW1133+AX1133</f>
        <v>0</v>
      </c>
      <c r="AW1133" s="55">
        <f>G1133*AO1133</f>
        <v>0</v>
      </c>
      <c r="AX1133" s="55">
        <f>G1133*AP1133</f>
        <v>0</v>
      </c>
      <c r="AY1133" s="58" t="s">
        <v>2174</v>
      </c>
      <c r="AZ1133" s="58" t="s">
        <v>2137</v>
      </c>
      <c r="BA1133" s="34" t="s">
        <v>128</v>
      </c>
      <c r="BB1133" s="67">
        <v>100047</v>
      </c>
      <c r="BC1133" s="55">
        <f>AW1133+AX1133</f>
        <v>0</v>
      </c>
      <c r="BD1133" s="55">
        <f>H1133/(100-BE1133)*100</f>
        <v>0</v>
      </c>
      <c r="BE1133" s="55">
        <v>0</v>
      </c>
      <c r="BF1133" s="55">
        <f>K1133</f>
        <v>0.39195749999999996</v>
      </c>
      <c r="BH1133" s="55">
        <f>G1133*AO1133</f>
        <v>0</v>
      </c>
      <c r="BI1133" s="55">
        <f>G1133*AP1133</f>
        <v>0</v>
      </c>
      <c r="BJ1133" s="55">
        <f>G1133*H1133</f>
        <v>0</v>
      </c>
      <c r="BK1133" s="55"/>
      <c r="BL1133" s="55">
        <v>772</v>
      </c>
      <c r="BW1133" s="55">
        <v>21</v>
      </c>
    </row>
    <row r="1134" spans="1:12" ht="13.5" customHeight="1">
      <c r="A1134" s="59"/>
      <c r="D1134" s="218" t="s">
        <v>2175</v>
      </c>
      <c r="E1134" s="219"/>
      <c r="F1134" s="219"/>
      <c r="G1134" s="219"/>
      <c r="H1134" s="220"/>
      <c r="I1134" s="219"/>
      <c r="J1134" s="219"/>
      <c r="K1134" s="219"/>
      <c r="L1134" s="221"/>
    </row>
    <row r="1135" spans="1:12" ht="14.4">
      <c r="A1135" s="59"/>
      <c r="D1135" s="60" t="s">
        <v>2176</v>
      </c>
      <c r="E1135" s="60" t="s">
        <v>4</v>
      </c>
      <c r="G1135" s="68">
        <v>8.25</v>
      </c>
      <c r="L1135" s="69"/>
    </row>
    <row r="1136" spans="1:75" ht="13.5" customHeight="1">
      <c r="A1136" s="61" t="s">
        <v>2177</v>
      </c>
      <c r="B1136" s="62" t="s">
        <v>116</v>
      </c>
      <c r="C1136" s="62" t="s">
        <v>2178</v>
      </c>
      <c r="D1136" s="224" t="s">
        <v>2179</v>
      </c>
      <c r="E1136" s="225"/>
      <c r="F1136" s="62" t="s">
        <v>174</v>
      </c>
      <c r="G1136" s="63">
        <v>8.25</v>
      </c>
      <c r="H1136" s="64">
        <v>0</v>
      </c>
      <c r="I1136" s="63">
        <f>G1136*H1136</f>
        <v>0</v>
      </c>
      <c r="J1136" s="63">
        <v>0.025</v>
      </c>
      <c r="K1136" s="63">
        <f>G1136*J1136</f>
        <v>0.20625000000000002</v>
      </c>
      <c r="L1136" s="65" t="s">
        <v>785</v>
      </c>
      <c r="Z1136" s="55">
        <f>IF(AQ1136="5",BJ1136,0)</f>
        <v>0</v>
      </c>
      <c r="AB1136" s="55">
        <f>IF(AQ1136="1",BH1136,0)</f>
        <v>0</v>
      </c>
      <c r="AC1136" s="55">
        <f>IF(AQ1136="1",BI1136,0)</f>
        <v>0</v>
      </c>
      <c r="AD1136" s="55">
        <f>IF(AQ1136="7",BH1136,0)</f>
        <v>0</v>
      </c>
      <c r="AE1136" s="55">
        <f>IF(AQ1136="7",BI1136,0)</f>
        <v>0</v>
      </c>
      <c r="AF1136" s="55">
        <f>IF(AQ1136="2",BH1136,0)</f>
        <v>0</v>
      </c>
      <c r="AG1136" s="55">
        <f>IF(AQ1136="2",BI1136,0)</f>
        <v>0</v>
      </c>
      <c r="AH1136" s="55">
        <f>IF(AQ1136="0",BJ1136,0)</f>
        <v>0</v>
      </c>
      <c r="AI1136" s="34" t="s">
        <v>116</v>
      </c>
      <c r="AJ1136" s="63">
        <f>IF(AN1136=0,I1136,0)</f>
        <v>0</v>
      </c>
      <c r="AK1136" s="63">
        <f>IF(AN1136=12,I1136,0)</f>
        <v>0</v>
      </c>
      <c r="AL1136" s="63">
        <f>IF(AN1136=21,I1136,0)</f>
        <v>0</v>
      </c>
      <c r="AN1136" s="55">
        <v>21</v>
      </c>
      <c r="AO1136" s="55">
        <f>H1136*1</f>
        <v>0</v>
      </c>
      <c r="AP1136" s="55">
        <f>H1136*(1-1)</f>
        <v>0</v>
      </c>
      <c r="AQ1136" s="66" t="s">
        <v>125</v>
      </c>
      <c r="AV1136" s="55">
        <f>AW1136+AX1136</f>
        <v>0</v>
      </c>
      <c r="AW1136" s="55">
        <f>G1136*AO1136</f>
        <v>0</v>
      </c>
      <c r="AX1136" s="55">
        <f>G1136*AP1136</f>
        <v>0</v>
      </c>
      <c r="AY1136" s="58" t="s">
        <v>2174</v>
      </c>
      <c r="AZ1136" s="58" t="s">
        <v>2137</v>
      </c>
      <c r="BA1136" s="34" t="s">
        <v>128</v>
      </c>
      <c r="BC1136" s="55">
        <f>AW1136+AX1136</f>
        <v>0</v>
      </c>
      <c r="BD1136" s="55">
        <f>H1136/(100-BE1136)*100</f>
        <v>0</v>
      </c>
      <c r="BE1136" s="55">
        <v>0</v>
      </c>
      <c r="BF1136" s="55">
        <f>K1136</f>
        <v>0.20625000000000002</v>
      </c>
      <c r="BH1136" s="63">
        <f>G1136*AO1136</f>
        <v>0</v>
      </c>
      <c r="BI1136" s="63">
        <f>G1136*AP1136</f>
        <v>0</v>
      </c>
      <c r="BJ1136" s="63">
        <f>G1136*H1136</f>
        <v>0</v>
      </c>
      <c r="BK1136" s="63"/>
      <c r="BL1136" s="55">
        <v>772</v>
      </c>
      <c r="BW1136" s="55">
        <v>21</v>
      </c>
    </row>
    <row r="1137" spans="1:12" ht="14.4">
      <c r="A1137" s="59"/>
      <c r="D1137" s="60" t="s">
        <v>2180</v>
      </c>
      <c r="E1137" s="60" t="s">
        <v>4</v>
      </c>
      <c r="G1137" s="68">
        <v>8.25</v>
      </c>
      <c r="L1137" s="69"/>
    </row>
    <row r="1138" spans="1:75" ht="13.5" customHeight="1">
      <c r="A1138" s="1" t="s">
        <v>2181</v>
      </c>
      <c r="B1138" s="2" t="s">
        <v>116</v>
      </c>
      <c r="C1138" s="2" t="s">
        <v>2182</v>
      </c>
      <c r="D1138" s="147" t="s">
        <v>2183</v>
      </c>
      <c r="E1138" s="148"/>
      <c r="F1138" s="2" t="s">
        <v>174</v>
      </c>
      <c r="G1138" s="55">
        <v>8.25</v>
      </c>
      <c r="H1138" s="56">
        <v>0</v>
      </c>
      <c r="I1138" s="55">
        <f>G1138*H1138</f>
        <v>0</v>
      </c>
      <c r="J1138" s="55">
        <v>0.01059</v>
      </c>
      <c r="K1138" s="55">
        <f>G1138*J1138</f>
        <v>0.0873675</v>
      </c>
      <c r="L1138" s="57" t="s">
        <v>124</v>
      </c>
      <c r="Z1138" s="55">
        <f>IF(AQ1138="5",BJ1138,0)</f>
        <v>0</v>
      </c>
      <c r="AB1138" s="55">
        <f>IF(AQ1138="1",BH1138,0)</f>
        <v>0</v>
      </c>
      <c r="AC1138" s="55">
        <f>IF(AQ1138="1",BI1138,0)</f>
        <v>0</v>
      </c>
      <c r="AD1138" s="55">
        <f>IF(AQ1138="7",BH1138,0)</f>
        <v>0</v>
      </c>
      <c r="AE1138" s="55">
        <f>IF(AQ1138="7",BI1138,0)</f>
        <v>0</v>
      </c>
      <c r="AF1138" s="55">
        <f>IF(AQ1138="2",BH1138,0)</f>
        <v>0</v>
      </c>
      <c r="AG1138" s="55">
        <f>IF(AQ1138="2",BI1138,0)</f>
        <v>0</v>
      </c>
      <c r="AH1138" s="55">
        <f>IF(AQ1138="0",BJ1138,0)</f>
        <v>0</v>
      </c>
      <c r="AI1138" s="34" t="s">
        <v>116</v>
      </c>
      <c r="AJ1138" s="55">
        <f>IF(AN1138=0,I1138,0)</f>
        <v>0</v>
      </c>
      <c r="AK1138" s="55">
        <f>IF(AN1138=12,I1138,0)</f>
        <v>0</v>
      </c>
      <c r="AL1138" s="55">
        <f>IF(AN1138=21,I1138,0)</f>
        <v>0</v>
      </c>
      <c r="AN1138" s="55">
        <v>21</v>
      </c>
      <c r="AO1138" s="55">
        <f>H1138*0.215378554</f>
        <v>0</v>
      </c>
      <c r="AP1138" s="55">
        <f>H1138*(1-0.215378554)</f>
        <v>0</v>
      </c>
      <c r="AQ1138" s="58" t="s">
        <v>125</v>
      </c>
      <c r="AV1138" s="55">
        <f>AW1138+AX1138</f>
        <v>0</v>
      </c>
      <c r="AW1138" s="55">
        <f>G1138*AO1138</f>
        <v>0</v>
      </c>
      <c r="AX1138" s="55">
        <f>G1138*AP1138</f>
        <v>0</v>
      </c>
      <c r="AY1138" s="58" t="s">
        <v>2174</v>
      </c>
      <c r="AZ1138" s="58" t="s">
        <v>2137</v>
      </c>
      <c r="BA1138" s="34" t="s">
        <v>128</v>
      </c>
      <c r="BB1138" s="67">
        <v>100047</v>
      </c>
      <c r="BC1138" s="55">
        <f>AW1138+AX1138</f>
        <v>0</v>
      </c>
      <c r="BD1138" s="55">
        <f>H1138/(100-BE1138)*100</f>
        <v>0</v>
      </c>
      <c r="BE1138" s="55">
        <v>0</v>
      </c>
      <c r="BF1138" s="55">
        <f>K1138</f>
        <v>0.0873675</v>
      </c>
      <c r="BH1138" s="55">
        <f>G1138*AO1138</f>
        <v>0</v>
      </c>
      <c r="BI1138" s="55">
        <f>G1138*AP1138</f>
        <v>0</v>
      </c>
      <c r="BJ1138" s="55">
        <f>G1138*H1138</f>
        <v>0</v>
      </c>
      <c r="BK1138" s="55"/>
      <c r="BL1138" s="55">
        <v>772</v>
      </c>
      <c r="BW1138" s="55">
        <v>21</v>
      </c>
    </row>
    <row r="1139" spans="1:12" ht="13.5" customHeight="1">
      <c r="A1139" s="59"/>
      <c r="D1139" s="218" t="s">
        <v>2184</v>
      </c>
      <c r="E1139" s="219"/>
      <c r="F1139" s="219"/>
      <c r="G1139" s="219"/>
      <c r="H1139" s="220"/>
      <c r="I1139" s="219"/>
      <c r="J1139" s="219"/>
      <c r="K1139" s="219"/>
      <c r="L1139" s="221"/>
    </row>
    <row r="1140" spans="1:12" ht="14.4">
      <c r="A1140" s="59"/>
      <c r="D1140" s="60" t="s">
        <v>2176</v>
      </c>
      <c r="E1140" s="60" t="s">
        <v>4</v>
      </c>
      <c r="G1140" s="68">
        <v>8.25</v>
      </c>
      <c r="L1140" s="69"/>
    </row>
    <row r="1141" spans="1:75" ht="13.5" customHeight="1">
      <c r="A1141" s="61" t="s">
        <v>2185</v>
      </c>
      <c r="B1141" s="62" t="s">
        <v>116</v>
      </c>
      <c r="C1141" s="62" t="s">
        <v>2186</v>
      </c>
      <c r="D1141" s="224" t="s">
        <v>2187</v>
      </c>
      <c r="E1141" s="225"/>
      <c r="F1141" s="62" t="s">
        <v>174</v>
      </c>
      <c r="G1141" s="63">
        <v>8.25</v>
      </c>
      <c r="H1141" s="64">
        <v>0</v>
      </c>
      <c r="I1141" s="63">
        <f>G1141*H1141</f>
        <v>0</v>
      </c>
      <c r="J1141" s="63">
        <v>0.011</v>
      </c>
      <c r="K1141" s="63">
        <f>G1141*J1141</f>
        <v>0.09075</v>
      </c>
      <c r="L1141" s="65" t="s">
        <v>785</v>
      </c>
      <c r="Z1141" s="55">
        <f>IF(AQ1141="5",BJ1141,0)</f>
        <v>0</v>
      </c>
      <c r="AB1141" s="55">
        <f>IF(AQ1141="1",BH1141,0)</f>
        <v>0</v>
      </c>
      <c r="AC1141" s="55">
        <f>IF(AQ1141="1",BI1141,0)</f>
        <v>0</v>
      </c>
      <c r="AD1141" s="55">
        <f>IF(AQ1141="7",BH1141,0)</f>
        <v>0</v>
      </c>
      <c r="AE1141" s="55">
        <f>IF(AQ1141="7",BI1141,0)</f>
        <v>0</v>
      </c>
      <c r="AF1141" s="55">
        <f>IF(AQ1141="2",BH1141,0)</f>
        <v>0</v>
      </c>
      <c r="AG1141" s="55">
        <f>IF(AQ1141="2",BI1141,0)</f>
        <v>0</v>
      </c>
      <c r="AH1141" s="55">
        <f>IF(AQ1141="0",BJ1141,0)</f>
        <v>0</v>
      </c>
      <c r="AI1141" s="34" t="s">
        <v>116</v>
      </c>
      <c r="AJ1141" s="63">
        <f>IF(AN1141=0,I1141,0)</f>
        <v>0</v>
      </c>
      <c r="AK1141" s="63">
        <f>IF(AN1141=12,I1141,0)</f>
        <v>0</v>
      </c>
      <c r="AL1141" s="63">
        <f>IF(AN1141=21,I1141,0)</f>
        <v>0</v>
      </c>
      <c r="AN1141" s="55">
        <v>21</v>
      </c>
      <c r="AO1141" s="55">
        <f>H1141*1</f>
        <v>0</v>
      </c>
      <c r="AP1141" s="55">
        <f>H1141*(1-1)</f>
        <v>0</v>
      </c>
      <c r="AQ1141" s="66" t="s">
        <v>125</v>
      </c>
      <c r="AV1141" s="55">
        <f>AW1141+AX1141</f>
        <v>0</v>
      </c>
      <c r="AW1141" s="55">
        <f>G1141*AO1141</f>
        <v>0</v>
      </c>
      <c r="AX1141" s="55">
        <f>G1141*AP1141</f>
        <v>0</v>
      </c>
      <c r="AY1141" s="58" t="s">
        <v>2174</v>
      </c>
      <c r="AZ1141" s="58" t="s">
        <v>2137</v>
      </c>
      <c r="BA1141" s="34" t="s">
        <v>128</v>
      </c>
      <c r="BC1141" s="55">
        <f>AW1141+AX1141</f>
        <v>0</v>
      </c>
      <c r="BD1141" s="55">
        <f>H1141/(100-BE1141)*100</f>
        <v>0</v>
      </c>
      <c r="BE1141" s="55">
        <v>0</v>
      </c>
      <c r="BF1141" s="55">
        <f>K1141</f>
        <v>0.09075</v>
      </c>
      <c r="BH1141" s="63">
        <f>G1141*AO1141</f>
        <v>0</v>
      </c>
      <c r="BI1141" s="63">
        <f>G1141*AP1141</f>
        <v>0</v>
      </c>
      <c r="BJ1141" s="63">
        <f>G1141*H1141</f>
        <v>0</v>
      </c>
      <c r="BK1141" s="63"/>
      <c r="BL1141" s="55">
        <v>772</v>
      </c>
      <c r="BW1141" s="55">
        <v>21</v>
      </c>
    </row>
    <row r="1142" spans="1:12" ht="14.4">
      <c r="A1142" s="59"/>
      <c r="D1142" s="60" t="s">
        <v>2180</v>
      </c>
      <c r="E1142" s="60" t="s">
        <v>4</v>
      </c>
      <c r="G1142" s="68">
        <v>8.25</v>
      </c>
      <c r="L1142" s="69"/>
    </row>
    <row r="1143" spans="1:75" ht="13.5" customHeight="1">
      <c r="A1143" s="1" t="s">
        <v>2188</v>
      </c>
      <c r="B1143" s="2" t="s">
        <v>116</v>
      </c>
      <c r="C1143" s="2" t="s">
        <v>2189</v>
      </c>
      <c r="D1143" s="147" t="s">
        <v>2190</v>
      </c>
      <c r="E1143" s="148"/>
      <c r="F1143" s="2" t="s">
        <v>174</v>
      </c>
      <c r="G1143" s="55">
        <v>2.8</v>
      </c>
      <c r="H1143" s="56">
        <v>0</v>
      </c>
      <c r="I1143" s="55">
        <f>G1143*H1143</f>
        <v>0</v>
      </c>
      <c r="J1143" s="55">
        <v>0.01597</v>
      </c>
      <c r="K1143" s="55">
        <f>G1143*J1143</f>
        <v>0.044716</v>
      </c>
      <c r="L1143" s="57" t="s">
        <v>124</v>
      </c>
      <c r="Z1143" s="55">
        <f>IF(AQ1143="5",BJ1143,0)</f>
        <v>0</v>
      </c>
      <c r="AB1143" s="55">
        <f>IF(AQ1143="1",BH1143,0)</f>
        <v>0</v>
      </c>
      <c r="AC1143" s="55">
        <f>IF(AQ1143="1",BI1143,0)</f>
        <v>0</v>
      </c>
      <c r="AD1143" s="55">
        <f>IF(AQ1143="7",BH1143,0)</f>
        <v>0</v>
      </c>
      <c r="AE1143" s="55">
        <f>IF(AQ1143="7",BI1143,0)</f>
        <v>0</v>
      </c>
      <c r="AF1143" s="55">
        <f>IF(AQ1143="2",BH1143,0)</f>
        <v>0</v>
      </c>
      <c r="AG1143" s="55">
        <f>IF(AQ1143="2",BI1143,0)</f>
        <v>0</v>
      </c>
      <c r="AH1143" s="55">
        <f>IF(AQ1143="0",BJ1143,0)</f>
        <v>0</v>
      </c>
      <c r="AI1143" s="34" t="s">
        <v>116</v>
      </c>
      <c r="AJ1143" s="55">
        <f>IF(AN1143=0,I1143,0)</f>
        <v>0</v>
      </c>
      <c r="AK1143" s="55">
        <f>IF(AN1143=12,I1143,0)</f>
        <v>0</v>
      </c>
      <c r="AL1143" s="55">
        <f>IF(AN1143=21,I1143,0)</f>
        <v>0</v>
      </c>
      <c r="AN1143" s="55">
        <v>21</v>
      </c>
      <c r="AO1143" s="55">
        <f>H1143*0.044363853</f>
        <v>0</v>
      </c>
      <c r="AP1143" s="55">
        <f>H1143*(1-0.044363853)</f>
        <v>0</v>
      </c>
      <c r="AQ1143" s="58" t="s">
        <v>125</v>
      </c>
      <c r="AV1143" s="55">
        <f>AW1143+AX1143</f>
        <v>0</v>
      </c>
      <c r="AW1143" s="55">
        <f>G1143*AO1143</f>
        <v>0</v>
      </c>
      <c r="AX1143" s="55">
        <f>G1143*AP1143</f>
        <v>0</v>
      </c>
      <c r="AY1143" s="58" t="s">
        <v>2174</v>
      </c>
      <c r="AZ1143" s="58" t="s">
        <v>2137</v>
      </c>
      <c r="BA1143" s="34" t="s">
        <v>128</v>
      </c>
      <c r="BB1143" s="67">
        <v>100047</v>
      </c>
      <c r="BC1143" s="55">
        <f>AW1143+AX1143</f>
        <v>0</v>
      </c>
      <c r="BD1143" s="55">
        <f>H1143/(100-BE1143)*100</f>
        <v>0</v>
      </c>
      <c r="BE1143" s="55">
        <v>0</v>
      </c>
      <c r="BF1143" s="55">
        <f>K1143</f>
        <v>0.044716</v>
      </c>
      <c r="BH1143" s="55">
        <f>G1143*AO1143</f>
        <v>0</v>
      </c>
      <c r="BI1143" s="55">
        <f>G1143*AP1143</f>
        <v>0</v>
      </c>
      <c r="BJ1143" s="55">
        <f>G1143*H1143</f>
        <v>0</v>
      </c>
      <c r="BK1143" s="55"/>
      <c r="BL1143" s="55">
        <v>772</v>
      </c>
      <c r="BW1143" s="55">
        <v>21</v>
      </c>
    </row>
    <row r="1144" spans="1:12" ht="13.5" customHeight="1">
      <c r="A1144" s="59"/>
      <c r="D1144" s="218" t="s">
        <v>2191</v>
      </c>
      <c r="E1144" s="219"/>
      <c r="F1144" s="219"/>
      <c r="G1144" s="219"/>
      <c r="H1144" s="220"/>
      <c r="I1144" s="219"/>
      <c r="J1144" s="219"/>
      <c r="K1144" s="219"/>
      <c r="L1144" s="221"/>
    </row>
    <row r="1145" spans="1:12" ht="14.4">
      <c r="A1145" s="59"/>
      <c r="D1145" s="60" t="s">
        <v>2192</v>
      </c>
      <c r="E1145" s="60" t="s">
        <v>4</v>
      </c>
      <c r="G1145" s="68">
        <v>2.8</v>
      </c>
      <c r="L1145" s="69"/>
    </row>
    <row r="1146" spans="1:75" ht="13.5" customHeight="1">
      <c r="A1146" s="61" t="s">
        <v>2193</v>
      </c>
      <c r="B1146" s="62" t="s">
        <v>116</v>
      </c>
      <c r="C1146" s="62" t="s">
        <v>2194</v>
      </c>
      <c r="D1146" s="224" t="s">
        <v>2195</v>
      </c>
      <c r="E1146" s="225"/>
      <c r="F1146" s="62" t="s">
        <v>174</v>
      </c>
      <c r="G1146" s="63">
        <v>2.8</v>
      </c>
      <c r="H1146" s="64">
        <v>0</v>
      </c>
      <c r="I1146" s="63">
        <f>G1146*H1146</f>
        <v>0</v>
      </c>
      <c r="J1146" s="63">
        <v>0.014</v>
      </c>
      <c r="K1146" s="63">
        <f>G1146*J1146</f>
        <v>0.0392</v>
      </c>
      <c r="L1146" s="65" t="s">
        <v>785</v>
      </c>
      <c r="Z1146" s="55">
        <f>IF(AQ1146="5",BJ1146,0)</f>
        <v>0</v>
      </c>
      <c r="AB1146" s="55">
        <f>IF(AQ1146="1",BH1146,0)</f>
        <v>0</v>
      </c>
      <c r="AC1146" s="55">
        <f>IF(AQ1146="1",BI1146,0)</f>
        <v>0</v>
      </c>
      <c r="AD1146" s="55">
        <f>IF(AQ1146="7",BH1146,0)</f>
        <v>0</v>
      </c>
      <c r="AE1146" s="55">
        <f>IF(AQ1146="7",BI1146,0)</f>
        <v>0</v>
      </c>
      <c r="AF1146" s="55">
        <f>IF(AQ1146="2",BH1146,0)</f>
        <v>0</v>
      </c>
      <c r="AG1146" s="55">
        <f>IF(AQ1146="2",BI1146,0)</f>
        <v>0</v>
      </c>
      <c r="AH1146" s="55">
        <f>IF(AQ1146="0",BJ1146,0)</f>
        <v>0</v>
      </c>
      <c r="AI1146" s="34" t="s">
        <v>116</v>
      </c>
      <c r="AJ1146" s="63">
        <f>IF(AN1146=0,I1146,0)</f>
        <v>0</v>
      </c>
      <c r="AK1146" s="63">
        <f>IF(AN1146=12,I1146,0)</f>
        <v>0</v>
      </c>
      <c r="AL1146" s="63">
        <f>IF(AN1146=21,I1146,0)</f>
        <v>0</v>
      </c>
      <c r="AN1146" s="55">
        <v>21</v>
      </c>
      <c r="AO1146" s="55">
        <f>H1146*1</f>
        <v>0</v>
      </c>
      <c r="AP1146" s="55">
        <f>H1146*(1-1)</f>
        <v>0</v>
      </c>
      <c r="AQ1146" s="66" t="s">
        <v>125</v>
      </c>
      <c r="AV1146" s="55">
        <f>AW1146+AX1146</f>
        <v>0</v>
      </c>
      <c r="AW1146" s="55">
        <f>G1146*AO1146</f>
        <v>0</v>
      </c>
      <c r="AX1146" s="55">
        <f>G1146*AP1146</f>
        <v>0</v>
      </c>
      <c r="AY1146" s="58" t="s">
        <v>2174</v>
      </c>
      <c r="AZ1146" s="58" t="s">
        <v>2137</v>
      </c>
      <c r="BA1146" s="34" t="s">
        <v>128</v>
      </c>
      <c r="BC1146" s="55">
        <f>AW1146+AX1146</f>
        <v>0</v>
      </c>
      <c r="BD1146" s="55">
        <f>H1146/(100-BE1146)*100</f>
        <v>0</v>
      </c>
      <c r="BE1146" s="55">
        <v>0</v>
      </c>
      <c r="BF1146" s="55">
        <f>K1146</f>
        <v>0.0392</v>
      </c>
      <c r="BH1146" s="63">
        <f>G1146*AO1146</f>
        <v>0</v>
      </c>
      <c r="BI1146" s="63">
        <f>G1146*AP1146</f>
        <v>0</v>
      </c>
      <c r="BJ1146" s="63">
        <f>G1146*H1146</f>
        <v>0</v>
      </c>
      <c r="BK1146" s="63"/>
      <c r="BL1146" s="55">
        <v>772</v>
      </c>
      <c r="BW1146" s="55">
        <v>21</v>
      </c>
    </row>
    <row r="1147" spans="1:12" ht="14.4">
      <c r="A1147" s="59"/>
      <c r="D1147" s="60" t="s">
        <v>1889</v>
      </c>
      <c r="E1147" s="60" t="s">
        <v>4</v>
      </c>
      <c r="G1147" s="68">
        <v>2.8</v>
      </c>
      <c r="L1147" s="69"/>
    </row>
    <row r="1148" spans="1:75" ht="13.5" customHeight="1">
      <c r="A1148" s="1" t="s">
        <v>2196</v>
      </c>
      <c r="B1148" s="2" t="s">
        <v>116</v>
      </c>
      <c r="C1148" s="2" t="s">
        <v>2197</v>
      </c>
      <c r="D1148" s="147" t="s">
        <v>2198</v>
      </c>
      <c r="E1148" s="148"/>
      <c r="F1148" s="2" t="s">
        <v>939</v>
      </c>
      <c r="G1148" s="55">
        <v>0.86</v>
      </c>
      <c r="H1148" s="56">
        <v>0</v>
      </c>
      <c r="I1148" s="55">
        <f>G1148*H1148</f>
        <v>0</v>
      </c>
      <c r="J1148" s="55">
        <v>0</v>
      </c>
      <c r="K1148" s="55">
        <f>G1148*J1148</f>
        <v>0</v>
      </c>
      <c r="L1148" s="57" t="s">
        <v>785</v>
      </c>
      <c r="Z1148" s="55">
        <f>IF(AQ1148="5",BJ1148,0)</f>
        <v>0</v>
      </c>
      <c r="AB1148" s="55">
        <f>IF(AQ1148="1",BH1148,0)</f>
        <v>0</v>
      </c>
      <c r="AC1148" s="55">
        <f>IF(AQ1148="1",BI1148,0)</f>
        <v>0</v>
      </c>
      <c r="AD1148" s="55">
        <f>IF(AQ1148="7",BH1148,0)</f>
        <v>0</v>
      </c>
      <c r="AE1148" s="55">
        <f>IF(AQ1148="7",BI1148,0)</f>
        <v>0</v>
      </c>
      <c r="AF1148" s="55">
        <f>IF(AQ1148="2",BH1148,0)</f>
        <v>0</v>
      </c>
      <c r="AG1148" s="55">
        <f>IF(AQ1148="2",BI1148,0)</f>
        <v>0</v>
      </c>
      <c r="AH1148" s="55">
        <f>IF(AQ1148="0",BJ1148,0)</f>
        <v>0</v>
      </c>
      <c r="AI1148" s="34" t="s">
        <v>116</v>
      </c>
      <c r="AJ1148" s="55">
        <f>IF(AN1148=0,I1148,0)</f>
        <v>0</v>
      </c>
      <c r="AK1148" s="55">
        <f>IF(AN1148=12,I1148,0)</f>
        <v>0</v>
      </c>
      <c r="AL1148" s="55">
        <f>IF(AN1148=21,I1148,0)</f>
        <v>0</v>
      </c>
      <c r="AN1148" s="55">
        <v>21</v>
      </c>
      <c r="AO1148" s="55">
        <f>H1148*0</f>
        <v>0</v>
      </c>
      <c r="AP1148" s="55">
        <f>H1148*(1-0)</f>
        <v>0</v>
      </c>
      <c r="AQ1148" s="58" t="s">
        <v>139</v>
      </c>
      <c r="AV1148" s="55">
        <f>AW1148+AX1148</f>
        <v>0</v>
      </c>
      <c r="AW1148" s="55">
        <f>G1148*AO1148</f>
        <v>0</v>
      </c>
      <c r="AX1148" s="55">
        <f>G1148*AP1148</f>
        <v>0</v>
      </c>
      <c r="AY1148" s="58" t="s">
        <v>2174</v>
      </c>
      <c r="AZ1148" s="58" t="s">
        <v>2137</v>
      </c>
      <c r="BA1148" s="34" t="s">
        <v>128</v>
      </c>
      <c r="BC1148" s="55">
        <f>AW1148+AX1148</f>
        <v>0</v>
      </c>
      <c r="BD1148" s="55">
        <f>H1148/(100-BE1148)*100</f>
        <v>0</v>
      </c>
      <c r="BE1148" s="55">
        <v>0</v>
      </c>
      <c r="BF1148" s="55">
        <f>K1148</f>
        <v>0</v>
      </c>
      <c r="BH1148" s="55">
        <f>G1148*AO1148</f>
        <v>0</v>
      </c>
      <c r="BI1148" s="55">
        <f>G1148*AP1148</f>
        <v>0</v>
      </c>
      <c r="BJ1148" s="55">
        <f>G1148*H1148</f>
        <v>0</v>
      </c>
      <c r="BK1148" s="55"/>
      <c r="BL1148" s="55">
        <v>772</v>
      </c>
      <c r="BW1148" s="55">
        <v>21</v>
      </c>
    </row>
    <row r="1149" spans="1:12" ht="14.4">
      <c r="A1149" s="59"/>
      <c r="D1149" s="60" t="s">
        <v>2199</v>
      </c>
      <c r="E1149" s="60" t="s">
        <v>4</v>
      </c>
      <c r="G1149" s="68">
        <v>0.86</v>
      </c>
      <c r="L1149" s="69"/>
    </row>
    <row r="1150" spans="1:47" ht="14.4">
      <c r="A1150" s="50" t="s">
        <v>4</v>
      </c>
      <c r="B1150" s="51" t="s">
        <v>116</v>
      </c>
      <c r="C1150" s="51" t="s">
        <v>2200</v>
      </c>
      <c r="D1150" s="222" t="s">
        <v>2201</v>
      </c>
      <c r="E1150" s="223"/>
      <c r="F1150" s="52" t="s">
        <v>79</v>
      </c>
      <c r="G1150" s="52" t="s">
        <v>79</v>
      </c>
      <c r="H1150" s="53" t="s">
        <v>79</v>
      </c>
      <c r="I1150" s="27">
        <f>SUM(I1151:I1172)</f>
        <v>0</v>
      </c>
      <c r="J1150" s="34" t="s">
        <v>4</v>
      </c>
      <c r="K1150" s="27">
        <f>SUM(K1151:K1172)</f>
        <v>1.1397924</v>
      </c>
      <c r="L1150" s="54" t="s">
        <v>4</v>
      </c>
      <c r="AI1150" s="34" t="s">
        <v>116</v>
      </c>
      <c r="AS1150" s="27">
        <f>SUM(AJ1151:AJ1172)</f>
        <v>0</v>
      </c>
      <c r="AT1150" s="27">
        <f>SUM(AK1151:AK1172)</f>
        <v>0</v>
      </c>
      <c r="AU1150" s="27">
        <f>SUM(AL1151:AL1172)</f>
        <v>0</v>
      </c>
    </row>
    <row r="1151" spans="1:75" ht="13.5" customHeight="1">
      <c r="A1151" s="1" t="s">
        <v>2202</v>
      </c>
      <c r="B1151" s="2" t="s">
        <v>116</v>
      </c>
      <c r="C1151" s="2" t="s">
        <v>2203</v>
      </c>
      <c r="D1151" s="147" t="s">
        <v>2204</v>
      </c>
      <c r="E1151" s="148"/>
      <c r="F1151" s="2" t="s">
        <v>174</v>
      </c>
      <c r="G1151" s="55">
        <v>237.31</v>
      </c>
      <c r="H1151" s="56">
        <v>0</v>
      </c>
      <c r="I1151" s="55">
        <f>G1151*H1151</f>
        <v>0</v>
      </c>
      <c r="J1151" s="55">
        <v>0.00024</v>
      </c>
      <c r="K1151" s="55">
        <f>G1151*J1151</f>
        <v>0.0569544</v>
      </c>
      <c r="L1151" s="57" t="s">
        <v>124</v>
      </c>
      <c r="Z1151" s="55">
        <f>IF(AQ1151="5",BJ1151,0)</f>
        <v>0</v>
      </c>
      <c r="AB1151" s="55">
        <f>IF(AQ1151="1",BH1151,0)</f>
        <v>0</v>
      </c>
      <c r="AC1151" s="55">
        <f>IF(AQ1151="1",BI1151,0)</f>
        <v>0</v>
      </c>
      <c r="AD1151" s="55">
        <f>IF(AQ1151="7",BH1151,0)</f>
        <v>0</v>
      </c>
      <c r="AE1151" s="55">
        <f>IF(AQ1151="7",BI1151,0)</f>
        <v>0</v>
      </c>
      <c r="AF1151" s="55">
        <f>IF(AQ1151="2",BH1151,0)</f>
        <v>0</v>
      </c>
      <c r="AG1151" s="55">
        <f>IF(AQ1151="2",BI1151,0)</f>
        <v>0</v>
      </c>
      <c r="AH1151" s="55">
        <f>IF(AQ1151="0",BJ1151,0)</f>
        <v>0</v>
      </c>
      <c r="AI1151" s="34" t="s">
        <v>116</v>
      </c>
      <c r="AJ1151" s="55">
        <f>IF(AN1151=0,I1151,0)</f>
        <v>0</v>
      </c>
      <c r="AK1151" s="55">
        <f>IF(AN1151=12,I1151,0)</f>
        <v>0</v>
      </c>
      <c r="AL1151" s="55">
        <f>IF(AN1151=21,I1151,0)</f>
        <v>0</v>
      </c>
      <c r="AN1151" s="55">
        <v>21</v>
      </c>
      <c r="AO1151" s="55">
        <f>H1151*0.331721765</f>
        <v>0</v>
      </c>
      <c r="AP1151" s="55">
        <f>H1151*(1-0.331721765)</f>
        <v>0</v>
      </c>
      <c r="AQ1151" s="58" t="s">
        <v>125</v>
      </c>
      <c r="AV1151" s="55">
        <f>AW1151+AX1151</f>
        <v>0</v>
      </c>
      <c r="AW1151" s="55">
        <f>G1151*AO1151</f>
        <v>0</v>
      </c>
      <c r="AX1151" s="55">
        <f>G1151*AP1151</f>
        <v>0</v>
      </c>
      <c r="AY1151" s="58" t="s">
        <v>2205</v>
      </c>
      <c r="AZ1151" s="58" t="s">
        <v>2137</v>
      </c>
      <c r="BA1151" s="34" t="s">
        <v>128</v>
      </c>
      <c r="BB1151" s="67">
        <v>100027</v>
      </c>
      <c r="BC1151" s="55">
        <f>AW1151+AX1151</f>
        <v>0</v>
      </c>
      <c r="BD1151" s="55">
        <f>H1151/(100-BE1151)*100</f>
        <v>0</v>
      </c>
      <c r="BE1151" s="55">
        <v>0</v>
      </c>
      <c r="BF1151" s="55">
        <f>K1151</f>
        <v>0.0569544</v>
      </c>
      <c r="BH1151" s="55">
        <f>G1151*AO1151</f>
        <v>0</v>
      </c>
      <c r="BI1151" s="55">
        <f>G1151*AP1151</f>
        <v>0</v>
      </c>
      <c r="BJ1151" s="55">
        <f>G1151*H1151</f>
        <v>0</v>
      </c>
      <c r="BK1151" s="55"/>
      <c r="BL1151" s="55">
        <v>776</v>
      </c>
      <c r="BW1151" s="55">
        <v>21</v>
      </c>
    </row>
    <row r="1152" spans="1:12" ht="13.5" customHeight="1">
      <c r="A1152" s="59"/>
      <c r="D1152" s="218" t="s">
        <v>2206</v>
      </c>
      <c r="E1152" s="219"/>
      <c r="F1152" s="219"/>
      <c r="G1152" s="219"/>
      <c r="H1152" s="220"/>
      <c r="I1152" s="219"/>
      <c r="J1152" s="219"/>
      <c r="K1152" s="219"/>
      <c r="L1152" s="221"/>
    </row>
    <row r="1153" spans="1:12" ht="14.4">
      <c r="A1153" s="59"/>
      <c r="D1153" s="60" t="s">
        <v>2207</v>
      </c>
      <c r="E1153" s="60" t="s">
        <v>869</v>
      </c>
      <c r="G1153" s="68">
        <v>237.31</v>
      </c>
      <c r="L1153" s="69"/>
    </row>
    <row r="1154" spans="1:75" ht="13.5" customHeight="1">
      <c r="A1154" s="1" t="s">
        <v>2208</v>
      </c>
      <c r="B1154" s="2" t="s">
        <v>116</v>
      </c>
      <c r="C1154" s="2" t="s">
        <v>2209</v>
      </c>
      <c r="D1154" s="147" t="s">
        <v>2210</v>
      </c>
      <c r="E1154" s="148"/>
      <c r="F1154" s="2" t="s">
        <v>729</v>
      </c>
      <c r="G1154" s="55">
        <v>200.9</v>
      </c>
      <c r="H1154" s="56">
        <v>0</v>
      </c>
      <c r="I1154" s="55">
        <f>G1154*H1154</f>
        <v>0</v>
      </c>
      <c r="J1154" s="55">
        <v>0.0004</v>
      </c>
      <c r="K1154" s="55">
        <f>G1154*J1154</f>
        <v>0.08036</v>
      </c>
      <c r="L1154" s="57" t="s">
        <v>785</v>
      </c>
      <c r="Z1154" s="55">
        <f>IF(AQ1154="5",BJ1154,0)</f>
        <v>0</v>
      </c>
      <c r="AB1154" s="55">
        <f>IF(AQ1154="1",BH1154,0)</f>
        <v>0</v>
      </c>
      <c r="AC1154" s="55">
        <f>IF(AQ1154="1",BI1154,0)</f>
        <v>0</v>
      </c>
      <c r="AD1154" s="55">
        <f>IF(AQ1154="7",BH1154,0)</f>
        <v>0</v>
      </c>
      <c r="AE1154" s="55">
        <f>IF(AQ1154="7",BI1154,0)</f>
        <v>0</v>
      </c>
      <c r="AF1154" s="55">
        <f>IF(AQ1154="2",BH1154,0)</f>
        <v>0</v>
      </c>
      <c r="AG1154" s="55">
        <f>IF(AQ1154="2",BI1154,0)</f>
        <v>0</v>
      </c>
      <c r="AH1154" s="55">
        <f>IF(AQ1154="0",BJ1154,0)</f>
        <v>0</v>
      </c>
      <c r="AI1154" s="34" t="s">
        <v>116</v>
      </c>
      <c r="AJ1154" s="55">
        <f>IF(AN1154=0,I1154,0)</f>
        <v>0</v>
      </c>
      <c r="AK1154" s="55">
        <f>IF(AN1154=12,I1154,0)</f>
        <v>0</v>
      </c>
      <c r="AL1154" s="55">
        <f>IF(AN1154=21,I1154,0)</f>
        <v>0</v>
      </c>
      <c r="AN1154" s="55">
        <v>21</v>
      </c>
      <c r="AO1154" s="55">
        <f>H1154*0.178154124</f>
        <v>0</v>
      </c>
      <c r="AP1154" s="55">
        <f>H1154*(1-0.178154124)</f>
        <v>0</v>
      </c>
      <c r="AQ1154" s="58" t="s">
        <v>125</v>
      </c>
      <c r="AV1154" s="55">
        <f>AW1154+AX1154</f>
        <v>0</v>
      </c>
      <c r="AW1154" s="55">
        <f>G1154*AO1154</f>
        <v>0</v>
      </c>
      <c r="AX1154" s="55">
        <f>G1154*AP1154</f>
        <v>0</v>
      </c>
      <c r="AY1154" s="58" t="s">
        <v>2205</v>
      </c>
      <c r="AZ1154" s="58" t="s">
        <v>2137</v>
      </c>
      <c r="BA1154" s="34" t="s">
        <v>128</v>
      </c>
      <c r="BB1154" s="67">
        <v>100027</v>
      </c>
      <c r="BC1154" s="55">
        <f>AW1154+AX1154</f>
        <v>0</v>
      </c>
      <c r="BD1154" s="55">
        <f>H1154/(100-BE1154)*100</f>
        <v>0</v>
      </c>
      <c r="BE1154" s="55">
        <v>0</v>
      </c>
      <c r="BF1154" s="55">
        <f>K1154</f>
        <v>0.08036</v>
      </c>
      <c r="BH1154" s="55">
        <f>G1154*AO1154</f>
        <v>0</v>
      </c>
      <c r="BI1154" s="55">
        <f>G1154*AP1154</f>
        <v>0</v>
      </c>
      <c r="BJ1154" s="55">
        <f>G1154*H1154</f>
        <v>0</v>
      </c>
      <c r="BK1154" s="55"/>
      <c r="BL1154" s="55">
        <v>776</v>
      </c>
      <c r="BW1154" s="55">
        <v>21</v>
      </c>
    </row>
    <row r="1155" spans="1:12" ht="14.4">
      <c r="A1155" s="59"/>
      <c r="D1155" s="60" t="s">
        <v>2211</v>
      </c>
      <c r="E1155" s="60" t="s">
        <v>869</v>
      </c>
      <c r="G1155" s="68">
        <v>200.9</v>
      </c>
      <c r="L1155" s="69"/>
    </row>
    <row r="1156" spans="1:75" ht="13.5" customHeight="1">
      <c r="A1156" s="61" t="s">
        <v>2212</v>
      </c>
      <c r="B1156" s="62" t="s">
        <v>116</v>
      </c>
      <c r="C1156" s="62" t="s">
        <v>2213</v>
      </c>
      <c r="D1156" s="224" t="s">
        <v>2214</v>
      </c>
      <c r="E1156" s="225"/>
      <c r="F1156" s="62" t="s">
        <v>729</v>
      </c>
      <c r="G1156" s="63">
        <v>210.94</v>
      </c>
      <c r="H1156" s="64">
        <v>0</v>
      </c>
      <c r="I1156" s="63">
        <f>G1156*H1156</f>
        <v>0</v>
      </c>
      <c r="J1156" s="63">
        <v>0.0034</v>
      </c>
      <c r="K1156" s="63">
        <f>G1156*J1156</f>
        <v>0.717196</v>
      </c>
      <c r="L1156" s="65" t="s">
        <v>1110</v>
      </c>
      <c r="Z1156" s="55">
        <f>IF(AQ1156="5",BJ1156,0)</f>
        <v>0</v>
      </c>
      <c r="AB1156" s="55">
        <f>IF(AQ1156="1",BH1156,0)</f>
        <v>0</v>
      </c>
      <c r="AC1156" s="55">
        <f>IF(AQ1156="1",BI1156,0)</f>
        <v>0</v>
      </c>
      <c r="AD1156" s="55">
        <f>IF(AQ1156="7",BH1156,0)</f>
        <v>0</v>
      </c>
      <c r="AE1156" s="55">
        <f>IF(AQ1156="7",BI1156,0)</f>
        <v>0</v>
      </c>
      <c r="AF1156" s="55">
        <f>IF(AQ1156="2",BH1156,0)</f>
        <v>0</v>
      </c>
      <c r="AG1156" s="55">
        <f>IF(AQ1156="2",BI1156,0)</f>
        <v>0</v>
      </c>
      <c r="AH1156" s="55">
        <f>IF(AQ1156="0",BJ1156,0)</f>
        <v>0</v>
      </c>
      <c r="AI1156" s="34" t="s">
        <v>116</v>
      </c>
      <c r="AJ1156" s="63">
        <f>IF(AN1156=0,I1156,0)</f>
        <v>0</v>
      </c>
      <c r="AK1156" s="63">
        <f>IF(AN1156=12,I1156,0)</f>
        <v>0</v>
      </c>
      <c r="AL1156" s="63">
        <f>IF(AN1156=21,I1156,0)</f>
        <v>0</v>
      </c>
      <c r="AN1156" s="55">
        <v>21</v>
      </c>
      <c r="AO1156" s="55">
        <f>H1156*1</f>
        <v>0</v>
      </c>
      <c r="AP1156" s="55">
        <f>H1156*(1-1)</f>
        <v>0</v>
      </c>
      <c r="AQ1156" s="66" t="s">
        <v>125</v>
      </c>
      <c r="AV1156" s="55">
        <f>AW1156+AX1156</f>
        <v>0</v>
      </c>
      <c r="AW1156" s="55">
        <f>G1156*AO1156</f>
        <v>0</v>
      </c>
      <c r="AX1156" s="55">
        <f>G1156*AP1156</f>
        <v>0</v>
      </c>
      <c r="AY1156" s="58" t="s">
        <v>2205</v>
      </c>
      <c r="AZ1156" s="58" t="s">
        <v>2137</v>
      </c>
      <c r="BA1156" s="34" t="s">
        <v>128</v>
      </c>
      <c r="BC1156" s="55">
        <f>AW1156+AX1156</f>
        <v>0</v>
      </c>
      <c r="BD1156" s="55">
        <f>H1156/(100-BE1156)*100</f>
        <v>0</v>
      </c>
      <c r="BE1156" s="55">
        <v>0</v>
      </c>
      <c r="BF1156" s="55">
        <f>K1156</f>
        <v>0.717196</v>
      </c>
      <c r="BH1156" s="63">
        <f>G1156*AO1156</f>
        <v>0</v>
      </c>
      <c r="BI1156" s="63">
        <f>G1156*AP1156</f>
        <v>0</v>
      </c>
      <c r="BJ1156" s="63">
        <f>G1156*H1156</f>
        <v>0</v>
      </c>
      <c r="BK1156" s="63"/>
      <c r="BL1156" s="55">
        <v>776</v>
      </c>
      <c r="BW1156" s="55">
        <v>21</v>
      </c>
    </row>
    <row r="1157" spans="1:12" ht="14.4">
      <c r="A1157" s="59"/>
      <c r="D1157" s="60" t="s">
        <v>2211</v>
      </c>
      <c r="E1157" s="60" t="s">
        <v>2215</v>
      </c>
      <c r="G1157" s="68">
        <v>200.9</v>
      </c>
      <c r="L1157" s="69"/>
    </row>
    <row r="1158" spans="1:12" ht="14.4">
      <c r="A1158" s="59"/>
      <c r="D1158" s="60" t="s">
        <v>2216</v>
      </c>
      <c r="E1158" s="60" t="s">
        <v>4</v>
      </c>
      <c r="G1158" s="68">
        <v>10.04</v>
      </c>
      <c r="L1158" s="69"/>
    </row>
    <row r="1159" spans="1:75" ht="13.5" customHeight="1">
      <c r="A1159" s="1" t="s">
        <v>2217</v>
      </c>
      <c r="B1159" s="2" t="s">
        <v>116</v>
      </c>
      <c r="C1159" s="2" t="s">
        <v>2218</v>
      </c>
      <c r="D1159" s="147" t="s">
        <v>2219</v>
      </c>
      <c r="E1159" s="148"/>
      <c r="F1159" s="2" t="s">
        <v>174</v>
      </c>
      <c r="G1159" s="55">
        <v>10</v>
      </c>
      <c r="H1159" s="56">
        <v>0</v>
      </c>
      <c r="I1159" s="55">
        <f>G1159*H1159</f>
        <v>0</v>
      </c>
      <c r="J1159" s="55">
        <v>0.00037</v>
      </c>
      <c r="K1159" s="55">
        <f>G1159*J1159</f>
        <v>0.0037</v>
      </c>
      <c r="L1159" s="57" t="s">
        <v>785</v>
      </c>
      <c r="Z1159" s="55">
        <f>IF(AQ1159="5",BJ1159,0)</f>
        <v>0</v>
      </c>
      <c r="AB1159" s="55">
        <f>IF(AQ1159="1",BH1159,0)</f>
        <v>0</v>
      </c>
      <c r="AC1159" s="55">
        <f>IF(AQ1159="1",BI1159,0)</f>
        <v>0</v>
      </c>
      <c r="AD1159" s="55">
        <f>IF(AQ1159="7",BH1159,0)</f>
        <v>0</v>
      </c>
      <c r="AE1159" s="55">
        <f>IF(AQ1159="7",BI1159,0)</f>
        <v>0</v>
      </c>
      <c r="AF1159" s="55">
        <f>IF(AQ1159="2",BH1159,0)</f>
        <v>0</v>
      </c>
      <c r="AG1159" s="55">
        <f>IF(AQ1159="2",BI1159,0)</f>
        <v>0</v>
      </c>
      <c r="AH1159" s="55">
        <f>IF(AQ1159="0",BJ1159,0)</f>
        <v>0</v>
      </c>
      <c r="AI1159" s="34" t="s">
        <v>116</v>
      </c>
      <c r="AJ1159" s="55">
        <f>IF(AN1159=0,I1159,0)</f>
        <v>0</v>
      </c>
      <c r="AK1159" s="55">
        <f>IF(AN1159=12,I1159,0)</f>
        <v>0</v>
      </c>
      <c r="AL1159" s="55">
        <f>IF(AN1159=21,I1159,0)</f>
        <v>0</v>
      </c>
      <c r="AN1159" s="55">
        <v>21</v>
      </c>
      <c r="AO1159" s="55">
        <f>H1159*0.662874016</f>
        <v>0</v>
      </c>
      <c r="AP1159" s="55">
        <f>H1159*(1-0.662874016)</f>
        <v>0</v>
      </c>
      <c r="AQ1159" s="58" t="s">
        <v>125</v>
      </c>
      <c r="AV1159" s="55">
        <f>AW1159+AX1159</f>
        <v>0</v>
      </c>
      <c r="AW1159" s="55">
        <f>G1159*AO1159</f>
        <v>0</v>
      </c>
      <c r="AX1159" s="55">
        <f>G1159*AP1159</f>
        <v>0</v>
      </c>
      <c r="AY1159" s="58" t="s">
        <v>2205</v>
      </c>
      <c r="AZ1159" s="58" t="s">
        <v>2137</v>
      </c>
      <c r="BA1159" s="34" t="s">
        <v>128</v>
      </c>
      <c r="BB1159" s="67">
        <v>100027</v>
      </c>
      <c r="BC1159" s="55">
        <f>AW1159+AX1159</f>
        <v>0</v>
      </c>
      <c r="BD1159" s="55">
        <f>H1159/(100-BE1159)*100</f>
        <v>0</v>
      </c>
      <c r="BE1159" s="55">
        <v>0</v>
      </c>
      <c r="BF1159" s="55">
        <f>K1159</f>
        <v>0.0037</v>
      </c>
      <c r="BH1159" s="55">
        <f>G1159*AO1159</f>
        <v>0</v>
      </c>
      <c r="BI1159" s="55">
        <f>G1159*AP1159</f>
        <v>0</v>
      </c>
      <c r="BJ1159" s="55">
        <f>G1159*H1159</f>
        <v>0</v>
      </c>
      <c r="BK1159" s="55"/>
      <c r="BL1159" s="55">
        <v>776</v>
      </c>
      <c r="BW1159" s="55">
        <v>21</v>
      </c>
    </row>
    <row r="1160" spans="1:12" ht="13.5" customHeight="1">
      <c r="A1160" s="59"/>
      <c r="D1160" s="218" t="s">
        <v>2220</v>
      </c>
      <c r="E1160" s="219"/>
      <c r="F1160" s="219"/>
      <c r="G1160" s="219"/>
      <c r="H1160" s="220"/>
      <c r="I1160" s="219"/>
      <c r="J1160" s="219"/>
      <c r="K1160" s="219"/>
      <c r="L1160" s="221"/>
    </row>
    <row r="1161" spans="1:12" ht="14.4">
      <c r="A1161" s="59"/>
      <c r="D1161" s="60" t="s">
        <v>153</v>
      </c>
      <c r="E1161" s="60" t="s">
        <v>1709</v>
      </c>
      <c r="G1161" s="68">
        <v>10</v>
      </c>
      <c r="L1161" s="69"/>
    </row>
    <row r="1162" spans="1:75" ht="13.5" customHeight="1">
      <c r="A1162" s="1" t="s">
        <v>2221</v>
      </c>
      <c r="B1162" s="2" t="s">
        <v>116</v>
      </c>
      <c r="C1162" s="2" t="s">
        <v>2222</v>
      </c>
      <c r="D1162" s="147" t="s">
        <v>2223</v>
      </c>
      <c r="E1162" s="148"/>
      <c r="F1162" s="2" t="s">
        <v>729</v>
      </c>
      <c r="G1162" s="55">
        <v>74.9</v>
      </c>
      <c r="H1162" s="56">
        <v>0</v>
      </c>
      <c r="I1162" s="55">
        <f>G1162*H1162</f>
        <v>0</v>
      </c>
      <c r="J1162" s="55">
        <v>0.00042</v>
      </c>
      <c r="K1162" s="55">
        <f>G1162*J1162</f>
        <v>0.03145800000000001</v>
      </c>
      <c r="L1162" s="57" t="s">
        <v>785</v>
      </c>
      <c r="Z1162" s="55">
        <f>IF(AQ1162="5",BJ1162,0)</f>
        <v>0</v>
      </c>
      <c r="AB1162" s="55">
        <f>IF(AQ1162="1",BH1162,0)</f>
        <v>0</v>
      </c>
      <c r="AC1162" s="55">
        <f>IF(AQ1162="1",BI1162,0)</f>
        <v>0</v>
      </c>
      <c r="AD1162" s="55">
        <f>IF(AQ1162="7",BH1162,0)</f>
        <v>0</v>
      </c>
      <c r="AE1162" s="55">
        <f>IF(AQ1162="7",BI1162,0)</f>
        <v>0</v>
      </c>
      <c r="AF1162" s="55">
        <f>IF(AQ1162="2",BH1162,0)</f>
        <v>0</v>
      </c>
      <c r="AG1162" s="55">
        <f>IF(AQ1162="2",BI1162,0)</f>
        <v>0</v>
      </c>
      <c r="AH1162" s="55">
        <f>IF(AQ1162="0",BJ1162,0)</f>
        <v>0</v>
      </c>
      <c r="AI1162" s="34" t="s">
        <v>116</v>
      </c>
      <c r="AJ1162" s="55">
        <f>IF(AN1162=0,I1162,0)</f>
        <v>0</v>
      </c>
      <c r="AK1162" s="55">
        <f>IF(AN1162=12,I1162,0)</f>
        <v>0</v>
      </c>
      <c r="AL1162" s="55">
        <f>IF(AN1162=21,I1162,0)</f>
        <v>0</v>
      </c>
      <c r="AN1162" s="55">
        <v>21</v>
      </c>
      <c r="AO1162" s="55">
        <f>H1162*0.304174229</f>
        <v>0</v>
      </c>
      <c r="AP1162" s="55">
        <f>H1162*(1-0.304174229)</f>
        <v>0</v>
      </c>
      <c r="AQ1162" s="58" t="s">
        <v>125</v>
      </c>
      <c r="AV1162" s="55">
        <f>AW1162+AX1162</f>
        <v>0</v>
      </c>
      <c r="AW1162" s="55">
        <f>G1162*AO1162</f>
        <v>0</v>
      </c>
      <c r="AX1162" s="55">
        <f>G1162*AP1162</f>
        <v>0</v>
      </c>
      <c r="AY1162" s="58" t="s">
        <v>2205</v>
      </c>
      <c r="AZ1162" s="58" t="s">
        <v>2137</v>
      </c>
      <c r="BA1162" s="34" t="s">
        <v>128</v>
      </c>
      <c r="BB1162" s="67">
        <v>100027</v>
      </c>
      <c r="BC1162" s="55">
        <f>AW1162+AX1162</f>
        <v>0</v>
      </c>
      <c r="BD1162" s="55">
        <f>H1162/(100-BE1162)*100</f>
        <v>0</v>
      </c>
      <c r="BE1162" s="55">
        <v>0</v>
      </c>
      <c r="BF1162" s="55">
        <f>K1162</f>
        <v>0.03145800000000001</v>
      </c>
      <c r="BH1162" s="55">
        <f>G1162*AO1162</f>
        <v>0</v>
      </c>
      <c r="BI1162" s="55">
        <f>G1162*AP1162</f>
        <v>0</v>
      </c>
      <c r="BJ1162" s="55">
        <f>G1162*H1162</f>
        <v>0</v>
      </c>
      <c r="BK1162" s="55"/>
      <c r="BL1162" s="55">
        <v>776</v>
      </c>
      <c r="BW1162" s="55">
        <v>21</v>
      </c>
    </row>
    <row r="1163" spans="1:12" ht="14.4">
      <c r="A1163" s="59"/>
      <c r="D1163" s="60" t="s">
        <v>2224</v>
      </c>
      <c r="E1163" s="60" t="s">
        <v>869</v>
      </c>
      <c r="G1163" s="68">
        <v>74.9</v>
      </c>
      <c r="L1163" s="69"/>
    </row>
    <row r="1164" spans="1:75" ht="13.5" customHeight="1">
      <c r="A1164" s="61" t="s">
        <v>2225</v>
      </c>
      <c r="B1164" s="62" t="s">
        <v>116</v>
      </c>
      <c r="C1164" s="62" t="s">
        <v>2226</v>
      </c>
      <c r="D1164" s="224" t="s">
        <v>2227</v>
      </c>
      <c r="E1164" s="225"/>
      <c r="F1164" s="62" t="s">
        <v>729</v>
      </c>
      <c r="G1164" s="63">
        <v>78.65</v>
      </c>
      <c r="H1164" s="64">
        <v>0</v>
      </c>
      <c r="I1164" s="63">
        <f>G1164*H1164</f>
        <v>0</v>
      </c>
      <c r="J1164" s="63">
        <v>0.003</v>
      </c>
      <c r="K1164" s="63">
        <f>G1164*J1164</f>
        <v>0.23595000000000002</v>
      </c>
      <c r="L1164" s="65" t="s">
        <v>785</v>
      </c>
      <c r="Z1164" s="55">
        <f>IF(AQ1164="5",BJ1164,0)</f>
        <v>0</v>
      </c>
      <c r="AB1164" s="55">
        <f>IF(AQ1164="1",BH1164,0)</f>
        <v>0</v>
      </c>
      <c r="AC1164" s="55">
        <f>IF(AQ1164="1",BI1164,0)</f>
        <v>0</v>
      </c>
      <c r="AD1164" s="55">
        <f>IF(AQ1164="7",BH1164,0)</f>
        <v>0</v>
      </c>
      <c r="AE1164" s="55">
        <f>IF(AQ1164="7",BI1164,0)</f>
        <v>0</v>
      </c>
      <c r="AF1164" s="55">
        <f>IF(AQ1164="2",BH1164,0)</f>
        <v>0</v>
      </c>
      <c r="AG1164" s="55">
        <f>IF(AQ1164="2",BI1164,0)</f>
        <v>0</v>
      </c>
      <c r="AH1164" s="55">
        <f>IF(AQ1164="0",BJ1164,0)</f>
        <v>0</v>
      </c>
      <c r="AI1164" s="34" t="s">
        <v>116</v>
      </c>
      <c r="AJ1164" s="63">
        <f>IF(AN1164=0,I1164,0)</f>
        <v>0</v>
      </c>
      <c r="AK1164" s="63">
        <f>IF(AN1164=12,I1164,0)</f>
        <v>0</v>
      </c>
      <c r="AL1164" s="63">
        <f>IF(AN1164=21,I1164,0)</f>
        <v>0</v>
      </c>
      <c r="AN1164" s="55">
        <v>21</v>
      </c>
      <c r="AO1164" s="55">
        <f>H1164*1</f>
        <v>0</v>
      </c>
      <c r="AP1164" s="55">
        <f>H1164*(1-1)</f>
        <v>0</v>
      </c>
      <c r="AQ1164" s="66" t="s">
        <v>125</v>
      </c>
      <c r="AV1164" s="55">
        <f>AW1164+AX1164</f>
        <v>0</v>
      </c>
      <c r="AW1164" s="55">
        <f>G1164*AO1164</f>
        <v>0</v>
      </c>
      <c r="AX1164" s="55">
        <f>G1164*AP1164</f>
        <v>0</v>
      </c>
      <c r="AY1164" s="58" t="s">
        <v>2205</v>
      </c>
      <c r="AZ1164" s="58" t="s">
        <v>2137</v>
      </c>
      <c r="BA1164" s="34" t="s">
        <v>128</v>
      </c>
      <c r="BC1164" s="55">
        <f>AW1164+AX1164</f>
        <v>0</v>
      </c>
      <c r="BD1164" s="55">
        <f>H1164/(100-BE1164)*100</f>
        <v>0</v>
      </c>
      <c r="BE1164" s="55">
        <v>0</v>
      </c>
      <c r="BF1164" s="55">
        <f>K1164</f>
        <v>0.23595000000000002</v>
      </c>
      <c r="BH1164" s="63">
        <f>G1164*AO1164</f>
        <v>0</v>
      </c>
      <c r="BI1164" s="63">
        <f>G1164*AP1164</f>
        <v>0</v>
      </c>
      <c r="BJ1164" s="63">
        <f>G1164*H1164</f>
        <v>0</v>
      </c>
      <c r="BK1164" s="63"/>
      <c r="BL1164" s="55">
        <v>776</v>
      </c>
      <c r="BW1164" s="55">
        <v>21</v>
      </c>
    </row>
    <row r="1165" spans="1:12" ht="14.4">
      <c r="A1165" s="59"/>
      <c r="D1165" s="60" t="s">
        <v>2224</v>
      </c>
      <c r="E1165" s="60" t="s">
        <v>4</v>
      </c>
      <c r="G1165" s="68">
        <v>74.9</v>
      </c>
      <c r="L1165" s="69"/>
    </row>
    <row r="1166" spans="1:12" ht="14.4">
      <c r="A1166" s="59"/>
      <c r="D1166" s="60" t="s">
        <v>2228</v>
      </c>
      <c r="E1166" s="60" t="s">
        <v>4</v>
      </c>
      <c r="G1166" s="68">
        <v>3.75</v>
      </c>
      <c r="L1166" s="69"/>
    </row>
    <row r="1167" spans="1:75" ht="13.5" customHeight="1">
      <c r="A1167" s="1" t="s">
        <v>2229</v>
      </c>
      <c r="B1167" s="2" t="s">
        <v>116</v>
      </c>
      <c r="C1167" s="2" t="s">
        <v>2230</v>
      </c>
      <c r="D1167" s="147" t="s">
        <v>2231</v>
      </c>
      <c r="E1167" s="148"/>
      <c r="F1167" s="2" t="s">
        <v>729</v>
      </c>
      <c r="G1167" s="55">
        <v>2.6</v>
      </c>
      <c r="H1167" s="56">
        <v>0</v>
      </c>
      <c r="I1167" s="55">
        <f>G1167*H1167</f>
        <v>0</v>
      </c>
      <c r="J1167" s="55">
        <v>0.0025</v>
      </c>
      <c r="K1167" s="55">
        <f>G1167*J1167</f>
        <v>0.006500000000000001</v>
      </c>
      <c r="L1167" s="57" t="s">
        <v>785</v>
      </c>
      <c r="Z1167" s="55">
        <f>IF(AQ1167="5",BJ1167,0)</f>
        <v>0</v>
      </c>
      <c r="AB1167" s="55">
        <f>IF(AQ1167="1",BH1167,0)</f>
        <v>0</v>
      </c>
      <c r="AC1167" s="55">
        <f>IF(AQ1167="1",BI1167,0)</f>
        <v>0</v>
      </c>
      <c r="AD1167" s="55">
        <f>IF(AQ1167="7",BH1167,0)</f>
        <v>0</v>
      </c>
      <c r="AE1167" s="55">
        <f>IF(AQ1167="7",BI1167,0)</f>
        <v>0</v>
      </c>
      <c r="AF1167" s="55">
        <f>IF(AQ1167="2",BH1167,0)</f>
        <v>0</v>
      </c>
      <c r="AG1167" s="55">
        <f>IF(AQ1167="2",BI1167,0)</f>
        <v>0</v>
      </c>
      <c r="AH1167" s="55">
        <f>IF(AQ1167="0",BJ1167,0)</f>
        <v>0</v>
      </c>
      <c r="AI1167" s="34" t="s">
        <v>116</v>
      </c>
      <c r="AJ1167" s="55">
        <f>IF(AN1167=0,I1167,0)</f>
        <v>0</v>
      </c>
      <c r="AK1167" s="55">
        <f>IF(AN1167=12,I1167,0)</f>
        <v>0</v>
      </c>
      <c r="AL1167" s="55">
        <f>IF(AN1167=21,I1167,0)</f>
        <v>0</v>
      </c>
      <c r="AN1167" s="55">
        <v>21</v>
      </c>
      <c r="AO1167" s="55">
        <f>H1167*0.986774648</f>
        <v>0</v>
      </c>
      <c r="AP1167" s="55">
        <f>H1167*(1-0.986774648)</f>
        <v>0</v>
      </c>
      <c r="AQ1167" s="58" t="s">
        <v>125</v>
      </c>
      <c r="AV1167" s="55">
        <f>AW1167+AX1167</f>
        <v>0</v>
      </c>
      <c r="AW1167" s="55">
        <f>G1167*AO1167</f>
        <v>0</v>
      </c>
      <c r="AX1167" s="55">
        <f>G1167*AP1167</f>
        <v>0</v>
      </c>
      <c r="AY1167" s="58" t="s">
        <v>2205</v>
      </c>
      <c r="AZ1167" s="58" t="s">
        <v>2137</v>
      </c>
      <c r="BA1167" s="34" t="s">
        <v>128</v>
      </c>
      <c r="BB1167" s="67">
        <v>100027</v>
      </c>
      <c r="BC1167" s="55">
        <f>AW1167+AX1167</f>
        <v>0</v>
      </c>
      <c r="BD1167" s="55">
        <f>H1167/(100-BE1167)*100</f>
        <v>0</v>
      </c>
      <c r="BE1167" s="55">
        <v>0</v>
      </c>
      <c r="BF1167" s="55">
        <f>K1167</f>
        <v>0.006500000000000001</v>
      </c>
      <c r="BH1167" s="55">
        <f>G1167*AO1167</f>
        <v>0</v>
      </c>
      <c r="BI1167" s="55">
        <f>G1167*AP1167</f>
        <v>0</v>
      </c>
      <c r="BJ1167" s="55">
        <f>G1167*H1167</f>
        <v>0</v>
      </c>
      <c r="BK1167" s="55"/>
      <c r="BL1167" s="55">
        <v>776</v>
      </c>
      <c r="BW1167" s="55">
        <v>21</v>
      </c>
    </row>
    <row r="1168" spans="1:12" ht="14.4">
      <c r="A1168" s="59"/>
      <c r="D1168" s="60" t="s">
        <v>2232</v>
      </c>
      <c r="E1168" s="60" t="s">
        <v>4</v>
      </c>
      <c r="G1168" s="68">
        <v>2.6</v>
      </c>
      <c r="L1168" s="69"/>
    </row>
    <row r="1169" spans="1:75" ht="13.5" customHeight="1">
      <c r="A1169" s="1" t="s">
        <v>2233</v>
      </c>
      <c r="B1169" s="2" t="s">
        <v>116</v>
      </c>
      <c r="C1169" s="2" t="s">
        <v>2234</v>
      </c>
      <c r="D1169" s="147" t="s">
        <v>2235</v>
      </c>
      <c r="E1169" s="148"/>
      <c r="F1169" s="2" t="s">
        <v>729</v>
      </c>
      <c r="G1169" s="55">
        <v>255.8</v>
      </c>
      <c r="H1169" s="56">
        <v>0</v>
      </c>
      <c r="I1169" s="55">
        <f>G1169*H1169</f>
        <v>0</v>
      </c>
      <c r="J1169" s="55">
        <v>3E-05</v>
      </c>
      <c r="K1169" s="55">
        <f>G1169*J1169</f>
        <v>0.007674</v>
      </c>
      <c r="L1169" s="57" t="s">
        <v>785</v>
      </c>
      <c r="Z1169" s="55">
        <f>IF(AQ1169="5",BJ1169,0)</f>
        <v>0</v>
      </c>
      <c r="AB1169" s="55">
        <f>IF(AQ1169="1",BH1169,0)</f>
        <v>0</v>
      </c>
      <c r="AC1169" s="55">
        <f>IF(AQ1169="1",BI1169,0)</f>
        <v>0</v>
      </c>
      <c r="AD1169" s="55">
        <f>IF(AQ1169="7",BH1169,0)</f>
        <v>0</v>
      </c>
      <c r="AE1169" s="55">
        <f>IF(AQ1169="7",BI1169,0)</f>
        <v>0</v>
      </c>
      <c r="AF1169" s="55">
        <f>IF(AQ1169="2",BH1169,0)</f>
        <v>0</v>
      </c>
      <c r="AG1169" s="55">
        <f>IF(AQ1169="2",BI1169,0)</f>
        <v>0</v>
      </c>
      <c r="AH1169" s="55">
        <f>IF(AQ1169="0",BJ1169,0)</f>
        <v>0</v>
      </c>
      <c r="AI1169" s="34" t="s">
        <v>116</v>
      </c>
      <c r="AJ1169" s="55">
        <f>IF(AN1169=0,I1169,0)</f>
        <v>0</v>
      </c>
      <c r="AK1169" s="55">
        <f>IF(AN1169=12,I1169,0)</f>
        <v>0</v>
      </c>
      <c r="AL1169" s="55">
        <f>IF(AN1169=21,I1169,0)</f>
        <v>0</v>
      </c>
      <c r="AN1169" s="55">
        <v>21</v>
      </c>
      <c r="AO1169" s="55">
        <f>H1169*0.228357321</f>
        <v>0</v>
      </c>
      <c r="AP1169" s="55">
        <f>H1169*(1-0.228357321)</f>
        <v>0</v>
      </c>
      <c r="AQ1169" s="58" t="s">
        <v>125</v>
      </c>
      <c r="AV1169" s="55">
        <f>AW1169+AX1169</f>
        <v>0</v>
      </c>
      <c r="AW1169" s="55">
        <f>G1169*AO1169</f>
        <v>0</v>
      </c>
      <c r="AX1169" s="55">
        <f>G1169*AP1169</f>
        <v>0</v>
      </c>
      <c r="AY1169" s="58" t="s">
        <v>2205</v>
      </c>
      <c r="AZ1169" s="58" t="s">
        <v>2137</v>
      </c>
      <c r="BA1169" s="34" t="s">
        <v>128</v>
      </c>
      <c r="BB1169" s="67">
        <v>100027</v>
      </c>
      <c r="BC1169" s="55">
        <f>AW1169+AX1169</f>
        <v>0</v>
      </c>
      <c r="BD1169" s="55">
        <f>H1169/(100-BE1169)*100</f>
        <v>0</v>
      </c>
      <c r="BE1169" s="55">
        <v>0</v>
      </c>
      <c r="BF1169" s="55">
        <f>K1169</f>
        <v>0.007674</v>
      </c>
      <c r="BH1169" s="55">
        <f>G1169*AO1169</f>
        <v>0</v>
      </c>
      <c r="BI1169" s="55">
        <f>G1169*AP1169</f>
        <v>0</v>
      </c>
      <c r="BJ1169" s="55">
        <f>G1169*H1169</f>
        <v>0</v>
      </c>
      <c r="BK1169" s="55"/>
      <c r="BL1169" s="55">
        <v>776</v>
      </c>
      <c r="BW1169" s="55">
        <v>21</v>
      </c>
    </row>
    <row r="1170" spans="1:12" ht="14.4">
      <c r="A1170" s="59"/>
      <c r="D1170" s="60" t="s">
        <v>2236</v>
      </c>
      <c r="E1170" s="60" t="s">
        <v>4</v>
      </c>
      <c r="G1170" s="68">
        <v>180.9</v>
      </c>
      <c r="L1170" s="69"/>
    </row>
    <row r="1171" spans="1:12" ht="14.4">
      <c r="A1171" s="59"/>
      <c r="D1171" s="60" t="s">
        <v>2224</v>
      </c>
      <c r="E1171" s="60" t="s">
        <v>4</v>
      </c>
      <c r="G1171" s="68">
        <v>74.9</v>
      </c>
      <c r="L1171" s="69"/>
    </row>
    <row r="1172" spans="1:75" ht="13.5" customHeight="1">
      <c r="A1172" s="1" t="s">
        <v>2237</v>
      </c>
      <c r="B1172" s="2" t="s">
        <v>116</v>
      </c>
      <c r="C1172" s="2" t="s">
        <v>2238</v>
      </c>
      <c r="D1172" s="147" t="s">
        <v>2239</v>
      </c>
      <c r="E1172" s="148"/>
      <c r="F1172" s="2" t="s">
        <v>939</v>
      </c>
      <c r="G1172" s="55">
        <v>1.14</v>
      </c>
      <c r="H1172" s="56">
        <v>0</v>
      </c>
      <c r="I1172" s="55">
        <f>G1172*H1172</f>
        <v>0</v>
      </c>
      <c r="J1172" s="55">
        <v>0</v>
      </c>
      <c r="K1172" s="55">
        <f>G1172*J1172</f>
        <v>0</v>
      </c>
      <c r="L1172" s="57" t="s">
        <v>785</v>
      </c>
      <c r="Z1172" s="55">
        <f>IF(AQ1172="5",BJ1172,0)</f>
        <v>0</v>
      </c>
      <c r="AB1172" s="55">
        <f>IF(AQ1172="1",BH1172,0)</f>
        <v>0</v>
      </c>
      <c r="AC1172" s="55">
        <f>IF(AQ1172="1",BI1172,0)</f>
        <v>0</v>
      </c>
      <c r="AD1172" s="55">
        <f>IF(AQ1172="7",BH1172,0)</f>
        <v>0</v>
      </c>
      <c r="AE1172" s="55">
        <f>IF(AQ1172="7",BI1172,0)</f>
        <v>0</v>
      </c>
      <c r="AF1172" s="55">
        <f>IF(AQ1172="2",BH1172,0)</f>
        <v>0</v>
      </c>
      <c r="AG1172" s="55">
        <f>IF(AQ1172="2",BI1172,0)</f>
        <v>0</v>
      </c>
      <c r="AH1172" s="55">
        <f>IF(AQ1172="0",BJ1172,0)</f>
        <v>0</v>
      </c>
      <c r="AI1172" s="34" t="s">
        <v>116</v>
      </c>
      <c r="AJ1172" s="55">
        <f>IF(AN1172=0,I1172,0)</f>
        <v>0</v>
      </c>
      <c r="AK1172" s="55">
        <f>IF(AN1172=12,I1172,0)</f>
        <v>0</v>
      </c>
      <c r="AL1172" s="55">
        <f>IF(AN1172=21,I1172,0)</f>
        <v>0</v>
      </c>
      <c r="AN1172" s="55">
        <v>21</v>
      </c>
      <c r="AO1172" s="55">
        <f>H1172*0</f>
        <v>0</v>
      </c>
      <c r="AP1172" s="55">
        <f>H1172*(1-0)</f>
        <v>0</v>
      </c>
      <c r="AQ1172" s="58" t="s">
        <v>139</v>
      </c>
      <c r="AV1172" s="55">
        <f>AW1172+AX1172</f>
        <v>0</v>
      </c>
      <c r="AW1172" s="55">
        <f>G1172*AO1172</f>
        <v>0</v>
      </c>
      <c r="AX1172" s="55">
        <f>G1172*AP1172</f>
        <v>0</v>
      </c>
      <c r="AY1172" s="58" t="s">
        <v>2205</v>
      </c>
      <c r="AZ1172" s="58" t="s">
        <v>2137</v>
      </c>
      <c r="BA1172" s="34" t="s">
        <v>128</v>
      </c>
      <c r="BC1172" s="55">
        <f>AW1172+AX1172</f>
        <v>0</v>
      </c>
      <c r="BD1172" s="55">
        <f>H1172/(100-BE1172)*100</f>
        <v>0</v>
      </c>
      <c r="BE1172" s="55">
        <v>0</v>
      </c>
      <c r="BF1172" s="55">
        <f>K1172</f>
        <v>0</v>
      </c>
      <c r="BH1172" s="55">
        <f>G1172*AO1172</f>
        <v>0</v>
      </c>
      <c r="BI1172" s="55">
        <f>G1172*AP1172</f>
        <v>0</v>
      </c>
      <c r="BJ1172" s="55">
        <f>G1172*H1172</f>
        <v>0</v>
      </c>
      <c r="BK1172" s="55"/>
      <c r="BL1172" s="55">
        <v>776</v>
      </c>
      <c r="BW1172" s="55">
        <v>21</v>
      </c>
    </row>
    <row r="1173" spans="1:12" ht="14.4">
      <c r="A1173" s="59"/>
      <c r="D1173" s="60" t="s">
        <v>2240</v>
      </c>
      <c r="E1173" s="60" t="s">
        <v>4</v>
      </c>
      <c r="G1173" s="68">
        <v>1.14</v>
      </c>
      <c r="L1173" s="69"/>
    </row>
    <row r="1174" spans="1:47" ht="14.4">
      <c r="A1174" s="50" t="s">
        <v>4</v>
      </c>
      <c r="B1174" s="51" t="s">
        <v>116</v>
      </c>
      <c r="C1174" s="51" t="s">
        <v>2241</v>
      </c>
      <c r="D1174" s="222" t="s">
        <v>2242</v>
      </c>
      <c r="E1174" s="223"/>
      <c r="F1174" s="52" t="s">
        <v>79</v>
      </c>
      <c r="G1174" s="52" t="s">
        <v>79</v>
      </c>
      <c r="H1174" s="53" t="s">
        <v>79</v>
      </c>
      <c r="I1174" s="27">
        <f>SUM(I1175:I1190)</f>
        <v>0</v>
      </c>
      <c r="J1174" s="34" t="s">
        <v>4</v>
      </c>
      <c r="K1174" s="27">
        <f>SUM(K1175:K1190)</f>
        <v>2.5381593</v>
      </c>
      <c r="L1174" s="54" t="s">
        <v>4</v>
      </c>
      <c r="AI1174" s="34" t="s">
        <v>116</v>
      </c>
      <c r="AS1174" s="27">
        <f>SUM(AJ1175:AJ1190)</f>
        <v>0</v>
      </c>
      <c r="AT1174" s="27">
        <f>SUM(AK1175:AK1190)</f>
        <v>0</v>
      </c>
      <c r="AU1174" s="27">
        <f>SUM(AL1175:AL1190)</f>
        <v>0</v>
      </c>
    </row>
    <row r="1175" spans="1:75" ht="13.5" customHeight="1">
      <c r="A1175" s="1" t="s">
        <v>2243</v>
      </c>
      <c r="B1175" s="2" t="s">
        <v>116</v>
      </c>
      <c r="C1175" s="2" t="s">
        <v>2244</v>
      </c>
      <c r="D1175" s="147" t="s">
        <v>2245</v>
      </c>
      <c r="E1175" s="148"/>
      <c r="F1175" s="2" t="s">
        <v>729</v>
      </c>
      <c r="G1175" s="55">
        <v>94.1</v>
      </c>
      <c r="H1175" s="56">
        <v>0</v>
      </c>
      <c r="I1175" s="55">
        <f>G1175*H1175</f>
        <v>0</v>
      </c>
      <c r="J1175" s="55">
        <v>0.00016</v>
      </c>
      <c r="K1175" s="55">
        <f>G1175*J1175</f>
        <v>0.015056</v>
      </c>
      <c r="L1175" s="57" t="s">
        <v>785</v>
      </c>
      <c r="Z1175" s="55">
        <f>IF(AQ1175="5",BJ1175,0)</f>
        <v>0</v>
      </c>
      <c r="AB1175" s="55">
        <f>IF(AQ1175="1",BH1175,0)</f>
        <v>0</v>
      </c>
      <c r="AC1175" s="55">
        <f>IF(AQ1175="1",BI1175,0)</f>
        <v>0</v>
      </c>
      <c r="AD1175" s="55">
        <f>IF(AQ1175="7",BH1175,0)</f>
        <v>0</v>
      </c>
      <c r="AE1175" s="55">
        <f>IF(AQ1175="7",BI1175,0)</f>
        <v>0</v>
      </c>
      <c r="AF1175" s="55">
        <f>IF(AQ1175="2",BH1175,0)</f>
        <v>0</v>
      </c>
      <c r="AG1175" s="55">
        <f>IF(AQ1175="2",BI1175,0)</f>
        <v>0</v>
      </c>
      <c r="AH1175" s="55">
        <f>IF(AQ1175="0",BJ1175,0)</f>
        <v>0</v>
      </c>
      <c r="AI1175" s="34" t="s">
        <v>116</v>
      </c>
      <c r="AJ1175" s="55">
        <f>IF(AN1175=0,I1175,0)</f>
        <v>0</v>
      </c>
      <c r="AK1175" s="55">
        <f>IF(AN1175=12,I1175,0)</f>
        <v>0</v>
      </c>
      <c r="AL1175" s="55">
        <f>IF(AN1175=21,I1175,0)</f>
        <v>0</v>
      </c>
      <c r="AN1175" s="55">
        <v>21</v>
      </c>
      <c r="AO1175" s="55">
        <f>H1175*0.406942816</f>
        <v>0</v>
      </c>
      <c r="AP1175" s="55">
        <f>H1175*(1-0.406942816)</f>
        <v>0</v>
      </c>
      <c r="AQ1175" s="58" t="s">
        <v>125</v>
      </c>
      <c r="AV1175" s="55">
        <f>AW1175+AX1175</f>
        <v>0</v>
      </c>
      <c r="AW1175" s="55">
        <f>G1175*AO1175</f>
        <v>0</v>
      </c>
      <c r="AX1175" s="55">
        <f>G1175*AP1175</f>
        <v>0</v>
      </c>
      <c r="AY1175" s="58" t="s">
        <v>2246</v>
      </c>
      <c r="AZ1175" s="58" t="s">
        <v>2247</v>
      </c>
      <c r="BA1175" s="34" t="s">
        <v>128</v>
      </c>
      <c r="BB1175" s="67">
        <v>100024</v>
      </c>
      <c r="BC1175" s="55">
        <f>AW1175+AX1175</f>
        <v>0</v>
      </c>
      <c r="BD1175" s="55">
        <f>H1175/(100-BE1175)*100</f>
        <v>0</v>
      </c>
      <c r="BE1175" s="55">
        <v>0</v>
      </c>
      <c r="BF1175" s="55">
        <f>K1175</f>
        <v>0.015056</v>
      </c>
      <c r="BH1175" s="55">
        <f>G1175*AO1175</f>
        <v>0</v>
      </c>
      <c r="BI1175" s="55">
        <f>G1175*AP1175</f>
        <v>0</v>
      </c>
      <c r="BJ1175" s="55">
        <f>G1175*H1175</f>
        <v>0</v>
      </c>
      <c r="BK1175" s="55"/>
      <c r="BL1175" s="55">
        <v>781</v>
      </c>
      <c r="BW1175" s="55">
        <v>21</v>
      </c>
    </row>
    <row r="1176" spans="1:12" ht="13.5" customHeight="1">
      <c r="A1176" s="59"/>
      <c r="D1176" s="218" t="s">
        <v>2145</v>
      </c>
      <c r="E1176" s="219"/>
      <c r="F1176" s="219"/>
      <c r="G1176" s="219"/>
      <c r="H1176" s="220"/>
      <c r="I1176" s="219"/>
      <c r="J1176" s="219"/>
      <c r="K1176" s="219"/>
      <c r="L1176" s="221"/>
    </row>
    <row r="1177" spans="1:12" ht="14.4">
      <c r="A1177" s="59"/>
      <c r="D1177" s="60" t="s">
        <v>2248</v>
      </c>
      <c r="E1177" s="60" t="s">
        <v>4</v>
      </c>
      <c r="G1177" s="68">
        <v>94.1</v>
      </c>
      <c r="L1177" s="69"/>
    </row>
    <row r="1178" spans="1:75" ht="13.5" customHeight="1">
      <c r="A1178" s="1" t="s">
        <v>2249</v>
      </c>
      <c r="B1178" s="2" t="s">
        <v>116</v>
      </c>
      <c r="C1178" s="2" t="s">
        <v>2250</v>
      </c>
      <c r="D1178" s="147" t="s">
        <v>2251</v>
      </c>
      <c r="E1178" s="148"/>
      <c r="F1178" s="2" t="s">
        <v>174</v>
      </c>
      <c r="G1178" s="55">
        <v>8.2</v>
      </c>
      <c r="H1178" s="56">
        <v>0</v>
      </c>
      <c r="I1178" s="55">
        <f>G1178*H1178</f>
        <v>0</v>
      </c>
      <c r="J1178" s="55">
        <v>0</v>
      </c>
      <c r="K1178" s="55">
        <f>G1178*J1178</f>
        <v>0</v>
      </c>
      <c r="L1178" s="57" t="s">
        <v>785</v>
      </c>
      <c r="Z1178" s="55">
        <f>IF(AQ1178="5",BJ1178,0)</f>
        <v>0</v>
      </c>
      <c r="AB1178" s="55">
        <f>IF(AQ1178="1",BH1178,0)</f>
        <v>0</v>
      </c>
      <c r="AC1178" s="55">
        <f>IF(AQ1178="1",BI1178,0)</f>
        <v>0</v>
      </c>
      <c r="AD1178" s="55">
        <f>IF(AQ1178="7",BH1178,0)</f>
        <v>0</v>
      </c>
      <c r="AE1178" s="55">
        <f>IF(AQ1178="7",BI1178,0)</f>
        <v>0</v>
      </c>
      <c r="AF1178" s="55">
        <f>IF(AQ1178="2",BH1178,0)</f>
        <v>0</v>
      </c>
      <c r="AG1178" s="55">
        <f>IF(AQ1178="2",BI1178,0)</f>
        <v>0</v>
      </c>
      <c r="AH1178" s="55">
        <f>IF(AQ1178="0",BJ1178,0)</f>
        <v>0</v>
      </c>
      <c r="AI1178" s="34" t="s">
        <v>116</v>
      </c>
      <c r="AJ1178" s="55">
        <f>IF(AN1178=0,I1178,0)</f>
        <v>0</v>
      </c>
      <c r="AK1178" s="55">
        <f>IF(AN1178=12,I1178,0)</f>
        <v>0</v>
      </c>
      <c r="AL1178" s="55">
        <f>IF(AN1178=21,I1178,0)</f>
        <v>0</v>
      </c>
      <c r="AN1178" s="55">
        <v>21</v>
      </c>
      <c r="AO1178" s="55">
        <f>H1178*0.245489796</f>
        <v>0</v>
      </c>
      <c r="AP1178" s="55">
        <f>H1178*(1-0.245489796)</f>
        <v>0</v>
      </c>
      <c r="AQ1178" s="58" t="s">
        <v>125</v>
      </c>
      <c r="AV1178" s="55">
        <f>AW1178+AX1178</f>
        <v>0</v>
      </c>
      <c r="AW1178" s="55">
        <f>G1178*AO1178</f>
        <v>0</v>
      </c>
      <c r="AX1178" s="55">
        <f>G1178*AP1178</f>
        <v>0</v>
      </c>
      <c r="AY1178" s="58" t="s">
        <v>2246</v>
      </c>
      <c r="AZ1178" s="58" t="s">
        <v>2247</v>
      </c>
      <c r="BA1178" s="34" t="s">
        <v>128</v>
      </c>
      <c r="BB1178" s="67">
        <v>100024</v>
      </c>
      <c r="BC1178" s="55">
        <f>AW1178+AX1178</f>
        <v>0</v>
      </c>
      <c r="BD1178" s="55">
        <f>H1178/(100-BE1178)*100</f>
        <v>0</v>
      </c>
      <c r="BE1178" s="55">
        <v>0</v>
      </c>
      <c r="BF1178" s="55">
        <f>K1178</f>
        <v>0</v>
      </c>
      <c r="BH1178" s="55">
        <f>G1178*AO1178</f>
        <v>0</v>
      </c>
      <c r="BI1178" s="55">
        <f>G1178*AP1178</f>
        <v>0</v>
      </c>
      <c r="BJ1178" s="55">
        <f>G1178*H1178</f>
        <v>0</v>
      </c>
      <c r="BK1178" s="55"/>
      <c r="BL1178" s="55">
        <v>781</v>
      </c>
      <c r="BW1178" s="55">
        <v>21</v>
      </c>
    </row>
    <row r="1179" spans="1:12" ht="13.5" customHeight="1">
      <c r="A1179" s="59"/>
      <c r="D1179" s="218" t="s">
        <v>2252</v>
      </c>
      <c r="E1179" s="219"/>
      <c r="F1179" s="219"/>
      <c r="G1179" s="219"/>
      <c r="H1179" s="220"/>
      <c r="I1179" s="219"/>
      <c r="J1179" s="219"/>
      <c r="K1179" s="219"/>
      <c r="L1179" s="221"/>
    </row>
    <row r="1180" spans="1:12" ht="14.4">
      <c r="A1180" s="59"/>
      <c r="D1180" s="60" t="s">
        <v>2253</v>
      </c>
      <c r="E1180" s="60" t="s">
        <v>4</v>
      </c>
      <c r="G1180" s="68">
        <v>8.2</v>
      </c>
      <c r="L1180" s="69"/>
    </row>
    <row r="1181" spans="1:75" ht="13.5" customHeight="1">
      <c r="A1181" s="1" t="s">
        <v>2254</v>
      </c>
      <c r="B1181" s="2" t="s">
        <v>116</v>
      </c>
      <c r="C1181" s="2" t="s">
        <v>2255</v>
      </c>
      <c r="D1181" s="147" t="s">
        <v>2256</v>
      </c>
      <c r="E1181" s="148"/>
      <c r="F1181" s="2" t="s">
        <v>729</v>
      </c>
      <c r="G1181" s="55">
        <v>94.1</v>
      </c>
      <c r="H1181" s="56">
        <v>0</v>
      </c>
      <c r="I1181" s="55">
        <f>G1181*H1181</f>
        <v>0</v>
      </c>
      <c r="J1181" s="55">
        <v>0.00504</v>
      </c>
      <c r="K1181" s="55">
        <f>G1181*J1181</f>
        <v>0.47426399999999996</v>
      </c>
      <c r="L1181" s="57" t="s">
        <v>785</v>
      </c>
      <c r="Z1181" s="55">
        <f>IF(AQ1181="5",BJ1181,0)</f>
        <v>0</v>
      </c>
      <c r="AB1181" s="55">
        <f>IF(AQ1181="1",BH1181,0)</f>
        <v>0</v>
      </c>
      <c r="AC1181" s="55">
        <f>IF(AQ1181="1",BI1181,0)</f>
        <v>0</v>
      </c>
      <c r="AD1181" s="55">
        <f>IF(AQ1181="7",BH1181,0)</f>
        <v>0</v>
      </c>
      <c r="AE1181" s="55">
        <f>IF(AQ1181="7",BI1181,0)</f>
        <v>0</v>
      </c>
      <c r="AF1181" s="55">
        <f>IF(AQ1181="2",BH1181,0)</f>
        <v>0</v>
      </c>
      <c r="AG1181" s="55">
        <f>IF(AQ1181="2",BI1181,0)</f>
        <v>0</v>
      </c>
      <c r="AH1181" s="55">
        <f>IF(AQ1181="0",BJ1181,0)</f>
        <v>0</v>
      </c>
      <c r="AI1181" s="34" t="s">
        <v>116</v>
      </c>
      <c r="AJ1181" s="55">
        <f>IF(AN1181=0,I1181,0)</f>
        <v>0</v>
      </c>
      <c r="AK1181" s="55">
        <f>IF(AN1181=12,I1181,0)</f>
        <v>0</v>
      </c>
      <c r="AL1181" s="55">
        <f>IF(AN1181=21,I1181,0)</f>
        <v>0</v>
      </c>
      <c r="AN1181" s="55">
        <v>21</v>
      </c>
      <c r="AO1181" s="55">
        <f>H1181*0.214537634</f>
        <v>0</v>
      </c>
      <c r="AP1181" s="55">
        <f>H1181*(1-0.214537634)</f>
        <v>0</v>
      </c>
      <c r="AQ1181" s="58" t="s">
        <v>125</v>
      </c>
      <c r="AV1181" s="55">
        <f>AW1181+AX1181</f>
        <v>0</v>
      </c>
      <c r="AW1181" s="55">
        <f>G1181*AO1181</f>
        <v>0</v>
      </c>
      <c r="AX1181" s="55">
        <f>G1181*AP1181</f>
        <v>0</v>
      </c>
      <c r="AY1181" s="58" t="s">
        <v>2246</v>
      </c>
      <c r="AZ1181" s="58" t="s">
        <v>2247</v>
      </c>
      <c r="BA1181" s="34" t="s">
        <v>128</v>
      </c>
      <c r="BB1181" s="67">
        <v>100024</v>
      </c>
      <c r="BC1181" s="55">
        <f>AW1181+AX1181</f>
        <v>0</v>
      </c>
      <c r="BD1181" s="55">
        <f>H1181/(100-BE1181)*100</f>
        <v>0</v>
      </c>
      <c r="BE1181" s="55">
        <v>0</v>
      </c>
      <c r="BF1181" s="55">
        <f>K1181</f>
        <v>0.47426399999999996</v>
      </c>
      <c r="BH1181" s="55">
        <f>G1181*AO1181</f>
        <v>0</v>
      </c>
      <c r="BI1181" s="55">
        <f>G1181*AP1181</f>
        <v>0</v>
      </c>
      <c r="BJ1181" s="55">
        <f>G1181*H1181</f>
        <v>0</v>
      </c>
      <c r="BK1181" s="55"/>
      <c r="BL1181" s="55">
        <v>781</v>
      </c>
      <c r="BW1181" s="55">
        <v>21</v>
      </c>
    </row>
    <row r="1182" spans="1:12" ht="13.5" customHeight="1">
      <c r="A1182" s="59"/>
      <c r="D1182" s="218" t="s">
        <v>2152</v>
      </c>
      <c r="E1182" s="219"/>
      <c r="F1182" s="219"/>
      <c r="G1182" s="219"/>
      <c r="H1182" s="220"/>
      <c r="I1182" s="219"/>
      <c r="J1182" s="219"/>
      <c r="K1182" s="219"/>
      <c r="L1182" s="221"/>
    </row>
    <row r="1183" spans="1:12" ht="14.4">
      <c r="A1183" s="59"/>
      <c r="D1183" s="60" t="s">
        <v>2248</v>
      </c>
      <c r="E1183" s="60" t="s">
        <v>4</v>
      </c>
      <c r="G1183" s="68">
        <v>94.1</v>
      </c>
      <c r="L1183" s="69"/>
    </row>
    <row r="1184" spans="1:75" ht="13.5" customHeight="1">
      <c r="A1184" s="1" t="s">
        <v>2257</v>
      </c>
      <c r="B1184" s="2" t="s">
        <v>116</v>
      </c>
      <c r="C1184" s="2" t="s">
        <v>2258</v>
      </c>
      <c r="D1184" s="147" t="s">
        <v>2259</v>
      </c>
      <c r="E1184" s="148"/>
      <c r="F1184" s="2" t="s">
        <v>729</v>
      </c>
      <c r="G1184" s="55">
        <v>94.1</v>
      </c>
      <c r="H1184" s="56">
        <v>0</v>
      </c>
      <c r="I1184" s="55">
        <f>G1184*H1184</f>
        <v>0</v>
      </c>
      <c r="J1184" s="55">
        <v>0.0004</v>
      </c>
      <c r="K1184" s="55">
        <f>G1184*J1184</f>
        <v>0.03764</v>
      </c>
      <c r="L1184" s="57" t="s">
        <v>785</v>
      </c>
      <c r="Z1184" s="55">
        <f>IF(AQ1184="5",BJ1184,0)</f>
        <v>0</v>
      </c>
      <c r="AB1184" s="55">
        <f>IF(AQ1184="1",BH1184,0)</f>
        <v>0</v>
      </c>
      <c r="AC1184" s="55">
        <f>IF(AQ1184="1",BI1184,0)</f>
        <v>0</v>
      </c>
      <c r="AD1184" s="55">
        <f>IF(AQ1184="7",BH1184,0)</f>
        <v>0</v>
      </c>
      <c r="AE1184" s="55">
        <f>IF(AQ1184="7",BI1184,0)</f>
        <v>0</v>
      </c>
      <c r="AF1184" s="55">
        <f>IF(AQ1184="2",BH1184,0)</f>
        <v>0</v>
      </c>
      <c r="AG1184" s="55">
        <f>IF(AQ1184="2",BI1184,0)</f>
        <v>0</v>
      </c>
      <c r="AH1184" s="55">
        <f>IF(AQ1184="0",BJ1184,0)</f>
        <v>0</v>
      </c>
      <c r="AI1184" s="34" t="s">
        <v>116</v>
      </c>
      <c r="AJ1184" s="55">
        <f>IF(AN1184=0,I1184,0)</f>
        <v>0</v>
      </c>
      <c r="AK1184" s="55">
        <f>IF(AN1184=12,I1184,0)</f>
        <v>0</v>
      </c>
      <c r="AL1184" s="55">
        <f>IF(AN1184=21,I1184,0)</f>
        <v>0</v>
      </c>
      <c r="AN1184" s="55">
        <v>21</v>
      </c>
      <c r="AO1184" s="55">
        <f>H1184*0.999972752</f>
        <v>0</v>
      </c>
      <c r="AP1184" s="55">
        <f>H1184*(1-0.999972752)</f>
        <v>0</v>
      </c>
      <c r="AQ1184" s="58" t="s">
        <v>125</v>
      </c>
      <c r="AV1184" s="55">
        <f>AW1184+AX1184</f>
        <v>0</v>
      </c>
      <c r="AW1184" s="55">
        <f>G1184*AO1184</f>
        <v>0</v>
      </c>
      <c r="AX1184" s="55">
        <f>G1184*AP1184</f>
        <v>0</v>
      </c>
      <c r="AY1184" s="58" t="s">
        <v>2246</v>
      </c>
      <c r="AZ1184" s="58" t="s">
        <v>2247</v>
      </c>
      <c r="BA1184" s="34" t="s">
        <v>128</v>
      </c>
      <c r="BB1184" s="67">
        <v>100024</v>
      </c>
      <c r="BC1184" s="55">
        <f>AW1184+AX1184</f>
        <v>0</v>
      </c>
      <c r="BD1184" s="55">
        <f>H1184/(100-BE1184)*100</f>
        <v>0</v>
      </c>
      <c r="BE1184" s="55">
        <v>0</v>
      </c>
      <c r="BF1184" s="55">
        <f>K1184</f>
        <v>0.03764</v>
      </c>
      <c r="BH1184" s="55">
        <f>G1184*AO1184</f>
        <v>0</v>
      </c>
      <c r="BI1184" s="55">
        <f>G1184*AP1184</f>
        <v>0</v>
      </c>
      <c r="BJ1184" s="55">
        <f>G1184*H1184</f>
        <v>0</v>
      </c>
      <c r="BK1184" s="55"/>
      <c r="BL1184" s="55">
        <v>781</v>
      </c>
      <c r="BW1184" s="55">
        <v>21</v>
      </c>
    </row>
    <row r="1185" spans="1:12" ht="13.5" customHeight="1">
      <c r="A1185" s="59"/>
      <c r="D1185" s="218" t="s">
        <v>2260</v>
      </c>
      <c r="E1185" s="219"/>
      <c r="F1185" s="219"/>
      <c r="G1185" s="219"/>
      <c r="H1185" s="220"/>
      <c r="I1185" s="219"/>
      <c r="J1185" s="219"/>
      <c r="K1185" s="219"/>
      <c r="L1185" s="221"/>
    </row>
    <row r="1186" spans="1:12" ht="14.4">
      <c r="A1186" s="59"/>
      <c r="D1186" s="60" t="s">
        <v>2248</v>
      </c>
      <c r="E1186" s="60" t="s">
        <v>4</v>
      </c>
      <c r="G1186" s="68">
        <v>94.1</v>
      </c>
      <c r="L1186" s="69"/>
    </row>
    <row r="1187" spans="1:75" ht="13.5" customHeight="1">
      <c r="A1187" s="61" t="s">
        <v>2261</v>
      </c>
      <c r="B1187" s="62" t="s">
        <v>116</v>
      </c>
      <c r="C1187" s="62" t="s">
        <v>2262</v>
      </c>
      <c r="D1187" s="224" t="s">
        <v>2263</v>
      </c>
      <c r="E1187" s="225"/>
      <c r="F1187" s="62" t="s">
        <v>729</v>
      </c>
      <c r="G1187" s="63">
        <v>103.51</v>
      </c>
      <c r="H1187" s="64">
        <v>0</v>
      </c>
      <c r="I1187" s="63">
        <f>G1187*H1187</f>
        <v>0</v>
      </c>
      <c r="J1187" s="63">
        <v>0.01943</v>
      </c>
      <c r="K1187" s="63">
        <f>G1187*J1187</f>
        <v>2.0111993</v>
      </c>
      <c r="L1187" s="65" t="s">
        <v>785</v>
      </c>
      <c r="Z1187" s="55">
        <f>IF(AQ1187="5",BJ1187,0)</f>
        <v>0</v>
      </c>
      <c r="AB1187" s="55">
        <f>IF(AQ1187="1",BH1187,0)</f>
        <v>0</v>
      </c>
      <c r="AC1187" s="55">
        <f>IF(AQ1187="1",BI1187,0)</f>
        <v>0</v>
      </c>
      <c r="AD1187" s="55">
        <f>IF(AQ1187="7",BH1187,0)</f>
        <v>0</v>
      </c>
      <c r="AE1187" s="55">
        <f>IF(AQ1187="7",BI1187,0)</f>
        <v>0</v>
      </c>
      <c r="AF1187" s="55">
        <f>IF(AQ1187="2",BH1187,0)</f>
        <v>0</v>
      </c>
      <c r="AG1187" s="55">
        <f>IF(AQ1187="2",BI1187,0)</f>
        <v>0</v>
      </c>
      <c r="AH1187" s="55">
        <f>IF(AQ1187="0",BJ1187,0)</f>
        <v>0</v>
      </c>
      <c r="AI1187" s="34" t="s">
        <v>116</v>
      </c>
      <c r="AJ1187" s="63">
        <f>IF(AN1187=0,I1187,0)</f>
        <v>0</v>
      </c>
      <c r="AK1187" s="63">
        <f>IF(AN1187=12,I1187,0)</f>
        <v>0</v>
      </c>
      <c r="AL1187" s="63">
        <f>IF(AN1187=21,I1187,0)</f>
        <v>0</v>
      </c>
      <c r="AN1187" s="55">
        <v>21</v>
      </c>
      <c r="AO1187" s="55">
        <f>H1187*1</f>
        <v>0</v>
      </c>
      <c r="AP1187" s="55">
        <f>H1187*(1-1)</f>
        <v>0</v>
      </c>
      <c r="AQ1187" s="66" t="s">
        <v>125</v>
      </c>
      <c r="AV1187" s="55">
        <f>AW1187+AX1187</f>
        <v>0</v>
      </c>
      <c r="AW1187" s="55">
        <f>G1187*AO1187</f>
        <v>0</v>
      </c>
      <c r="AX1187" s="55">
        <f>G1187*AP1187</f>
        <v>0</v>
      </c>
      <c r="AY1187" s="58" t="s">
        <v>2246</v>
      </c>
      <c r="AZ1187" s="58" t="s">
        <v>2247</v>
      </c>
      <c r="BA1187" s="34" t="s">
        <v>128</v>
      </c>
      <c r="BC1187" s="55">
        <f>AW1187+AX1187</f>
        <v>0</v>
      </c>
      <c r="BD1187" s="55">
        <f>H1187/(100-BE1187)*100</f>
        <v>0</v>
      </c>
      <c r="BE1187" s="55">
        <v>0</v>
      </c>
      <c r="BF1187" s="55">
        <f>K1187</f>
        <v>2.0111993</v>
      </c>
      <c r="BH1187" s="63">
        <f>G1187*AO1187</f>
        <v>0</v>
      </c>
      <c r="BI1187" s="63">
        <f>G1187*AP1187</f>
        <v>0</v>
      </c>
      <c r="BJ1187" s="63">
        <f>G1187*H1187</f>
        <v>0</v>
      </c>
      <c r="BK1187" s="63"/>
      <c r="BL1187" s="55">
        <v>781</v>
      </c>
      <c r="BW1187" s="55">
        <v>21</v>
      </c>
    </row>
    <row r="1188" spans="1:12" ht="14.4">
      <c r="A1188" s="59"/>
      <c r="D1188" s="60" t="s">
        <v>2248</v>
      </c>
      <c r="E1188" s="60" t="s">
        <v>2264</v>
      </c>
      <c r="G1188" s="68">
        <v>94.1</v>
      </c>
      <c r="L1188" s="69"/>
    </row>
    <row r="1189" spans="1:12" ht="14.4">
      <c r="A1189" s="59"/>
      <c r="D1189" s="60" t="s">
        <v>2265</v>
      </c>
      <c r="E1189" s="60" t="s">
        <v>4</v>
      </c>
      <c r="G1189" s="68">
        <v>9.41</v>
      </c>
      <c r="L1189" s="69"/>
    </row>
    <row r="1190" spans="1:75" ht="13.5" customHeight="1">
      <c r="A1190" s="1" t="s">
        <v>2266</v>
      </c>
      <c r="B1190" s="2" t="s">
        <v>116</v>
      </c>
      <c r="C1190" s="2" t="s">
        <v>2267</v>
      </c>
      <c r="D1190" s="147" t="s">
        <v>2268</v>
      </c>
      <c r="E1190" s="148"/>
      <c r="F1190" s="2" t="s">
        <v>939</v>
      </c>
      <c r="G1190" s="55">
        <v>2.54</v>
      </c>
      <c r="H1190" s="56">
        <v>0</v>
      </c>
      <c r="I1190" s="55">
        <f>G1190*H1190</f>
        <v>0</v>
      </c>
      <c r="J1190" s="55">
        <v>0</v>
      </c>
      <c r="K1190" s="55">
        <f>G1190*J1190</f>
        <v>0</v>
      </c>
      <c r="L1190" s="57" t="s">
        <v>785</v>
      </c>
      <c r="Z1190" s="55">
        <f>IF(AQ1190="5",BJ1190,0)</f>
        <v>0</v>
      </c>
      <c r="AB1190" s="55">
        <f>IF(AQ1190="1",BH1190,0)</f>
        <v>0</v>
      </c>
      <c r="AC1190" s="55">
        <f>IF(AQ1190="1",BI1190,0)</f>
        <v>0</v>
      </c>
      <c r="AD1190" s="55">
        <f>IF(AQ1190="7",BH1190,0)</f>
        <v>0</v>
      </c>
      <c r="AE1190" s="55">
        <f>IF(AQ1190="7",BI1190,0)</f>
        <v>0</v>
      </c>
      <c r="AF1190" s="55">
        <f>IF(AQ1190="2",BH1190,0)</f>
        <v>0</v>
      </c>
      <c r="AG1190" s="55">
        <f>IF(AQ1190="2",BI1190,0)</f>
        <v>0</v>
      </c>
      <c r="AH1190" s="55">
        <f>IF(AQ1190="0",BJ1190,0)</f>
        <v>0</v>
      </c>
      <c r="AI1190" s="34" t="s">
        <v>116</v>
      </c>
      <c r="AJ1190" s="55">
        <f>IF(AN1190=0,I1190,0)</f>
        <v>0</v>
      </c>
      <c r="AK1190" s="55">
        <f>IF(AN1190=12,I1190,0)</f>
        <v>0</v>
      </c>
      <c r="AL1190" s="55">
        <f>IF(AN1190=21,I1190,0)</f>
        <v>0</v>
      </c>
      <c r="AN1190" s="55">
        <v>21</v>
      </c>
      <c r="AO1190" s="55">
        <f>H1190*0</f>
        <v>0</v>
      </c>
      <c r="AP1190" s="55">
        <f>H1190*(1-0)</f>
        <v>0</v>
      </c>
      <c r="AQ1190" s="58" t="s">
        <v>139</v>
      </c>
      <c r="AV1190" s="55">
        <f>AW1190+AX1190</f>
        <v>0</v>
      </c>
      <c r="AW1190" s="55">
        <f>G1190*AO1190</f>
        <v>0</v>
      </c>
      <c r="AX1190" s="55">
        <f>G1190*AP1190</f>
        <v>0</v>
      </c>
      <c r="AY1190" s="58" t="s">
        <v>2246</v>
      </c>
      <c r="AZ1190" s="58" t="s">
        <v>2247</v>
      </c>
      <c r="BA1190" s="34" t="s">
        <v>128</v>
      </c>
      <c r="BC1190" s="55">
        <f>AW1190+AX1190</f>
        <v>0</v>
      </c>
      <c r="BD1190" s="55">
        <f>H1190/(100-BE1190)*100</f>
        <v>0</v>
      </c>
      <c r="BE1190" s="55">
        <v>0</v>
      </c>
      <c r="BF1190" s="55">
        <f>K1190</f>
        <v>0</v>
      </c>
      <c r="BH1190" s="55">
        <f>G1190*AO1190</f>
        <v>0</v>
      </c>
      <c r="BI1190" s="55">
        <f>G1190*AP1190</f>
        <v>0</v>
      </c>
      <c r="BJ1190" s="55">
        <f>G1190*H1190</f>
        <v>0</v>
      </c>
      <c r="BK1190" s="55"/>
      <c r="BL1190" s="55">
        <v>781</v>
      </c>
      <c r="BW1190" s="55">
        <v>21</v>
      </c>
    </row>
    <row r="1191" spans="1:12" ht="14.4">
      <c r="A1191" s="59"/>
      <c r="D1191" s="60" t="s">
        <v>2269</v>
      </c>
      <c r="E1191" s="60" t="s">
        <v>4</v>
      </c>
      <c r="G1191" s="68">
        <v>2.54</v>
      </c>
      <c r="L1191" s="69"/>
    </row>
    <row r="1192" spans="1:47" ht="14.4">
      <c r="A1192" s="50" t="s">
        <v>4</v>
      </c>
      <c r="B1192" s="51" t="s">
        <v>116</v>
      </c>
      <c r="C1192" s="51" t="s">
        <v>2270</v>
      </c>
      <c r="D1192" s="222" t="s">
        <v>2271</v>
      </c>
      <c r="E1192" s="223"/>
      <c r="F1192" s="52" t="s">
        <v>79</v>
      </c>
      <c r="G1192" s="52" t="s">
        <v>79</v>
      </c>
      <c r="H1192" s="53" t="s">
        <v>79</v>
      </c>
      <c r="I1192" s="27">
        <f>SUM(I1193:I1201)</f>
        <v>0</v>
      </c>
      <c r="J1192" s="34" t="s">
        <v>4</v>
      </c>
      <c r="K1192" s="27">
        <f>SUM(K1193:K1201)</f>
        <v>0.666632</v>
      </c>
      <c r="L1192" s="54" t="s">
        <v>4</v>
      </c>
      <c r="AI1192" s="34" t="s">
        <v>116</v>
      </c>
      <c r="AS1192" s="27">
        <f>SUM(AJ1193:AJ1201)</f>
        <v>0</v>
      </c>
      <c r="AT1192" s="27">
        <f>SUM(AK1193:AK1201)</f>
        <v>0</v>
      </c>
      <c r="AU1192" s="27">
        <f>SUM(AL1193:AL1201)</f>
        <v>0</v>
      </c>
    </row>
    <row r="1193" spans="1:75" ht="13.5" customHeight="1">
      <c r="A1193" s="1" t="s">
        <v>2272</v>
      </c>
      <c r="B1193" s="2" t="s">
        <v>116</v>
      </c>
      <c r="C1193" s="2" t="s">
        <v>2273</v>
      </c>
      <c r="D1193" s="147" t="s">
        <v>2274</v>
      </c>
      <c r="E1193" s="148"/>
      <c r="F1193" s="2" t="s">
        <v>729</v>
      </c>
      <c r="G1193" s="55">
        <v>4011</v>
      </c>
      <c r="H1193" s="56">
        <v>0</v>
      </c>
      <c r="I1193" s="55">
        <f>G1193*H1193</f>
        <v>0</v>
      </c>
      <c r="J1193" s="55">
        <v>0.00016</v>
      </c>
      <c r="K1193" s="55">
        <f>G1193*J1193</f>
        <v>0.64176</v>
      </c>
      <c r="L1193" s="57" t="s">
        <v>785</v>
      </c>
      <c r="Z1193" s="55">
        <f>IF(AQ1193="5",BJ1193,0)</f>
        <v>0</v>
      </c>
      <c r="AB1193" s="55">
        <f>IF(AQ1193="1",BH1193,0)</f>
        <v>0</v>
      </c>
      <c r="AC1193" s="55">
        <f>IF(AQ1193="1",BI1193,0)</f>
        <v>0</v>
      </c>
      <c r="AD1193" s="55">
        <f>IF(AQ1193="7",BH1193,0)</f>
        <v>0</v>
      </c>
      <c r="AE1193" s="55">
        <f>IF(AQ1193="7",BI1193,0)</f>
        <v>0</v>
      </c>
      <c r="AF1193" s="55">
        <f>IF(AQ1193="2",BH1193,0)</f>
        <v>0</v>
      </c>
      <c r="AG1193" s="55">
        <f>IF(AQ1193="2",BI1193,0)</f>
        <v>0</v>
      </c>
      <c r="AH1193" s="55">
        <f>IF(AQ1193="0",BJ1193,0)</f>
        <v>0</v>
      </c>
      <c r="AI1193" s="34" t="s">
        <v>116</v>
      </c>
      <c r="AJ1193" s="55">
        <f>IF(AN1193=0,I1193,0)</f>
        <v>0</v>
      </c>
      <c r="AK1193" s="55">
        <f>IF(AN1193=12,I1193,0)</f>
        <v>0</v>
      </c>
      <c r="AL1193" s="55">
        <f>IF(AN1193=21,I1193,0)</f>
        <v>0</v>
      </c>
      <c r="AN1193" s="55">
        <v>21</v>
      </c>
      <c r="AO1193" s="55">
        <f>H1193*0.111507461</f>
        <v>0</v>
      </c>
      <c r="AP1193" s="55">
        <f>H1193*(1-0.111507461)</f>
        <v>0</v>
      </c>
      <c r="AQ1193" s="58" t="s">
        <v>125</v>
      </c>
      <c r="AV1193" s="55">
        <f>AW1193+AX1193</f>
        <v>0</v>
      </c>
      <c r="AW1193" s="55">
        <f>G1193*AO1193</f>
        <v>0</v>
      </c>
      <c r="AX1193" s="55">
        <f>G1193*AP1193</f>
        <v>0</v>
      </c>
      <c r="AY1193" s="58" t="s">
        <v>2275</v>
      </c>
      <c r="AZ1193" s="58" t="s">
        <v>2247</v>
      </c>
      <c r="BA1193" s="34" t="s">
        <v>128</v>
      </c>
      <c r="BB1193" s="67">
        <v>100029</v>
      </c>
      <c r="BC1193" s="55">
        <f>AW1193+AX1193</f>
        <v>0</v>
      </c>
      <c r="BD1193" s="55">
        <f>H1193/(100-BE1193)*100</f>
        <v>0</v>
      </c>
      <c r="BE1193" s="55">
        <v>0</v>
      </c>
      <c r="BF1193" s="55">
        <f>K1193</f>
        <v>0.64176</v>
      </c>
      <c r="BH1193" s="55">
        <f>G1193*AO1193</f>
        <v>0</v>
      </c>
      <c r="BI1193" s="55">
        <f>G1193*AP1193</f>
        <v>0</v>
      </c>
      <c r="BJ1193" s="55">
        <f>G1193*H1193</f>
        <v>0</v>
      </c>
      <c r="BK1193" s="55"/>
      <c r="BL1193" s="55">
        <v>783</v>
      </c>
      <c r="BW1193" s="55">
        <v>21</v>
      </c>
    </row>
    <row r="1194" spans="1:12" ht="14.4">
      <c r="A1194" s="59"/>
      <c r="D1194" s="60" t="s">
        <v>2276</v>
      </c>
      <c r="E1194" s="60" t="s">
        <v>4</v>
      </c>
      <c r="G1194" s="68">
        <v>4011</v>
      </c>
      <c r="L1194" s="69"/>
    </row>
    <row r="1195" spans="1:75" ht="13.5" customHeight="1">
      <c r="A1195" s="1" t="s">
        <v>2277</v>
      </c>
      <c r="B1195" s="2" t="s">
        <v>116</v>
      </c>
      <c r="C1195" s="2" t="s">
        <v>2278</v>
      </c>
      <c r="D1195" s="147" t="s">
        <v>2279</v>
      </c>
      <c r="E1195" s="148"/>
      <c r="F1195" s="2" t="s">
        <v>729</v>
      </c>
      <c r="G1195" s="55">
        <v>29.6</v>
      </c>
      <c r="H1195" s="56">
        <v>0</v>
      </c>
      <c r="I1195" s="55">
        <f>G1195*H1195</f>
        <v>0</v>
      </c>
      <c r="J1195" s="55">
        <v>8E-05</v>
      </c>
      <c r="K1195" s="55">
        <f>G1195*J1195</f>
        <v>0.0023680000000000003</v>
      </c>
      <c r="L1195" s="57" t="s">
        <v>785</v>
      </c>
      <c r="Z1195" s="55">
        <f>IF(AQ1195="5",BJ1195,0)</f>
        <v>0</v>
      </c>
      <c r="AB1195" s="55">
        <f>IF(AQ1195="1",BH1195,0)</f>
        <v>0</v>
      </c>
      <c r="AC1195" s="55">
        <f>IF(AQ1195="1",BI1195,0)</f>
        <v>0</v>
      </c>
      <c r="AD1195" s="55">
        <f>IF(AQ1195="7",BH1195,0)</f>
        <v>0</v>
      </c>
      <c r="AE1195" s="55">
        <f>IF(AQ1195="7",BI1195,0)</f>
        <v>0</v>
      </c>
      <c r="AF1195" s="55">
        <f>IF(AQ1195="2",BH1195,0)</f>
        <v>0</v>
      </c>
      <c r="AG1195" s="55">
        <f>IF(AQ1195="2",BI1195,0)</f>
        <v>0</v>
      </c>
      <c r="AH1195" s="55">
        <f>IF(AQ1195="0",BJ1195,0)</f>
        <v>0</v>
      </c>
      <c r="AI1195" s="34" t="s">
        <v>116</v>
      </c>
      <c r="AJ1195" s="55">
        <f>IF(AN1195=0,I1195,0)</f>
        <v>0</v>
      </c>
      <c r="AK1195" s="55">
        <f>IF(AN1195=12,I1195,0)</f>
        <v>0</v>
      </c>
      <c r="AL1195" s="55">
        <f>IF(AN1195=21,I1195,0)</f>
        <v>0</v>
      </c>
      <c r="AN1195" s="55">
        <v>21</v>
      </c>
      <c r="AO1195" s="55">
        <f>H1195*0.133666962</f>
        <v>0</v>
      </c>
      <c r="AP1195" s="55">
        <f>H1195*(1-0.133666962)</f>
        <v>0</v>
      </c>
      <c r="AQ1195" s="58" t="s">
        <v>125</v>
      </c>
      <c r="AV1195" s="55">
        <f>AW1195+AX1195</f>
        <v>0</v>
      </c>
      <c r="AW1195" s="55">
        <f>G1195*AO1195</f>
        <v>0</v>
      </c>
      <c r="AX1195" s="55">
        <f>G1195*AP1195</f>
        <v>0</v>
      </c>
      <c r="AY1195" s="58" t="s">
        <v>2275</v>
      </c>
      <c r="AZ1195" s="58" t="s">
        <v>2247</v>
      </c>
      <c r="BA1195" s="34" t="s">
        <v>128</v>
      </c>
      <c r="BB1195" s="67">
        <v>100029</v>
      </c>
      <c r="BC1195" s="55">
        <f>AW1195+AX1195</f>
        <v>0</v>
      </c>
      <c r="BD1195" s="55">
        <f>H1195/(100-BE1195)*100</f>
        <v>0</v>
      </c>
      <c r="BE1195" s="55">
        <v>0</v>
      </c>
      <c r="BF1195" s="55">
        <f>K1195</f>
        <v>0.0023680000000000003</v>
      </c>
      <c r="BH1195" s="55">
        <f>G1195*AO1195</f>
        <v>0</v>
      </c>
      <c r="BI1195" s="55">
        <f>G1195*AP1195</f>
        <v>0</v>
      </c>
      <c r="BJ1195" s="55">
        <f>G1195*H1195</f>
        <v>0</v>
      </c>
      <c r="BK1195" s="55"/>
      <c r="BL1195" s="55">
        <v>783</v>
      </c>
      <c r="BW1195" s="55">
        <v>21</v>
      </c>
    </row>
    <row r="1196" spans="1:12" ht="14.4">
      <c r="A1196" s="59"/>
      <c r="D1196" s="60" t="s">
        <v>2280</v>
      </c>
      <c r="E1196" s="60" t="s">
        <v>4</v>
      </c>
      <c r="G1196" s="68">
        <v>29.6</v>
      </c>
      <c r="L1196" s="69"/>
    </row>
    <row r="1197" spans="1:75" ht="13.5" customHeight="1">
      <c r="A1197" s="1" t="s">
        <v>2281</v>
      </c>
      <c r="B1197" s="2" t="s">
        <v>116</v>
      </c>
      <c r="C1197" s="2" t="s">
        <v>2282</v>
      </c>
      <c r="D1197" s="147" t="s">
        <v>2283</v>
      </c>
      <c r="E1197" s="148"/>
      <c r="F1197" s="2" t="s">
        <v>729</v>
      </c>
      <c r="G1197" s="55">
        <v>29.6</v>
      </c>
      <c r="H1197" s="56">
        <v>0</v>
      </c>
      <c r="I1197" s="55">
        <f>G1197*H1197</f>
        <v>0</v>
      </c>
      <c r="J1197" s="55">
        <v>0.00028</v>
      </c>
      <c r="K1197" s="55">
        <f>G1197*J1197</f>
        <v>0.008288</v>
      </c>
      <c r="L1197" s="57" t="s">
        <v>785</v>
      </c>
      <c r="Z1197" s="55">
        <f>IF(AQ1197="5",BJ1197,0)</f>
        <v>0</v>
      </c>
      <c r="AB1197" s="55">
        <f>IF(AQ1197="1",BH1197,0)</f>
        <v>0</v>
      </c>
      <c r="AC1197" s="55">
        <f>IF(AQ1197="1",BI1197,0)</f>
        <v>0</v>
      </c>
      <c r="AD1197" s="55">
        <f>IF(AQ1197="7",BH1197,0)</f>
        <v>0</v>
      </c>
      <c r="AE1197" s="55">
        <f>IF(AQ1197="7",BI1197,0)</f>
        <v>0</v>
      </c>
      <c r="AF1197" s="55">
        <f>IF(AQ1197="2",BH1197,0)</f>
        <v>0</v>
      </c>
      <c r="AG1197" s="55">
        <f>IF(AQ1197="2",BI1197,0)</f>
        <v>0</v>
      </c>
      <c r="AH1197" s="55">
        <f>IF(AQ1197="0",BJ1197,0)</f>
        <v>0</v>
      </c>
      <c r="AI1197" s="34" t="s">
        <v>116</v>
      </c>
      <c r="AJ1197" s="55">
        <f>IF(AN1197=0,I1197,0)</f>
        <v>0</v>
      </c>
      <c r="AK1197" s="55">
        <f>IF(AN1197=12,I1197,0)</f>
        <v>0</v>
      </c>
      <c r="AL1197" s="55">
        <f>IF(AN1197=21,I1197,0)</f>
        <v>0</v>
      </c>
      <c r="AN1197" s="55">
        <v>21</v>
      </c>
      <c r="AO1197" s="55">
        <f>H1197*0.195233415</f>
        <v>0</v>
      </c>
      <c r="AP1197" s="55">
        <f>H1197*(1-0.195233415)</f>
        <v>0</v>
      </c>
      <c r="AQ1197" s="58" t="s">
        <v>125</v>
      </c>
      <c r="AV1197" s="55">
        <f>AW1197+AX1197</f>
        <v>0</v>
      </c>
      <c r="AW1197" s="55">
        <f>G1197*AO1197</f>
        <v>0</v>
      </c>
      <c r="AX1197" s="55">
        <f>G1197*AP1197</f>
        <v>0</v>
      </c>
      <c r="AY1197" s="58" t="s">
        <v>2275</v>
      </c>
      <c r="AZ1197" s="58" t="s">
        <v>2247</v>
      </c>
      <c r="BA1197" s="34" t="s">
        <v>128</v>
      </c>
      <c r="BB1197" s="67">
        <v>100029</v>
      </c>
      <c r="BC1197" s="55">
        <f>AW1197+AX1197</f>
        <v>0</v>
      </c>
      <c r="BD1197" s="55">
        <f>H1197/(100-BE1197)*100</f>
        <v>0</v>
      </c>
      <c r="BE1197" s="55">
        <v>0</v>
      </c>
      <c r="BF1197" s="55">
        <f>K1197</f>
        <v>0.008288</v>
      </c>
      <c r="BH1197" s="55">
        <f>G1197*AO1197</f>
        <v>0</v>
      </c>
      <c r="BI1197" s="55">
        <f>G1197*AP1197</f>
        <v>0</v>
      </c>
      <c r="BJ1197" s="55">
        <f>G1197*H1197</f>
        <v>0</v>
      </c>
      <c r="BK1197" s="55"/>
      <c r="BL1197" s="55">
        <v>783</v>
      </c>
      <c r="BW1197" s="55">
        <v>21</v>
      </c>
    </row>
    <row r="1198" spans="1:12" ht="14.4">
      <c r="A1198" s="59"/>
      <c r="D1198" s="60" t="s">
        <v>2280</v>
      </c>
      <c r="E1198" s="60" t="s">
        <v>4</v>
      </c>
      <c r="G1198" s="68">
        <v>29.6</v>
      </c>
      <c r="L1198" s="69"/>
    </row>
    <row r="1199" spans="1:75" ht="13.5" customHeight="1">
      <c r="A1199" s="1" t="s">
        <v>2284</v>
      </c>
      <c r="B1199" s="2" t="s">
        <v>116</v>
      </c>
      <c r="C1199" s="2" t="s">
        <v>2285</v>
      </c>
      <c r="D1199" s="147" t="s">
        <v>2286</v>
      </c>
      <c r="E1199" s="148"/>
      <c r="F1199" s="2" t="s">
        <v>729</v>
      </c>
      <c r="G1199" s="55">
        <v>54.9</v>
      </c>
      <c r="H1199" s="56">
        <v>0</v>
      </c>
      <c r="I1199" s="55">
        <f>G1199*H1199</f>
        <v>0</v>
      </c>
      <c r="J1199" s="55">
        <v>7E-05</v>
      </c>
      <c r="K1199" s="55">
        <f>G1199*J1199</f>
        <v>0.0038429999999999996</v>
      </c>
      <c r="L1199" s="57" t="s">
        <v>785</v>
      </c>
      <c r="Z1199" s="55">
        <f>IF(AQ1199="5",BJ1199,0)</f>
        <v>0</v>
      </c>
      <c r="AB1199" s="55">
        <f>IF(AQ1199="1",BH1199,0)</f>
        <v>0</v>
      </c>
      <c r="AC1199" s="55">
        <f>IF(AQ1199="1",BI1199,0)</f>
        <v>0</v>
      </c>
      <c r="AD1199" s="55">
        <f>IF(AQ1199="7",BH1199,0)</f>
        <v>0</v>
      </c>
      <c r="AE1199" s="55">
        <f>IF(AQ1199="7",BI1199,0)</f>
        <v>0</v>
      </c>
      <c r="AF1199" s="55">
        <f>IF(AQ1199="2",BH1199,0)</f>
        <v>0</v>
      </c>
      <c r="AG1199" s="55">
        <f>IF(AQ1199="2",BI1199,0)</f>
        <v>0</v>
      </c>
      <c r="AH1199" s="55">
        <f>IF(AQ1199="0",BJ1199,0)</f>
        <v>0</v>
      </c>
      <c r="AI1199" s="34" t="s">
        <v>116</v>
      </c>
      <c r="AJ1199" s="55">
        <f>IF(AN1199=0,I1199,0)</f>
        <v>0</v>
      </c>
      <c r="AK1199" s="55">
        <f>IF(AN1199=12,I1199,0)</f>
        <v>0</v>
      </c>
      <c r="AL1199" s="55">
        <f>IF(AN1199=21,I1199,0)</f>
        <v>0</v>
      </c>
      <c r="AN1199" s="55">
        <v>21</v>
      </c>
      <c r="AO1199" s="55">
        <f>H1199*0.10307561</f>
        <v>0</v>
      </c>
      <c r="AP1199" s="55">
        <f>H1199*(1-0.10307561)</f>
        <v>0</v>
      </c>
      <c r="AQ1199" s="58" t="s">
        <v>125</v>
      </c>
      <c r="AV1199" s="55">
        <f>AW1199+AX1199</f>
        <v>0</v>
      </c>
      <c r="AW1199" s="55">
        <f>G1199*AO1199</f>
        <v>0</v>
      </c>
      <c r="AX1199" s="55">
        <f>G1199*AP1199</f>
        <v>0</v>
      </c>
      <c r="AY1199" s="58" t="s">
        <v>2275</v>
      </c>
      <c r="AZ1199" s="58" t="s">
        <v>2247</v>
      </c>
      <c r="BA1199" s="34" t="s">
        <v>128</v>
      </c>
      <c r="BB1199" s="67">
        <v>100029</v>
      </c>
      <c r="BC1199" s="55">
        <f>AW1199+AX1199</f>
        <v>0</v>
      </c>
      <c r="BD1199" s="55">
        <f>H1199/(100-BE1199)*100</f>
        <v>0</v>
      </c>
      <c r="BE1199" s="55">
        <v>0</v>
      </c>
      <c r="BF1199" s="55">
        <f>K1199</f>
        <v>0.0038429999999999996</v>
      </c>
      <c r="BH1199" s="55">
        <f>G1199*AO1199</f>
        <v>0</v>
      </c>
      <c r="BI1199" s="55">
        <f>G1199*AP1199</f>
        <v>0</v>
      </c>
      <c r="BJ1199" s="55">
        <f>G1199*H1199</f>
        <v>0</v>
      </c>
      <c r="BK1199" s="55"/>
      <c r="BL1199" s="55">
        <v>783</v>
      </c>
      <c r="BW1199" s="55">
        <v>21</v>
      </c>
    </row>
    <row r="1200" spans="1:12" ht="14.4">
      <c r="A1200" s="59"/>
      <c r="D1200" s="60" t="s">
        <v>2287</v>
      </c>
      <c r="E1200" s="60" t="s">
        <v>4</v>
      </c>
      <c r="G1200" s="68">
        <v>54.9</v>
      </c>
      <c r="L1200" s="69"/>
    </row>
    <row r="1201" spans="1:75" ht="13.5" customHeight="1">
      <c r="A1201" s="1" t="s">
        <v>2288</v>
      </c>
      <c r="B1201" s="2" t="s">
        <v>116</v>
      </c>
      <c r="C1201" s="2" t="s">
        <v>2289</v>
      </c>
      <c r="D1201" s="147" t="s">
        <v>2290</v>
      </c>
      <c r="E1201" s="148"/>
      <c r="F1201" s="2" t="s">
        <v>729</v>
      </c>
      <c r="G1201" s="55">
        <v>25.3</v>
      </c>
      <c r="H1201" s="56">
        <v>0</v>
      </c>
      <c r="I1201" s="55">
        <f>G1201*H1201</f>
        <v>0</v>
      </c>
      <c r="J1201" s="55">
        <v>0.00041</v>
      </c>
      <c r="K1201" s="55">
        <f>G1201*J1201</f>
        <v>0.010373</v>
      </c>
      <c r="L1201" s="57" t="s">
        <v>785</v>
      </c>
      <c r="Z1201" s="55">
        <f>IF(AQ1201="5",BJ1201,0)</f>
        <v>0</v>
      </c>
      <c r="AB1201" s="55">
        <f>IF(AQ1201="1",BH1201,0)</f>
        <v>0</v>
      </c>
      <c r="AC1201" s="55">
        <f>IF(AQ1201="1",BI1201,0)</f>
        <v>0</v>
      </c>
      <c r="AD1201" s="55">
        <f>IF(AQ1201="7",BH1201,0)</f>
        <v>0</v>
      </c>
      <c r="AE1201" s="55">
        <f>IF(AQ1201="7",BI1201,0)</f>
        <v>0</v>
      </c>
      <c r="AF1201" s="55">
        <f>IF(AQ1201="2",BH1201,0)</f>
        <v>0</v>
      </c>
      <c r="AG1201" s="55">
        <f>IF(AQ1201="2",BI1201,0)</f>
        <v>0</v>
      </c>
      <c r="AH1201" s="55">
        <f>IF(AQ1201="0",BJ1201,0)</f>
        <v>0</v>
      </c>
      <c r="AI1201" s="34" t="s">
        <v>116</v>
      </c>
      <c r="AJ1201" s="55">
        <f>IF(AN1201=0,I1201,0)</f>
        <v>0</v>
      </c>
      <c r="AK1201" s="55">
        <f>IF(AN1201=12,I1201,0)</f>
        <v>0</v>
      </c>
      <c r="AL1201" s="55">
        <f>IF(AN1201=21,I1201,0)</f>
        <v>0</v>
      </c>
      <c r="AN1201" s="55">
        <v>21</v>
      </c>
      <c r="AO1201" s="55">
        <f>H1201*0.372450573</f>
        <v>0</v>
      </c>
      <c r="AP1201" s="55">
        <f>H1201*(1-0.372450573)</f>
        <v>0</v>
      </c>
      <c r="AQ1201" s="58" t="s">
        <v>125</v>
      </c>
      <c r="AV1201" s="55">
        <f>AW1201+AX1201</f>
        <v>0</v>
      </c>
      <c r="AW1201" s="55">
        <f>G1201*AO1201</f>
        <v>0</v>
      </c>
      <c r="AX1201" s="55">
        <f>G1201*AP1201</f>
        <v>0</v>
      </c>
      <c r="AY1201" s="58" t="s">
        <v>2275</v>
      </c>
      <c r="AZ1201" s="58" t="s">
        <v>2247</v>
      </c>
      <c r="BA1201" s="34" t="s">
        <v>128</v>
      </c>
      <c r="BB1201" s="67">
        <v>100029</v>
      </c>
      <c r="BC1201" s="55">
        <f>AW1201+AX1201</f>
        <v>0</v>
      </c>
      <c r="BD1201" s="55">
        <f>H1201/(100-BE1201)*100</f>
        <v>0</v>
      </c>
      <c r="BE1201" s="55">
        <v>0</v>
      </c>
      <c r="BF1201" s="55">
        <f>K1201</f>
        <v>0.010373</v>
      </c>
      <c r="BH1201" s="55">
        <f>G1201*AO1201</f>
        <v>0</v>
      </c>
      <c r="BI1201" s="55">
        <f>G1201*AP1201</f>
        <v>0</v>
      </c>
      <c r="BJ1201" s="55">
        <f>G1201*H1201</f>
        <v>0</v>
      </c>
      <c r="BK1201" s="55"/>
      <c r="BL1201" s="55">
        <v>783</v>
      </c>
      <c r="BW1201" s="55">
        <v>21</v>
      </c>
    </row>
    <row r="1202" spans="1:12" ht="13.5" customHeight="1">
      <c r="A1202" s="59"/>
      <c r="D1202" s="218" t="s">
        <v>2291</v>
      </c>
      <c r="E1202" s="219"/>
      <c r="F1202" s="219"/>
      <c r="G1202" s="219"/>
      <c r="H1202" s="220"/>
      <c r="I1202" s="219"/>
      <c r="J1202" s="219"/>
      <c r="K1202" s="219"/>
      <c r="L1202" s="221"/>
    </row>
    <row r="1203" spans="1:12" ht="14.4">
      <c r="A1203" s="59"/>
      <c r="D1203" s="60" t="s">
        <v>2292</v>
      </c>
      <c r="E1203" s="60" t="s">
        <v>4</v>
      </c>
      <c r="G1203" s="68">
        <v>25.3</v>
      </c>
      <c r="L1203" s="69"/>
    </row>
    <row r="1204" spans="1:47" ht="14.4">
      <c r="A1204" s="50" t="s">
        <v>4</v>
      </c>
      <c r="B1204" s="51" t="s">
        <v>116</v>
      </c>
      <c r="C1204" s="51" t="s">
        <v>2293</v>
      </c>
      <c r="D1204" s="222" t="s">
        <v>2294</v>
      </c>
      <c r="E1204" s="223"/>
      <c r="F1204" s="52" t="s">
        <v>79</v>
      </c>
      <c r="G1204" s="52" t="s">
        <v>79</v>
      </c>
      <c r="H1204" s="53" t="s">
        <v>79</v>
      </c>
      <c r="I1204" s="27">
        <f>SUM(I1205:I1212)</f>
        <v>0</v>
      </c>
      <c r="J1204" s="34" t="s">
        <v>4</v>
      </c>
      <c r="K1204" s="27">
        <f>SUM(K1205:K1212)</f>
        <v>0.207095</v>
      </c>
      <c r="L1204" s="54" t="s">
        <v>4</v>
      </c>
      <c r="AI1204" s="34" t="s">
        <v>116</v>
      </c>
      <c r="AS1204" s="27">
        <f>SUM(AJ1205:AJ1212)</f>
        <v>0</v>
      </c>
      <c r="AT1204" s="27">
        <f>SUM(AK1205:AK1212)</f>
        <v>0</v>
      </c>
      <c r="AU1204" s="27">
        <f>SUM(AL1205:AL1212)</f>
        <v>0</v>
      </c>
    </row>
    <row r="1205" spans="1:75" ht="13.5" customHeight="1">
      <c r="A1205" s="1" t="s">
        <v>2295</v>
      </c>
      <c r="B1205" s="2" t="s">
        <v>116</v>
      </c>
      <c r="C1205" s="2" t="s">
        <v>2296</v>
      </c>
      <c r="D1205" s="147" t="s">
        <v>2297</v>
      </c>
      <c r="E1205" s="148"/>
      <c r="F1205" s="2" t="s">
        <v>729</v>
      </c>
      <c r="G1205" s="55">
        <v>1010.9</v>
      </c>
      <c r="H1205" s="56">
        <v>0</v>
      </c>
      <c r="I1205" s="55">
        <f>G1205*H1205</f>
        <v>0</v>
      </c>
      <c r="J1205" s="55">
        <v>5E-05</v>
      </c>
      <c r="K1205" s="55">
        <f>G1205*J1205</f>
        <v>0.050545</v>
      </c>
      <c r="L1205" s="57" t="s">
        <v>785</v>
      </c>
      <c r="Z1205" s="55">
        <f>IF(AQ1205="5",BJ1205,0)</f>
        <v>0</v>
      </c>
      <c r="AB1205" s="55">
        <f>IF(AQ1205="1",BH1205,0)</f>
        <v>0</v>
      </c>
      <c r="AC1205" s="55">
        <f>IF(AQ1205="1",BI1205,0)</f>
        <v>0</v>
      </c>
      <c r="AD1205" s="55">
        <f>IF(AQ1205="7",BH1205,0)</f>
        <v>0</v>
      </c>
      <c r="AE1205" s="55">
        <f>IF(AQ1205="7",BI1205,0)</f>
        <v>0</v>
      </c>
      <c r="AF1205" s="55">
        <f>IF(AQ1205="2",BH1205,0)</f>
        <v>0</v>
      </c>
      <c r="AG1205" s="55">
        <f>IF(AQ1205="2",BI1205,0)</f>
        <v>0</v>
      </c>
      <c r="AH1205" s="55">
        <f>IF(AQ1205="0",BJ1205,0)</f>
        <v>0</v>
      </c>
      <c r="AI1205" s="34" t="s">
        <v>116</v>
      </c>
      <c r="AJ1205" s="55">
        <f>IF(AN1205=0,I1205,0)</f>
        <v>0</v>
      </c>
      <c r="AK1205" s="55">
        <f>IF(AN1205=12,I1205,0)</f>
        <v>0</v>
      </c>
      <c r="AL1205" s="55">
        <f>IF(AN1205=21,I1205,0)</f>
        <v>0</v>
      </c>
      <c r="AN1205" s="55">
        <v>21</v>
      </c>
      <c r="AO1205" s="55">
        <f>H1205*0.156682242</f>
        <v>0</v>
      </c>
      <c r="AP1205" s="55">
        <f>H1205*(1-0.156682242)</f>
        <v>0</v>
      </c>
      <c r="AQ1205" s="58" t="s">
        <v>125</v>
      </c>
      <c r="AV1205" s="55">
        <f>AW1205+AX1205</f>
        <v>0</v>
      </c>
      <c r="AW1205" s="55">
        <f>G1205*AO1205</f>
        <v>0</v>
      </c>
      <c r="AX1205" s="55">
        <f>G1205*AP1205</f>
        <v>0</v>
      </c>
      <c r="AY1205" s="58" t="s">
        <v>2298</v>
      </c>
      <c r="AZ1205" s="58" t="s">
        <v>2247</v>
      </c>
      <c r="BA1205" s="34" t="s">
        <v>128</v>
      </c>
      <c r="BB1205" s="67">
        <v>100022</v>
      </c>
      <c r="BC1205" s="55">
        <f>AW1205+AX1205</f>
        <v>0</v>
      </c>
      <c r="BD1205" s="55">
        <f>H1205/(100-BE1205)*100</f>
        <v>0</v>
      </c>
      <c r="BE1205" s="55">
        <v>0</v>
      </c>
      <c r="BF1205" s="55">
        <f>K1205</f>
        <v>0.050545</v>
      </c>
      <c r="BH1205" s="55">
        <f>G1205*AO1205</f>
        <v>0</v>
      </c>
      <c r="BI1205" s="55">
        <f>G1205*AP1205</f>
        <v>0</v>
      </c>
      <c r="BJ1205" s="55">
        <f>G1205*H1205</f>
        <v>0</v>
      </c>
      <c r="BK1205" s="55"/>
      <c r="BL1205" s="55">
        <v>784</v>
      </c>
      <c r="BW1205" s="55">
        <v>21</v>
      </c>
    </row>
    <row r="1206" spans="1:12" ht="14.4">
      <c r="A1206" s="59"/>
      <c r="D1206" s="60" t="s">
        <v>2299</v>
      </c>
      <c r="E1206" s="60" t="s">
        <v>2300</v>
      </c>
      <c r="G1206" s="68">
        <v>8.1</v>
      </c>
      <c r="L1206" s="69"/>
    </row>
    <row r="1207" spans="1:12" ht="14.4">
      <c r="A1207" s="59"/>
      <c r="D1207" s="60" t="s">
        <v>2301</v>
      </c>
      <c r="E1207" s="60" t="s">
        <v>2302</v>
      </c>
      <c r="G1207" s="68">
        <v>639.7</v>
      </c>
      <c r="L1207" s="69"/>
    </row>
    <row r="1208" spans="1:12" ht="14.4">
      <c r="A1208" s="59"/>
      <c r="D1208" s="60" t="s">
        <v>2303</v>
      </c>
      <c r="E1208" s="60" t="s">
        <v>2304</v>
      </c>
      <c r="G1208" s="68">
        <v>363.1</v>
      </c>
      <c r="L1208" s="69"/>
    </row>
    <row r="1209" spans="1:75" ht="13.5" customHeight="1">
      <c r="A1209" s="1" t="s">
        <v>2305</v>
      </c>
      <c r="B1209" s="2" t="s">
        <v>116</v>
      </c>
      <c r="C1209" s="2" t="s">
        <v>2306</v>
      </c>
      <c r="D1209" s="147" t="s">
        <v>2307</v>
      </c>
      <c r="E1209" s="148"/>
      <c r="F1209" s="2" t="s">
        <v>729</v>
      </c>
      <c r="G1209" s="55">
        <v>505</v>
      </c>
      <c r="H1209" s="56">
        <v>0</v>
      </c>
      <c r="I1209" s="55">
        <f>G1209*H1209</f>
        <v>0</v>
      </c>
      <c r="J1209" s="55">
        <v>0.00015</v>
      </c>
      <c r="K1209" s="55">
        <f>G1209*J1209</f>
        <v>0.07575</v>
      </c>
      <c r="L1209" s="57" t="s">
        <v>785</v>
      </c>
      <c r="Z1209" s="55">
        <f>IF(AQ1209="5",BJ1209,0)</f>
        <v>0</v>
      </c>
      <c r="AB1209" s="55">
        <f>IF(AQ1209="1",BH1209,0)</f>
        <v>0</v>
      </c>
      <c r="AC1209" s="55">
        <f>IF(AQ1209="1",BI1209,0)</f>
        <v>0</v>
      </c>
      <c r="AD1209" s="55">
        <f>IF(AQ1209="7",BH1209,0)</f>
        <v>0</v>
      </c>
      <c r="AE1209" s="55">
        <f>IF(AQ1209="7",BI1209,0)</f>
        <v>0</v>
      </c>
      <c r="AF1209" s="55">
        <f>IF(AQ1209="2",BH1209,0)</f>
        <v>0</v>
      </c>
      <c r="AG1209" s="55">
        <f>IF(AQ1209="2",BI1209,0)</f>
        <v>0</v>
      </c>
      <c r="AH1209" s="55">
        <f>IF(AQ1209="0",BJ1209,0)</f>
        <v>0</v>
      </c>
      <c r="AI1209" s="34" t="s">
        <v>116</v>
      </c>
      <c r="AJ1209" s="55">
        <f>IF(AN1209=0,I1209,0)</f>
        <v>0</v>
      </c>
      <c r="AK1209" s="55">
        <f>IF(AN1209=12,I1209,0)</f>
        <v>0</v>
      </c>
      <c r="AL1209" s="55">
        <f>IF(AN1209=21,I1209,0)</f>
        <v>0</v>
      </c>
      <c r="AN1209" s="55">
        <v>21</v>
      </c>
      <c r="AO1209" s="55">
        <f>H1209*0.104361371</f>
        <v>0</v>
      </c>
      <c r="AP1209" s="55">
        <f>H1209*(1-0.104361371)</f>
        <v>0</v>
      </c>
      <c r="AQ1209" s="58" t="s">
        <v>125</v>
      </c>
      <c r="AV1209" s="55">
        <f>AW1209+AX1209</f>
        <v>0</v>
      </c>
      <c r="AW1209" s="55">
        <f>G1209*AO1209</f>
        <v>0</v>
      </c>
      <c r="AX1209" s="55">
        <f>G1209*AP1209</f>
        <v>0</v>
      </c>
      <c r="AY1209" s="58" t="s">
        <v>2298</v>
      </c>
      <c r="AZ1209" s="58" t="s">
        <v>2247</v>
      </c>
      <c r="BA1209" s="34" t="s">
        <v>128</v>
      </c>
      <c r="BB1209" s="67">
        <v>100022</v>
      </c>
      <c r="BC1209" s="55">
        <f>AW1209+AX1209</f>
        <v>0</v>
      </c>
      <c r="BD1209" s="55">
        <f>H1209/(100-BE1209)*100</f>
        <v>0</v>
      </c>
      <c r="BE1209" s="55">
        <v>0</v>
      </c>
      <c r="BF1209" s="55">
        <f>K1209</f>
        <v>0.07575</v>
      </c>
      <c r="BH1209" s="55">
        <f>G1209*AO1209</f>
        <v>0</v>
      </c>
      <c r="BI1209" s="55">
        <f>G1209*AP1209</f>
        <v>0</v>
      </c>
      <c r="BJ1209" s="55">
        <f>G1209*H1209</f>
        <v>0</v>
      </c>
      <c r="BK1209" s="55"/>
      <c r="BL1209" s="55">
        <v>784</v>
      </c>
      <c r="BW1209" s="55">
        <v>21</v>
      </c>
    </row>
    <row r="1210" spans="1:12" ht="13.5" customHeight="1">
      <c r="A1210" s="59"/>
      <c r="D1210" s="218" t="s">
        <v>2308</v>
      </c>
      <c r="E1210" s="219"/>
      <c r="F1210" s="219"/>
      <c r="G1210" s="219"/>
      <c r="H1210" s="220"/>
      <c r="I1210" s="219"/>
      <c r="J1210" s="219"/>
      <c r="K1210" s="219"/>
      <c r="L1210" s="221"/>
    </row>
    <row r="1211" spans="1:12" ht="14.4">
      <c r="A1211" s="59"/>
      <c r="D1211" s="60" t="s">
        <v>2309</v>
      </c>
      <c r="E1211" s="60" t="s">
        <v>4</v>
      </c>
      <c r="G1211" s="68">
        <v>505</v>
      </c>
      <c r="L1211" s="69"/>
    </row>
    <row r="1212" spans="1:75" ht="13.5" customHeight="1">
      <c r="A1212" s="1" t="s">
        <v>2310</v>
      </c>
      <c r="B1212" s="2" t="s">
        <v>116</v>
      </c>
      <c r="C1212" s="2" t="s">
        <v>2311</v>
      </c>
      <c r="D1212" s="147" t="s">
        <v>2312</v>
      </c>
      <c r="E1212" s="148"/>
      <c r="F1212" s="2" t="s">
        <v>729</v>
      </c>
      <c r="G1212" s="55">
        <v>505</v>
      </c>
      <c r="H1212" s="56">
        <v>0</v>
      </c>
      <c r="I1212" s="55">
        <f>G1212*H1212</f>
        <v>0</v>
      </c>
      <c r="J1212" s="55">
        <v>0.00016</v>
      </c>
      <c r="K1212" s="55">
        <f>G1212*J1212</f>
        <v>0.08080000000000001</v>
      </c>
      <c r="L1212" s="57" t="s">
        <v>785</v>
      </c>
      <c r="Z1212" s="55">
        <f>IF(AQ1212="5",BJ1212,0)</f>
        <v>0</v>
      </c>
      <c r="AB1212" s="55">
        <f>IF(AQ1212="1",BH1212,0)</f>
        <v>0</v>
      </c>
      <c r="AC1212" s="55">
        <f>IF(AQ1212="1",BI1212,0)</f>
        <v>0</v>
      </c>
      <c r="AD1212" s="55">
        <f>IF(AQ1212="7",BH1212,0)</f>
        <v>0</v>
      </c>
      <c r="AE1212" s="55">
        <f>IF(AQ1212="7",BI1212,0)</f>
        <v>0</v>
      </c>
      <c r="AF1212" s="55">
        <f>IF(AQ1212="2",BH1212,0)</f>
        <v>0</v>
      </c>
      <c r="AG1212" s="55">
        <f>IF(AQ1212="2",BI1212,0)</f>
        <v>0</v>
      </c>
      <c r="AH1212" s="55">
        <f>IF(AQ1212="0",BJ1212,0)</f>
        <v>0</v>
      </c>
      <c r="AI1212" s="34" t="s">
        <v>116</v>
      </c>
      <c r="AJ1212" s="55">
        <f>IF(AN1212=0,I1212,0)</f>
        <v>0</v>
      </c>
      <c r="AK1212" s="55">
        <f>IF(AN1212=12,I1212,0)</f>
        <v>0</v>
      </c>
      <c r="AL1212" s="55">
        <f>IF(AN1212=21,I1212,0)</f>
        <v>0</v>
      </c>
      <c r="AN1212" s="55">
        <v>21</v>
      </c>
      <c r="AO1212" s="55">
        <f>H1212*0.1265625</f>
        <v>0</v>
      </c>
      <c r="AP1212" s="55">
        <f>H1212*(1-0.1265625)</f>
        <v>0</v>
      </c>
      <c r="AQ1212" s="58" t="s">
        <v>125</v>
      </c>
      <c r="AV1212" s="55">
        <f>AW1212+AX1212</f>
        <v>0</v>
      </c>
      <c r="AW1212" s="55">
        <f>G1212*AO1212</f>
        <v>0</v>
      </c>
      <c r="AX1212" s="55">
        <f>G1212*AP1212</f>
        <v>0</v>
      </c>
      <c r="AY1212" s="58" t="s">
        <v>2298</v>
      </c>
      <c r="AZ1212" s="58" t="s">
        <v>2247</v>
      </c>
      <c r="BA1212" s="34" t="s">
        <v>128</v>
      </c>
      <c r="BB1212" s="67">
        <v>100022</v>
      </c>
      <c r="BC1212" s="55">
        <f>AW1212+AX1212</f>
        <v>0</v>
      </c>
      <c r="BD1212" s="55">
        <f>H1212/(100-BE1212)*100</f>
        <v>0</v>
      </c>
      <c r="BE1212" s="55">
        <v>0</v>
      </c>
      <c r="BF1212" s="55">
        <f>K1212</f>
        <v>0.08080000000000001</v>
      </c>
      <c r="BH1212" s="55">
        <f>G1212*AO1212</f>
        <v>0</v>
      </c>
      <c r="BI1212" s="55">
        <f>G1212*AP1212</f>
        <v>0</v>
      </c>
      <c r="BJ1212" s="55">
        <f>G1212*H1212</f>
        <v>0</v>
      </c>
      <c r="BK1212" s="55"/>
      <c r="BL1212" s="55">
        <v>784</v>
      </c>
      <c r="BW1212" s="55">
        <v>21</v>
      </c>
    </row>
    <row r="1213" spans="1:12" ht="13.5" customHeight="1">
      <c r="A1213" s="59"/>
      <c r="D1213" s="218" t="s">
        <v>2313</v>
      </c>
      <c r="E1213" s="219"/>
      <c r="F1213" s="219"/>
      <c r="G1213" s="219"/>
      <c r="H1213" s="220"/>
      <c r="I1213" s="219"/>
      <c r="J1213" s="219"/>
      <c r="K1213" s="219"/>
      <c r="L1213" s="221"/>
    </row>
    <row r="1214" spans="1:12" ht="14.4">
      <c r="A1214" s="59"/>
      <c r="D1214" s="60" t="s">
        <v>2309</v>
      </c>
      <c r="E1214" s="60" t="s">
        <v>4</v>
      </c>
      <c r="G1214" s="68">
        <v>505</v>
      </c>
      <c r="L1214" s="69"/>
    </row>
    <row r="1215" spans="1:47" ht="14.4">
      <c r="A1215" s="50" t="s">
        <v>4</v>
      </c>
      <c r="B1215" s="51" t="s">
        <v>116</v>
      </c>
      <c r="C1215" s="51" t="s">
        <v>2314</v>
      </c>
      <c r="D1215" s="222" t="s">
        <v>2315</v>
      </c>
      <c r="E1215" s="223"/>
      <c r="F1215" s="52" t="s">
        <v>79</v>
      </c>
      <c r="G1215" s="52" t="s">
        <v>79</v>
      </c>
      <c r="H1215" s="53" t="s">
        <v>79</v>
      </c>
      <c r="I1215" s="27">
        <f>SUM(I1216:I1220)</f>
        <v>0</v>
      </c>
      <c r="J1215" s="34" t="s">
        <v>4</v>
      </c>
      <c r="K1215" s="27">
        <f>SUM(K1216:K1220)</f>
        <v>0.0996</v>
      </c>
      <c r="L1215" s="54" t="s">
        <v>4</v>
      </c>
      <c r="AI1215" s="34" t="s">
        <v>116</v>
      </c>
      <c r="AS1215" s="27">
        <f>SUM(AJ1216:AJ1220)</f>
        <v>0</v>
      </c>
      <c r="AT1215" s="27">
        <f>SUM(AK1216:AK1220)</f>
        <v>0</v>
      </c>
      <c r="AU1215" s="27">
        <f>SUM(AL1216:AL1220)</f>
        <v>0</v>
      </c>
    </row>
    <row r="1216" spans="1:75" ht="13.5" customHeight="1">
      <c r="A1216" s="1" t="s">
        <v>2316</v>
      </c>
      <c r="B1216" s="2" t="s">
        <v>116</v>
      </c>
      <c r="C1216" s="2" t="s">
        <v>2317</v>
      </c>
      <c r="D1216" s="147" t="s">
        <v>2318</v>
      </c>
      <c r="E1216" s="148"/>
      <c r="F1216" s="2" t="s">
        <v>2319</v>
      </c>
      <c r="G1216" s="55">
        <v>1</v>
      </c>
      <c r="H1216" s="56">
        <v>0</v>
      </c>
      <c r="I1216" s="55">
        <f>G1216*H1216</f>
        <v>0</v>
      </c>
      <c r="J1216" s="55">
        <v>0</v>
      </c>
      <c r="K1216" s="55">
        <f>G1216*J1216</f>
        <v>0</v>
      </c>
      <c r="L1216" s="57" t="s">
        <v>124</v>
      </c>
      <c r="Z1216" s="55">
        <f>IF(AQ1216="5",BJ1216,0)</f>
        <v>0</v>
      </c>
      <c r="AB1216" s="55">
        <f>IF(AQ1216="1",BH1216,0)</f>
        <v>0</v>
      </c>
      <c r="AC1216" s="55">
        <f>IF(AQ1216="1",BI1216,0)</f>
        <v>0</v>
      </c>
      <c r="AD1216" s="55">
        <f>IF(AQ1216="7",BH1216,0)</f>
        <v>0</v>
      </c>
      <c r="AE1216" s="55">
        <f>IF(AQ1216="7",BI1216,0)</f>
        <v>0</v>
      </c>
      <c r="AF1216" s="55">
        <f>IF(AQ1216="2",BH1216,0)</f>
        <v>0</v>
      </c>
      <c r="AG1216" s="55">
        <f>IF(AQ1216="2",BI1216,0)</f>
        <v>0</v>
      </c>
      <c r="AH1216" s="55">
        <f>IF(AQ1216="0",BJ1216,0)</f>
        <v>0</v>
      </c>
      <c r="AI1216" s="34" t="s">
        <v>116</v>
      </c>
      <c r="AJ1216" s="55">
        <f>IF(AN1216=0,I1216,0)</f>
        <v>0</v>
      </c>
      <c r="AK1216" s="55">
        <f>IF(AN1216=12,I1216,0)</f>
        <v>0</v>
      </c>
      <c r="AL1216" s="55">
        <f>IF(AN1216=21,I1216,0)</f>
        <v>0</v>
      </c>
      <c r="AN1216" s="55">
        <v>21</v>
      </c>
      <c r="AO1216" s="55">
        <f>H1216*0</f>
        <v>0</v>
      </c>
      <c r="AP1216" s="55">
        <f>H1216*(1-0)</f>
        <v>0</v>
      </c>
      <c r="AQ1216" s="58" t="s">
        <v>125</v>
      </c>
      <c r="AV1216" s="55">
        <f>AW1216+AX1216</f>
        <v>0</v>
      </c>
      <c r="AW1216" s="55">
        <f>G1216*AO1216</f>
        <v>0</v>
      </c>
      <c r="AX1216" s="55">
        <f>G1216*AP1216</f>
        <v>0</v>
      </c>
      <c r="AY1216" s="58" t="s">
        <v>2320</v>
      </c>
      <c r="AZ1216" s="58" t="s">
        <v>2321</v>
      </c>
      <c r="BA1216" s="34" t="s">
        <v>128</v>
      </c>
      <c r="BB1216" s="67">
        <v>100030</v>
      </c>
      <c r="BC1216" s="55">
        <f>AW1216+AX1216</f>
        <v>0</v>
      </c>
      <c r="BD1216" s="55">
        <f>H1216/(100-BE1216)*100</f>
        <v>0</v>
      </c>
      <c r="BE1216" s="55">
        <v>0</v>
      </c>
      <c r="BF1216" s="55">
        <f>K1216</f>
        <v>0</v>
      </c>
      <c r="BH1216" s="55">
        <f>G1216*AO1216</f>
        <v>0</v>
      </c>
      <c r="BI1216" s="55">
        <f>G1216*AP1216</f>
        <v>0</v>
      </c>
      <c r="BJ1216" s="55">
        <f>G1216*H1216</f>
        <v>0</v>
      </c>
      <c r="BK1216" s="55"/>
      <c r="BL1216" s="55"/>
      <c r="BW1216" s="55">
        <v>21</v>
      </c>
    </row>
    <row r="1217" spans="1:12" ht="13.5" customHeight="1">
      <c r="A1217" s="59"/>
      <c r="D1217" s="218" t="s">
        <v>2322</v>
      </c>
      <c r="E1217" s="219"/>
      <c r="F1217" s="219"/>
      <c r="G1217" s="219"/>
      <c r="H1217" s="220"/>
      <c r="I1217" s="219"/>
      <c r="J1217" s="219"/>
      <c r="K1217" s="219"/>
      <c r="L1217" s="221"/>
    </row>
    <row r="1218" spans="1:75" ht="13.5" customHeight="1">
      <c r="A1218" s="61" t="s">
        <v>2323</v>
      </c>
      <c r="B1218" s="62" t="s">
        <v>116</v>
      </c>
      <c r="C1218" s="62" t="s">
        <v>2324</v>
      </c>
      <c r="D1218" s="224" t="s">
        <v>2325</v>
      </c>
      <c r="E1218" s="225"/>
      <c r="F1218" s="62" t="s">
        <v>374</v>
      </c>
      <c r="G1218" s="63">
        <v>6</v>
      </c>
      <c r="H1218" s="64">
        <v>0</v>
      </c>
      <c r="I1218" s="63">
        <f>G1218*H1218</f>
        <v>0</v>
      </c>
      <c r="J1218" s="63">
        <v>0.0166</v>
      </c>
      <c r="K1218" s="63">
        <f>G1218*J1218</f>
        <v>0.0996</v>
      </c>
      <c r="L1218" s="65" t="s">
        <v>785</v>
      </c>
      <c r="Z1218" s="55">
        <f>IF(AQ1218="5",BJ1218,0)</f>
        <v>0</v>
      </c>
      <c r="AB1218" s="55">
        <f>IF(AQ1218="1",BH1218,0)</f>
        <v>0</v>
      </c>
      <c r="AC1218" s="55">
        <f>IF(AQ1218="1",BI1218,0)</f>
        <v>0</v>
      </c>
      <c r="AD1218" s="55">
        <f>IF(AQ1218="7",BH1218,0)</f>
        <v>0</v>
      </c>
      <c r="AE1218" s="55">
        <f>IF(AQ1218="7",BI1218,0)</f>
        <v>0</v>
      </c>
      <c r="AF1218" s="55">
        <f>IF(AQ1218="2",BH1218,0)</f>
        <v>0</v>
      </c>
      <c r="AG1218" s="55">
        <f>IF(AQ1218="2",BI1218,0)</f>
        <v>0</v>
      </c>
      <c r="AH1218" s="55">
        <f>IF(AQ1218="0",BJ1218,0)</f>
        <v>0</v>
      </c>
      <c r="AI1218" s="34" t="s">
        <v>116</v>
      </c>
      <c r="AJ1218" s="63">
        <f>IF(AN1218=0,I1218,0)</f>
        <v>0</v>
      </c>
      <c r="AK1218" s="63">
        <f>IF(AN1218=12,I1218,0)</f>
        <v>0</v>
      </c>
      <c r="AL1218" s="63">
        <f>IF(AN1218=21,I1218,0)</f>
        <v>0</v>
      </c>
      <c r="AN1218" s="55">
        <v>21</v>
      </c>
      <c r="AO1218" s="55">
        <f>H1218*1</f>
        <v>0</v>
      </c>
      <c r="AP1218" s="55">
        <f>H1218*(1-1)</f>
        <v>0</v>
      </c>
      <c r="AQ1218" s="66" t="s">
        <v>125</v>
      </c>
      <c r="AV1218" s="55">
        <f>AW1218+AX1218</f>
        <v>0</v>
      </c>
      <c r="AW1218" s="55">
        <f>G1218*AO1218</f>
        <v>0</v>
      </c>
      <c r="AX1218" s="55">
        <f>G1218*AP1218</f>
        <v>0</v>
      </c>
      <c r="AY1218" s="58" t="s">
        <v>2320</v>
      </c>
      <c r="AZ1218" s="58" t="s">
        <v>2321</v>
      </c>
      <c r="BA1218" s="34" t="s">
        <v>128</v>
      </c>
      <c r="BC1218" s="55">
        <f>AW1218+AX1218</f>
        <v>0</v>
      </c>
      <c r="BD1218" s="55">
        <f>H1218/(100-BE1218)*100</f>
        <v>0</v>
      </c>
      <c r="BE1218" s="55">
        <v>0</v>
      </c>
      <c r="BF1218" s="55">
        <f>K1218</f>
        <v>0.0996</v>
      </c>
      <c r="BH1218" s="63">
        <f>G1218*AO1218</f>
        <v>0</v>
      </c>
      <c r="BI1218" s="63">
        <f>G1218*AP1218</f>
        <v>0</v>
      </c>
      <c r="BJ1218" s="63">
        <f>G1218*H1218</f>
        <v>0</v>
      </c>
      <c r="BK1218" s="63"/>
      <c r="BL1218" s="55"/>
      <c r="BW1218" s="55">
        <v>21</v>
      </c>
    </row>
    <row r="1219" spans="1:12" ht="14.4">
      <c r="A1219" s="59"/>
      <c r="D1219" s="60" t="s">
        <v>142</v>
      </c>
      <c r="E1219" s="60" t="s">
        <v>4</v>
      </c>
      <c r="G1219" s="68">
        <v>6</v>
      </c>
      <c r="L1219" s="69"/>
    </row>
    <row r="1220" spans="1:75" ht="13.5" customHeight="1">
      <c r="A1220" s="61" t="s">
        <v>2326</v>
      </c>
      <c r="B1220" s="62" t="s">
        <v>116</v>
      </c>
      <c r="C1220" s="62" t="s">
        <v>2327</v>
      </c>
      <c r="D1220" s="224" t="s">
        <v>2328</v>
      </c>
      <c r="E1220" s="225"/>
      <c r="F1220" s="62" t="s">
        <v>2319</v>
      </c>
      <c r="G1220" s="63">
        <v>1</v>
      </c>
      <c r="H1220" s="64">
        <v>0</v>
      </c>
      <c r="I1220" s="63">
        <f>G1220*H1220</f>
        <v>0</v>
      </c>
      <c r="J1220" s="63">
        <v>0</v>
      </c>
      <c r="K1220" s="63">
        <f>G1220*J1220</f>
        <v>0</v>
      </c>
      <c r="L1220" s="65" t="s">
        <v>124</v>
      </c>
      <c r="Z1220" s="55">
        <f>IF(AQ1220="5",BJ1220,0)</f>
        <v>0</v>
      </c>
      <c r="AB1220" s="55">
        <f>IF(AQ1220="1",BH1220,0)</f>
        <v>0</v>
      </c>
      <c r="AC1220" s="55">
        <f>IF(AQ1220="1",BI1220,0)</f>
        <v>0</v>
      </c>
      <c r="AD1220" s="55">
        <f>IF(AQ1220="7",BH1220,0)</f>
        <v>0</v>
      </c>
      <c r="AE1220" s="55">
        <f>IF(AQ1220="7",BI1220,0)</f>
        <v>0</v>
      </c>
      <c r="AF1220" s="55">
        <f>IF(AQ1220="2",BH1220,0)</f>
        <v>0</v>
      </c>
      <c r="AG1220" s="55">
        <f>IF(AQ1220="2",BI1220,0)</f>
        <v>0</v>
      </c>
      <c r="AH1220" s="55">
        <f>IF(AQ1220="0",BJ1220,0)</f>
        <v>0</v>
      </c>
      <c r="AI1220" s="34" t="s">
        <v>116</v>
      </c>
      <c r="AJ1220" s="55">
        <f>IF(AN1220=0,I1220,0)</f>
        <v>0</v>
      </c>
      <c r="AK1220" s="55">
        <f>IF(AN1220=12,I1220,0)</f>
        <v>0</v>
      </c>
      <c r="AL1220" s="55">
        <f>IF(AN1220=21,I1220,0)</f>
        <v>0</v>
      </c>
      <c r="AN1220" s="55">
        <v>21</v>
      </c>
      <c r="AO1220" s="55">
        <f>H1220*1</f>
        <v>0</v>
      </c>
      <c r="AP1220" s="55">
        <f>H1220*(1-1)</f>
        <v>0</v>
      </c>
      <c r="AQ1220" s="58" t="s">
        <v>125</v>
      </c>
      <c r="AV1220" s="55">
        <f>AW1220+AX1220</f>
        <v>0</v>
      </c>
      <c r="AW1220" s="55">
        <f>G1220*AO1220</f>
        <v>0</v>
      </c>
      <c r="AX1220" s="55">
        <f>G1220*AP1220</f>
        <v>0</v>
      </c>
      <c r="AY1220" s="58" t="s">
        <v>2320</v>
      </c>
      <c r="AZ1220" s="58" t="s">
        <v>2321</v>
      </c>
      <c r="BA1220" s="34" t="s">
        <v>128</v>
      </c>
      <c r="BC1220" s="55">
        <f>AW1220+AX1220</f>
        <v>0</v>
      </c>
      <c r="BD1220" s="55">
        <f>H1220/(100-BE1220)*100</f>
        <v>0</v>
      </c>
      <c r="BE1220" s="55">
        <v>0</v>
      </c>
      <c r="BF1220" s="55">
        <f>K1220</f>
        <v>0</v>
      </c>
      <c r="BH1220" s="55">
        <f>G1220*AO1220</f>
        <v>0</v>
      </c>
      <c r="BI1220" s="55">
        <f>G1220*AP1220</f>
        <v>0</v>
      </c>
      <c r="BJ1220" s="55">
        <f>G1220*H1220</f>
        <v>0</v>
      </c>
      <c r="BK1220" s="55"/>
      <c r="BL1220" s="55"/>
      <c r="BW1220" s="55">
        <v>21</v>
      </c>
    </row>
    <row r="1221" spans="1:12" ht="14.4">
      <c r="A1221" s="70"/>
      <c r="B1221" s="71"/>
      <c r="C1221" s="71"/>
      <c r="D1221" s="72" t="s">
        <v>120</v>
      </c>
      <c r="E1221" s="72" t="s">
        <v>4</v>
      </c>
      <c r="F1221" s="71"/>
      <c r="G1221" s="73">
        <v>1</v>
      </c>
      <c r="H1221" s="74"/>
      <c r="I1221" s="71"/>
      <c r="J1221" s="71"/>
      <c r="K1221" s="71"/>
      <c r="L1221" s="75"/>
    </row>
    <row r="1222" spans="1:47" ht="14.4">
      <c r="A1222" s="50" t="s">
        <v>4</v>
      </c>
      <c r="B1222" s="51" t="s">
        <v>116</v>
      </c>
      <c r="C1222" s="51" t="s">
        <v>2329</v>
      </c>
      <c r="D1222" s="222" t="s">
        <v>2330</v>
      </c>
      <c r="E1222" s="223"/>
      <c r="F1222" s="52" t="s">
        <v>79</v>
      </c>
      <c r="G1222" s="52" t="s">
        <v>79</v>
      </c>
      <c r="H1222" s="53" t="s">
        <v>79</v>
      </c>
      <c r="I1222" s="27">
        <f>SUM(I1223:I1226)</f>
        <v>0</v>
      </c>
      <c r="J1222" s="34" t="s">
        <v>4</v>
      </c>
      <c r="K1222" s="27">
        <f>SUM(K1223:K1226)</f>
        <v>2.5</v>
      </c>
      <c r="L1222" s="54" t="s">
        <v>4</v>
      </c>
      <c r="AI1222" s="34" t="s">
        <v>116</v>
      </c>
      <c r="AS1222" s="27">
        <f>SUM(AJ1223:AJ1226)</f>
        <v>0</v>
      </c>
      <c r="AT1222" s="27">
        <f>SUM(AK1223:AK1226)</f>
        <v>0</v>
      </c>
      <c r="AU1222" s="27">
        <f>SUM(AL1223:AL1226)</f>
        <v>0</v>
      </c>
    </row>
    <row r="1223" spans="1:75" ht="13.5" customHeight="1">
      <c r="A1223" s="1" t="s">
        <v>2331</v>
      </c>
      <c r="B1223" s="2" t="s">
        <v>116</v>
      </c>
      <c r="C1223" s="2" t="s">
        <v>2332</v>
      </c>
      <c r="D1223" s="147" t="s">
        <v>2333</v>
      </c>
      <c r="E1223" s="148"/>
      <c r="F1223" s="2" t="s">
        <v>1791</v>
      </c>
      <c r="G1223" s="55">
        <v>48</v>
      </c>
      <c r="H1223" s="56">
        <v>0</v>
      </c>
      <c r="I1223" s="55">
        <f>G1223*H1223</f>
        <v>0</v>
      </c>
      <c r="J1223" s="55">
        <v>0</v>
      </c>
      <c r="K1223" s="55">
        <f>G1223*J1223</f>
        <v>0</v>
      </c>
      <c r="L1223" s="57" t="s">
        <v>785</v>
      </c>
      <c r="Z1223" s="55">
        <f>IF(AQ1223="5",BJ1223,0)</f>
        <v>0</v>
      </c>
      <c r="AB1223" s="55">
        <f>IF(AQ1223="1",BH1223,0)</f>
        <v>0</v>
      </c>
      <c r="AC1223" s="55">
        <f>IF(AQ1223="1",BI1223,0)</f>
        <v>0</v>
      </c>
      <c r="AD1223" s="55">
        <f>IF(AQ1223="7",BH1223,0)</f>
        <v>0</v>
      </c>
      <c r="AE1223" s="55">
        <f>IF(AQ1223="7",BI1223,0)</f>
        <v>0</v>
      </c>
      <c r="AF1223" s="55">
        <f>IF(AQ1223="2",BH1223,0)</f>
        <v>0</v>
      </c>
      <c r="AG1223" s="55">
        <f>IF(AQ1223="2",BI1223,0)</f>
        <v>0</v>
      </c>
      <c r="AH1223" s="55">
        <f>IF(AQ1223="0",BJ1223,0)</f>
        <v>0</v>
      </c>
      <c r="AI1223" s="34" t="s">
        <v>116</v>
      </c>
      <c r="AJ1223" s="55">
        <f>IF(AN1223=0,I1223,0)</f>
        <v>0</v>
      </c>
      <c r="AK1223" s="55">
        <f>IF(AN1223=12,I1223,0)</f>
        <v>0</v>
      </c>
      <c r="AL1223" s="55">
        <f>IF(AN1223=21,I1223,0)</f>
        <v>0</v>
      </c>
      <c r="AN1223" s="55">
        <v>21</v>
      </c>
      <c r="AO1223" s="55">
        <f>H1223*0</f>
        <v>0</v>
      </c>
      <c r="AP1223" s="55">
        <f>H1223*(1-0)</f>
        <v>0</v>
      </c>
      <c r="AQ1223" s="58" t="s">
        <v>125</v>
      </c>
      <c r="AV1223" s="55">
        <f>AW1223+AX1223</f>
        <v>0</v>
      </c>
      <c r="AW1223" s="55">
        <f>G1223*AO1223</f>
        <v>0</v>
      </c>
      <c r="AX1223" s="55">
        <f>G1223*AP1223</f>
        <v>0</v>
      </c>
      <c r="AY1223" s="58" t="s">
        <v>2334</v>
      </c>
      <c r="AZ1223" s="58" t="s">
        <v>127</v>
      </c>
      <c r="BA1223" s="34" t="s">
        <v>128</v>
      </c>
      <c r="BC1223" s="55">
        <f>AW1223+AX1223</f>
        <v>0</v>
      </c>
      <c r="BD1223" s="55">
        <f>H1223/(100-BE1223)*100</f>
        <v>0</v>
      </c>
      <c r="BE1223" s="55">
        <v>0</v>
      </c>
      <c r="BF1223" s="55">
        <f>K1223</f>
        <v>0</v>
      </c>
      <c r="BH1223" s="55">
        <f>G1223*AO1223</f>
        <v>0</v>
      </c>
      <c r="BI1223" s="55">
        <f>G1223*AP1223</f>
        <v>0</v>
      </c>
      <c r="BJ1223" s="55">
        <f>G1223*H1223</f>
        <v>0</v>
      </c>
      <c r="BK1223" s="55"/>
      <c r="BL1223" s="55"/>
      <c r="BW1223" s="55">
        <v>21</v>
      </c>
    </row>
    <row r="1224" spans="1:12" ht="27" customHeight="1">
      <c r="A1224" s="59"/>
      <c r="D1224" s="218" t="s">
        <v>2335</v>
      </c>
      <c r="E1224" s="219"/>
      <c r="F1224" s="219"/>
      <c r="G1224" s="219"/>
      <c r="H1224" s="220"/>
      <c r="I1224" s="219"/>
      <c r="J1224" s="219"/>
      <c r="K1224" s="219"/>
      <c r="L1224" s="221"/>
    </row>
    <row r="1225" spans="1:12" ht="14.4">
      <c r="A1225" s="59"/>
      <c r="D1225" s="60" t="s">
        <v>273</v>
      </c>
      <c r="E1225" s="60" t="s">
        <v>4</v>
      </c>
      <c r="G1225" s="68">
        <v>48</v>
      </c>
      <c r="L1225" s="69"/>
    </row>
    <row r="1226" spans="1:75" ht="27" customHeight="1">
      <c r="A1226" s="61" t="s">
        <v>2336</v>
      </c>
      <c r="B1226" s="62" t="s">
        <v>116</v>
      </c>
      <c r="C1226" s="62" t="s">
        <v>2337</v>
      </c>
      <c r="D1226" s="224" t="s">
        <v>2338</v>
      </c>
      <c r="E1226" s="225"/>
      <c r="F1226" s="62" t="s">
        <v>993</v>
      </c>
      <c r="G1226" s="63">
        <v>1</v>
      </c>
      <c r="H1226" s="64">
        <v>0</v>
      </c>
      <c r="I1226" s="63">
        <f>G1226*H1226</f>
        <v>0</v>
      </c>
      <c r="J1226" s="63">
        <v>2.5</v>
      </c>
      <c r="K1226" s="63">
        <f>G1226*J1226</f>
        <v>2.5</v>
      </c>
      <c r="L1226" s="65" t="s">
        <v>124</v>
      </c>
      <c r="Z1226" s="55">
        <f>IF(AQ1226="5",BJ1226,0)</f>
        <v>0</v>
      </c>
      <c r="AB1226" s="55">
        <f>IF(AQ1226="1",BH1226,0)</f>
        <v>0</v>
      </c>
      <c r="AC1226" s="55">
        <f>IF(AQ1226="1",BI1226,0)</f>
        <v>0</v>
      </c>
      <c r="AD1226" s="55">
        <f>IF(AQ1226="7",BH1226,0)</f>
        <v>0</v>
      </c>
      <c r="AE1226" s="55">
        <f>IF(AQ1226="7",BI1226,0)</f>
        <v>0</v>
      </c>
      <c r="AF1226" s="55">
        <f>IF(AQ1226="2",BH1226,0)</f>
        <v>0</v>
      </c>
      <c r="AG1226" s="55">
        <f>IF(AQ1226="2",BI1226,0)</f>
        <v>0</v>
      </c>
      <c r="AH1226" s="55">
        <f>IF(AQ1226="0",BJ1226,0)</f>
        <v>0</v>
      </c>
      <c r="AI1226" s="34" t="s">
        <v>116</v>
      </c>
      <c r="AJ1226" s="63">
        <f>IF(AN1226=0,I1226,0)</f>
        <v>0</v>
      </c>
      <c r="AK1226" s="63">
        <f>IF(AN1226=12,I1226,0)</f>
        <v>0</v>
      </c>
      <c r="AL1226" s="63">
        <f>IF(AN1226=21,I1226,0)</f>
        <v>0</v>
      </c>
      <c r="AN1226" s="55">
        <v>21</v>
      </c>
      <c r="AO1226" s="55">
        <f>H1226*1</f>
        <v>0</v>
      </c>
      <c r="AP1226" s="55">
        <f>H1226*(1-1)</f>
        <v>0</v>
      </c>
      <c r="AQ1226" s="66" t="s">
        <v>125</v>
      </c>
      <c r="AV1226" s="55">
        <f>AW1226+AX1226</f>
        <v>0</v>
      </c>
      <c r="AW1226" s="55">
        <f>G1226*AO1226</f>
        <v>0</v>
      </c>
      <c r="AX1226" s="55">
        <f>G1226*AP1226</f>
        <v>0</v>
      </c>
      <c r="AY1226" s="58" t="s">
        <v>2334</v>
      </c>
      <c r="AZ1226" s="58" t="s">
        <v>127</v>
      </c>
      <c r="BA1226" s="34" t="s">
        <v>128</v>
      </c>
      <c r="BC1226" s="55">
        <f>AW1226+AX1226</f>
        <v>0</v>
      </c>
      <c r="BD1226" s="55">
        <f>H1226/(100-BE1226)*100</f>
        <v>0</v>
      </c>
      <c r="BE1226" s="55">
        <v>0</v>
      </c>
      <c r="BF1226" s="55">
        <f>K1226</f>
        <v>2.5</v>
      </c>
      <c r="BH1226" s="63">
        <f>G1226*AO1226</f>
        <v>0</v>
      </c>
      <c r="BI1226" s="63">
        <f>G1226*AP1226</f>
        <v>0</v>
      </c>
      <c r="BJ1226" s="63">
        <f>G1226*H1226</f>
        <v>0</v>
      </c>
      <c r="BK1226" s="63"/>
      <c r="BL1226" s="55"/>
      <c r="BW1226" s="55">
        <v>21</v>
      </c>
    </row>
    <row r="1227" spans="1:12" ht="14.4">
      <c r="A1227" s="59"/>
      <c r="D1227" s="60" t="s">
        <v>120</v>
      </c>
      <c r="E1227" s="60" t="s">
        <v>4</v>
      </c>
      <c r="G1227" s="68">
        <v>1</v>
      </c>
      <c r="L1227" s="69"/>
    </row>
    <row r="1228" spans="1:47" ht="14.4">
      <c r="A1228" s="50" t="s">
        <v>4</v>
      </c>
      <c r="B1228" s="51" t="s">
        <v>116</v>
      </c>
      <c r="C1228" s="51" t="s">
        <v>422</v>
      </c>
      <c r="D1228" s="222" t="s">
        <v>2339</v>
      </c>
      <c r="E1228" s="223"/>
      <c r="F1228" s="52" t="s">
        <v>79</v>
      </c>
      <c r="G1228" s="52" t="s">
        <v>79</v>
      </c>
      <c r="H1228" s="53" t="s">
        <v>79</v>
      </c>
      <c r="I1228" s="27">
        <f>SUM(I1229:I1241)</f>
        <v>0</v>
      </c>
      <c r="J1228" s="34" t="s">
        <v>4</v>
      </c>
      <c r="K1228" s="27">
        <f>SUM(K1229:K1241)</f>
        <v>12.8376818</v>
      </c>
      <c r="L1228" s="54" t="s">
        <v>4</v>
      </c>
      <c r="AI1228" s="34" t="s">
        <v>116</v>
      </c>
      <c r="AS1228" s="27">
        <f>SUM(AJ1229:AJ1241)</f>
        <v>0</v>
      </c>
      <c r="AT1228" s="27">
        <f>SUM(AK1229:AK1241)</f>
        <v>0</v>
      </c>
      <c r="AU1228" s="27">
        <f>SUM(AL1229:AL1241)</f>
        <v>0</v>
      </c>
    </row>
    <row r="1229" spans="1:75" ht="13.5" customHeight="1">
      <c r="A1229" s="1" t="s">
        <v>2340</v>
      </c>
      <c r="B1229" s="2" t="s">
        <v>116</v>
      </c>
      <c r="C1229" s="2" t="s">
        <v>2341</v>
      </c>
      <c r="D1229" s="147" t="s">
        <v>2342</v>
      </c>
      <c r="E1229" s="148"/>
      <c r="F1229" s="2" t="s">
        <v>729</v>
      </c>
      <c r="G1229" s="55">
        <v>489.35</v>
      </c>
      <c r="H1229" s="56">
        <v>0</v>
      </c>
      <c r="I1229" s="55">
        <f>G1229*H1229</f>
        <v>0</v>
      </c>
      <c r="J1229" s="55">
        <v>0.01838</v>
      </c>
      <c r="K1229" s="55">
        <f>G1229*J1229</f>
        <v>8.994253</v>
      </c>
      <c r="L1229" s="57" t="s">
        <v>785</v>
      </c>
      <c r="Z1229" s="55">
        <f>IF(AQ1229="5",BJ1229,0)</f>
        <v>0</v>
      </c>
      <c r="AB1229" s="55">
        <f>IF(AQ1229="1",BH1229,0)</f>
        <v>0</v>
      </c>
      <c r="AC1229" s="55">
        <f>IF(AQ1229="1",BI1229,0)</f>
        <v>0</v>
      </c>
      <c r="AD1229" s="55">
        <f>IF(AQ1229="7",BH1229,0)</f>
        <v>0</v>
      </c>
      <c r="AE1229" s="55">
        <f>IF(AQ1229="7",BI1229,0)</f>
        <v>0</v>
      </c>
      <c r="AF1229" s="55">
        <f>IF(AQ1229="2",BH1229,0)</f>
        <v>0</v>
      </c>
      <c r="AG1229" s="55">
        <f>IF(AQ1229="2",BI1229,0)</f>
        <v>0</v>
      </c>
      <c r="AH1229" s="55">
        <f>IF(AQ1229="0",BJ1229,0)</f>
        <v>0</v>
      </c>
      <c r="AI1229" s="34" t="s">
        <v>116</v>
      </c>
      <c r="AJ1229" s="55">
        <f>IF(AN1229=0,I1229,0)</f>
        <v>0</v>
      </c>
      <c r="AK1229" s="55">
        <f>IF(AN1229=12,I1229,0)</f>
        <v>0</v>
      </c>
      <c r="AL1229" s="55">
        <f>IF(AN1229=21,I1229,0)</f>
        <v>0</v>
      </c>
      <c r="AN1229" s="55">
        <v>21</v>
      </c>
      <c r="AO1229" s="55">
        <f>H1229*0.00011274</f>
        <v>0</v>
      </c>
      <c r="AP1229" s="55">
        <f>H1229*(1-0.00011274)</f>
        <v>0</v>
      </c>
      <c r="AQ1229" s="58" t="s">
        <v>120</v>
      </c>
      <c r="AV1229" s="55">
        <f>AW1229+AX1229</f>
        <v>0</v>
      </c>
      <c r="AW1229" s="55">
        <f>G1229*AO1229</f>
        <v>0</v>
      </c>
      <c r="AX1229" s="55">
        <f>G1229*AP1229</f>
        <v>0</v>
      </c>
      <c r="AY1229" s="58" t="s">
        <v>2343</v>
      </c>
      <c r="AZ1229" s="58" t="s">
        <v>2344</v>
      </c>
      <c r="BA1229" s="34" t="s">
        <v>128</v>
      </c>
      <c r="BB1229" s="67">
        <v>100019</v>
      </c>
      <c r="BC1229" s="55">
        <f>AW1229+AX1229</f>
        <v>0</v>
      </c>
      <c r="BD1229" s="55">
        <f>H1229/(100-BE1229)*100</f>
        <v>0</v>
      </c>
      <c r="BE1229" s="55">
        <v>0</v>
      </c>
      <c r="BF1229" s="55">
        <f>K1229</f>
        <v>8.994253</v>
      </c>
      <c r="BH1229" s="55">
        <f>G1229*AO1229</f>
        <v>0</v>
      </c>
      <c r="BI1229" s="55">
        <f>G1229*AP1229</f>
        <v>0</v>
      </c>
      <c r="BJ1229" s="55">
        <f>G1229*H1229</f>
        <v>0</v>
      </c>
      <c r="BK1229" s="55"/>
      <c r="BL1229" s="55">
        <v>94</v>
      </c>
      <c r="BW1229" s="55">
        <v>21</v>
      </c>
    </row>
    <row r="1230" spans="1:12" ht="14.4">
      <c r="A1230" s="59"/>
      <c r="D1230" s="60" t="s">
        <v>2345</v>
      </c>
      <c r="E1230" s="60" t="s">
        <v>4</v>
      </c>
      <c r="G1230" s="68">
        <v>416.5</v>
      </c>
      <c r="L1230" s="69"/>
    </row>
    <row r="1231" spans="1:12" ht="14.4">
      <c r="A1231" s="59"/>
      <c r="D1231" s="60" t="s">
        <v>2346</v>
      </c>
      <c r="E1231" s="60" t="s">
        <v>4</v>
      </c>
      <c r="G1231" s="68">
        <v>72.85</v>
      </c>
      <c r="L1231" s="69"/>
    </row>
    <row r="1232" spans="1:75" ht="13.5" customHeight="1">
      <c r="A1232" s="1" t="s">
        <v>2347</v>
      </c>
      <c r="B1232" s="2" t="s">
        <v>116</v>
      </c>
      <c r="C1232" s="2" t="s">
        <v>2348</v>
      </c>
      <c r="D1232" s="147" t="s">
        <v>2349</v>
      </c>
      <c r="E1232" s="148"/>
      <c r="F1232" s="2" t="s">
        <v>729</v>
      </c>
      <c r="G1232" s="55">
        <v>2936.1</v>
      </c>
      <c r="H1232" s="56">
        <v>0</v>
      </c>
      <c r="I1232" s="55">
        <f>G1232*H1232</f>
        <v>0</v>
      </c>
      <c r="J1232" s="55">
        <v>0.00095</v>
      </c>
      <c r="K1232" s="55">
        <f>G1232*J1232</f>
        <v>2.789295</v>
      </c>
      <c r="L1232" s="57" t="s">
        <v>785</v>
      </c>
      <c r="Z1232" s="55">
        <f>IF(AQ1232="5",BJ1232,0)</f>
        <v>0</v>
      </c>
      <c r="AB1232" s="55">
        <f>IF(AQ1232="1",BH1232,0)</f>
        <v>0</v>
      </c>
      <c r="AC1232" s="55">
        <f>IF(AQ1232="1",BI1232,0)</f>
        <v>0</v>
      </c>
      <c r="AD1232" s="55">
        <f>IF(AQ1232="7",BH1232,0)</f>
        <v>0</v>
      </c>
      <c r="AE1232" s="55">
        <f>IF(AQ1232="7",BI1232,0)</f>
        <v>0</v>
      </c>
      <c r="AF1232" s="55">
        <f>IF(AQ1232="2",BH1232,0)</f>
        <v>0</v>
      </c>
      <c r="AG1232" s="55">
        <f>IF(AQ1232="2",BI1232,0)</f>
        <v>0</v>
      </c>
      <c r="AH1232" s="55">
        <f>IF(AQ1232="0",BJ1232,0)</f>
        <v>0</v>
      </c>
      <c r="AI1232" s="34" t="s">
        <v>116</v>
      </c>
      <c r="AJ1232" s="55">
        <f>IF(AN1232=0,I1232,0)</f>
        <v>0</v>
      </c>
      <c r="AK1232" s="55">
        <f>IF(AN1232=12,I1232,0)</f>
        <v>0</v>
      </c>
      <c r="AL1232" s="55">
        <f>IF(AN1232=21,I1232,0)</f>
        <v>0</v>
      </c>
      <c r="AN1232" s="55">
        <v>21</v>
      </c>
      <c r="AO1232" s="55">
        <f>H1232*0.934712075</f>
        <v>0</v>
      </c>
      <c r="AP1232" s="55">
        <f>H1232*(1-0.934712075)</f>
        <v>0</v>
      </c>
      <c r="AQ1232" s="58" t="s">
        <v>120</v>
      </c>
      <c r="AV1232" s="55">
        <f>AW1232+AX1232</f>
        <v>0</v>
      </c>
      <c r="AW1232" s="55">
        <f>G1232*AO1232</f>
        <v>0</v>
      </c>
      <c r="AX1232" s="55">
        <f>G1232*AP1232</f>
        <v>0</v>
      </c>
      <c r="AY1232" s="58" t="s">
        <v>2343</v>
      </c>
      <c r="AZ1232" s="58" t="s">
        <v>2344</v>
      </c>
      <c r="BA1232" s="34" t="s">
        <v>128</v>
      </c>
      <c r="BB1232" s="67">
        <v>100019</v>
      </c>
      <c r="BC1232" s="55">
        <f>AW1232+AX1232</f>
        <v>0</v>
      </c>
      <c r="BD1232" s="55">
        <f>H1232/(100-BE1232)*100</f>
        <v>0</v>
      </c>
      <c r="BE1232" s="55">
        <v>0</v>
      </c>
      <c r="BF1232" s="55">
        <f>K1232</f>
        <v>2.789295</v>
      </c>
      <c r="BH1232" s="55">
        <f>G1232*AO1232</f>
        <v>0</v>
      </c>
      <c r="BI1232" s="55">
        <f>G1232*AP1232</f>
        <v>0</v>
      </c>
      <c r="BJ1232" s="55">
        <f>G1232*H1232</f>
        <v>0</v>
      </c>
      <c r="BK1232" s="55"/>
      <c r="BL1232" s="55">
        <v>94</v>
      </c>
      <c r="BW1232" s="55">
        <v>21</v>
      </c>
    </row>
    <row r="1233" spans="1:12" ht="13.5" customHeight="1">
      <c r="A1233" s="59"/>
      <c r="D1233" s="218" t="s">
        <v>2350</v>
      </c>
      <c r="E1233" s="219"/>
      <c r="F1233" s="219"/>
      <c r="G1233" s="219"/>
      <c r="H1233" s="220"/>
      <c r="I1233" s="219"/>
      <c r="J1233" s="219"/>
      <c r="K1233" s="219"/>
      <c r="L1233" s="221"/>
    </row>
    <row r="1234" spans="1:12" ht="14.4">
      <c r="A1234" s="59"/>
      <c r="D1234" s="60" t="s">
        <v>2351</v>
      </c>
      <c r="E1234" s="60" t="s">
        <v>4</v>
      </c>
      <c r="G1234" s="68">
        <v>2936.1</v>
      </c>
      <c r="L1234" s="69"/>
    </row>
    <row r="1235" spans="1:75" ht="13.5" customHeight="1">
      <c r="A1235" s="1" t="s">
        <v>2352</v>
      </c>
      <c r="B1235" s="2" t="s">
        <v>116</v>
      </c>
      <c r="C1235" s="2" t="s">
        <v>2353</v>
      </c>
      <c r="D1235" s="147" t="s">
        <v>2354</v>
      </c>
      <c r="E1235" s="148"/>
      <c r="F1235" s="2" t="s">
        <v>729</v>
      </c>
      <c r="G1235" s="55">
        <v>489.35</v>
      </c>
      <c r="H1235" s="56">
        <v>0</v>
      </c>
      <c r="I1235" s="55">
        <f>G1235*H1235</f>
        <v>0</v>
      </c>
      <c r="J1235" s="55">
        <v>0</v>
      </c>
      <c r="K1235" s="55">
        <f>G1235*J1235</f>
        <v>0</v>
      </c>
      <c r="L1235" s="57" t="s">
        <v>785</v>
      </c>
      <c r="Z1235" s="55">
        <f>IF(AQ1235="5",BJ1235,0)</f>
        <v>0</v>
      </c>
      <c r="AB1235" s="55">
        <f>IF(AQ1235="1",BH1235,0)</f>
        <v>0</v>
      </c>
      <c r="AC1235" s="55">
        <f>IF(AQ1235="1",BI1235,0)</f>
        <v>0</v>
      </c>
      <c r="AD1235" s="55">
        <f>IF(AQ1235="7",BH1235,0)</f>
        <v>0</v>
      </c>
      <c r="AE1235" s="55">
        <f>IF(AQ1235="7",BI1235,0)</f>
        <v>0</v>
      </c>
      <c r="AF1235" s="55">
        <f>IF(AQ1235="2",BH1235,0)</f>
        <v>0</v>
      </c>
      <c r="AG1235" s="55">
        <f>IF(AQ1235="2",BI1235,0)</f>
        <v>0</v>
      </c>
      <c r="AH1235" s="55">
        <f>IF(AQ1235="0",BJ1235,0)</f>
        <v>0</v>
      </c>
      <c r="AI1235" s="34" t="s">
        <v>116</v>
      </c>
      <c r="AJ1235" s="55">
        <f>IF(AN1235=0,I1235,0)</f>
        <v>0</v>
      </c>
      <c r="AK1235" s="55">
        <f>IF(AN1235=12,I1235,0)</f>
        <v>0</v>
      </c>
      <c r="AL1235" s="55">
        <f>IF(AN1235=21,I1235,0)</f>
        <v>0</v>
      </c>
      <c r="AN1235" s="55">
        <v>21</v>
      </c>
      <c r="AO1235" s="55">
        <f>H1235*0</f>
        <v>0</v>
      </c>
      <c r="AP1235" s="55">
        <f>H1235*(1-0)</f>
        <v>0</v>
      </c>
      <c r="AQ1235" s="58" t="s">
        <v>120</v>
      </c>
      <c r="AV1235" s="55">
        <f>AW1235+AX1235</f>
        <v>0</v>
      </c>
      <c r="AW1235" s="55">
        <f>G1235*AO1235</f>
        <v>0</v>
      </c>
      <c r="AX1235" s="55">
        <f>G1235*AP1235</f>
        <v>0</v>
      </c>
      <c r="AY1235" s="58" t="s">
        <v>2343</v>
      </c>
      <c r="AZ1235" s="58" t="s">
        <v>2344</v>
      </c>
      <c r="BA1235" s="34" t="s">
        <v>128</v>
      </c>
      <c r="BB1235" s="67">
        <v>100019</v>
      </c>
      <c r="BC1235" s="55">
        <f>AW1235+AX1235</f>
        <v>0</v>
      </c>
      <c r="BD1235" s="55">
        <f>H1235/(100-BE1235)*100</f>
        <v>0</v>
      </c>
      <c r="BE1235" s="55">
        <v>0</v>
      </c>
      <c r="BF1235" s="55">
        <f>K1235</f>
        <v>0</v>
      </c>
      <c r="BH1235" s="55">
        <f>G1235*AO1235</f>
        <v>0</v>
      </c>
      <c r="BI1235" s="55">
        <f>G1235*AP1235</f>
        <v>0</v>
      </c>
      <c r="BJ1235" s="55">
        <f>G1235*H1235</f>
        <v>0</v>
      </c>
      <c r="BK1235" s="55"/>
      <c r="BL1235" s="55">
        <v>94</v>
      </c>
      <c r="BW1235" s="55">
        <v>21</v>
      </c>
    </row>
    <row r="1236" spans="1:12" ht="14.4">
      <c r="A1236" s="59"/>
      <c r="D1236" s="60" t="s">
        <v>2355</v>
      </c>
      <c r="E1236" s="60" t="s">
        <v>4</v>
      </c>
      <c r="G1236" s="68">
        <v>489.35</v>
      </c>
      <c r="L1236" s="69"/>
    </row>
    <row r="1237" spans="1:75" ht="13.5" customHeight="1">
      <c r="A1237" s="1" t="s">
        <v>2356</v>
      </c>
      <c r="B1237" s="2" t="s">
        <v>116</v>
      </c>
      <c r="C1237" s="2" t="s">
        <v>2357</v>
      </c>
      <c r="D1237" s="147" t="s">
        <v>2358</v>
      </c>
      <c r="E1237" s="148"/>
      <c r="F1237" s="2" t="s">
        <v>729</v>
      </c>
      <c r="G1237" s="55">
        <v>600</v>
      </c>
      <c r="H1237" s="56">
        <v>0</v>
      </c>
      <c r="I1237" s="55">
        <f>G1237*H1237</f>
        <v>0</v>
      </c>
      <c r="J1237" s="55">
        <v>0.00121</v>
      </c>
      <c r="K1237" s="55">
        <f>G1237*J1237</f>
        <v>0.726</v>
      </c>
      <c r="L1237" s="57" t="s">
        <v>785</v>
      </c>
      <c r="Z1237" s="55">
        <f>IF(AQ1237="5",BJ1237,0)</f>
        <v>0</v>
      </c>
      <c r="AB1237" s="55">
        <f>IF(AQ1237="1",BH1237,0)</f>
        <v>0</v>
      </c>
      <c r="AC1237" s="55">
        <f>IF(AQ1237="1",BI1237,0)</f>
        <v>0</v>
      </c>
      <c r="AD1237" s="55">
        <f>IF(AQ1237="7",BH1237,0)</f>
        <v>0</v>
      </c>
      <c r="AE1237" s="55">
        <f>IF(AQ1237="7",BI1237,0)</f>
        <v>0</v>
      </c>
      <c r="AF1237" s="55">
        <f>IF(AQ1237="2",BH1237,0)</f>
        <v>0</v>
      </c>
      <c r="AG1237" s="55">
        <f>IF(AQ1237="2",BI1237,0)</f>
        <v>0</v>
      </c>
      <c r="AH1237" s="55">
        <f>IF(AQ1237="0",BJ1237,0)</f>
        <v>0</v>
      </c>
      <c r="AI1237" s="34" t="s">
        <v>116</v>
      </c>
      <c r="AJ1237" s="55">
        <f>IF(AN1237=0,I1237,0)</f>
        <v>0</v>
      </c>
      <c r="AK1237" s="55">
        <f>IF(AN1237=12,I1237,0)</f>
        <v>0</v>
      </c>
      <c r="AL1237" s="55">
        <f>IF(AN1237=21,I1237,0)</f>
        <v>0</v>
      </c>
      <c r="AN1237" s="55">
        <v>21</v>
      </c>
      <c r="AO1237" s="55">
        <f>H1237*0.368637643</f>
        <v>0</v>
      </c>
      <c r="AP1237" s="55">
        <f>H1237*(1-0.368637643)</f>
        <v>0</v>
      </c>
      <c r="AQ1237" s="58" t="s">
        <v>120</v>
      </c>
      <c r="AV1237" s="55">
        <f>AW1237+AX1237</f>
        <v>0</v>
      </c>
      <c r="AW1237" s="55">
        <f>G1237*AO1237</f>
        <v>0</v>
      </c>
      <c r="AX1237" s="55">
        <f>G1237*AP1237</f>
        <v>0</v>
      </c>
      <c r="AY1237" s="58" t="s">
        <v>2343</v>
      </c>
      <c r="AZ1237" s="58" t="s">
        <v>2344</v>
      </c>
      <c r="BA1237" s="34" t="s">
        <v>128</v>
      </c>
      <c r="BB1237" s="67">
        <v>100019</v>
      </c>
      <c r="BC1237" s="55">
        <f>AW1237+AX1237</f>
        <v>0</v>
      </c>
      <c r="BD1237" s="55">
        <f>H1237/(100-BE1237)*100</f>
        <v>0</v>
      </c>
      <c r="BE1237" s="55">
        <v>0</v>
      </c>
      <c r="BF1237" s="55">
        <f>K1237</f>
        <v>0.726</v>
      </c>
      <c r="BH1237" s="55">
        <f>G1237*AO1237</f>
        <v>0</v>
      </c>
      <c r="BI1237" s="55">
        <f>G1237*AP1237</f>
        <v>0</v>
      </c>
      <c r="BJ1237" s="55">
        <f>G1237*H1237</f>
        <v>0</v>
      </c>
      <c r="BK1237" s="55"/>
      <c r="BL1237" s="55">
        <v>94</v>
      </c>
      <c r="BW1237" s="55">
        <v>21</v>
      </c>
    </row>
    <row r="1238" spans="1:12" ht="14.4">
      <c r="A1238" s="59"/>
      <c r="D1238" s="60" t="s">
        <v>2359</v>
      </c>
      <c r="E1238" s="60" t="s">
        <v>4</v>
      </c>
      <c r="G1238" s="68">
        <v>600</v>
      </c>
      <c r="L1238" s="69"/>
    </row>
    <row r="1239" spans="1:75" ht="13.5" customHeight="1">
      <c r="A1239" s="1" t="s">
        <v>2360</v>
      </c>
      <c r="B1239" s="2" t="s">
        <v>116</v>
      </c>
      <c r="C1239" s="2" t="s">
        <v>2361</v>
      </c>
      <c r="D1239" s="147" t="s">
        <v>2362</v>
      </c>
      <c r="E1239" s="148"/>
      <c r="F1239" s="2" t="s">
        <v>729</v>
      </c>
      <c r="G1239" s="55">
        <v>200</v>
      </c>
      <c r="H1239" s="56">
        <v>0</v>
      </c>
      <c r="I1239" s="55">
        <f>G1239*H1239</f>
        <v>0</v>
      </c>
      <c r="J1239" s="55">
        <v>0.00158</v>
      </c>
      <c r="K1239" s="55">
        <f>G1239*J1239</f>
        <v>0.316</v>
      </c>
      <c r="L1239" s="57" t="s">
        <v>785</v>
      </c>
      <c r="Z1239" s="55">
        <f>IF(AQ1239="5",BJ1239,0)</f>
        <v>0</v>
      </c>
      <c r="AB1239" s="55">
        <f>IF(AQ1239="1",BH1239,0)</f>
        <v>0</v>
      </c>
      <c r="AC1239" s="55">
        <f>IF(AQ1239="1",BI1239,0)</f>
        <v>0</v>
      </c>
      <c r="AD1239" s="55">
        <f>IF(AQ1239="7",BH1239,0)</f>
        <v>0</v>
      </c>
      <c r="AE1239" s="55">
        <f>IF(AQ1239="7",BI1239,0)</f>
        <v>0</v>
      </c>
      <c r="AF1239" s="55">
        <f>IF(AQ1239="2",BH1239,0)</f>
        <v>0</v>
      </c>
      <c r="AG1239" s="55">
        <f>IF(AQ1239="2",BI1239,0)</f>
        <v>0</v>
      </c>
      <c r="AH1239" s="55">
        <f>IF(AQ1239="0",BJ1239,0)</f>
        <v>0</v>
      </c>
      <c r="AI1239" s="34" t="s">
        <v>116</v>
      </c>
      <c r="AJ1239" s="55">
        <f>IF(AN1239=0,I1239,0)</f>
        <v>0</v>
      </c>
      <c r="AK1239" s="55">
        <f>IF(AN1239=12,I1239,0)</f>
        <v>0</v>
      </c>
      <c r="AL1239" s="55">
        <f>IF(AN1239=21,I1239,0)</f>
        <v>0</v>
      </c>
      <c r="AN1239" s="55">
        <v>21</v>
      </c>
      <c r="AO1239" s="55">
        <f>H1239*0.407753936</f>
        <v>0</v>
      </c>
      <c r="AP1239" s="55">
        <f>H1239*(1-0.407753936)</f>
        <v>0</v>
      </c>
      <c r="AQ1239" s="58" t="s">
        <v>120</v>
      </c>
      <c r="AV1239" s="55">
        <f>AW1239+AX1239</f>
        <v>0</v>
      </c>
      <c r="AW1239" s="55">
        <f>G1239*AO1239</f>
        <v>0</v>
      </c>
      <c r="AX1239" s="55">
        <f>G1239*AP1239</f>
        <v>0</v>
      </c>
      <c r="AY1239" s="58" t="s">
        <v>2343</v>
      </c>
      <c r="AZ1239" s="58" t="s">
        <v>2344</v>
      </c>
      <c r="BA1239" s="34" t="s">
        <v>128</v>
      </c>
      <c r="BB1239" s="67">
        <v>100019</v>
      </c>
      <c r="BC1239" s="55">
        <f>AW1239+AX1239</f>
        <v>0</v>
      </c>
      <c r="BD1239" s="55">
        <f>H1239/(100-BE1239)*100</f>
        <v>0</v>
      </c>
      <c r="BE1239" s="55">
        <v>0</v>
      </c>
      <c r="BF1239" s="55">
        <f>K1239</f>
        <v>0.316</v>
      </c>
      <c r="BH1239" s="55">
        <f>G1239*AO1239</f>
        <v>0</v>
      </c>
      <c r="BI1239" s="55">
        <f>G1239*AP1239</f>
        <v>0</v>
      </c>
      <c r="BJ1239" s="55">
        <f>G1239*H1239</f>
        <v>0</v>
      </c>
      <c r="BK1239" s="55"/>
      <c r="BL1239" s="55">
        <v>94</v>
      </c>
      <c r="BW1239" s="55">
        <v>21</v>
      </c>
    </row>
    <row r="1240" spans="1:12" ht="14.4">
      <c r="A1240" s="59"/>
      <c r="D1240" s="60" t="s">
        <v>756</v>
      </c>
      <c r="E1240" s="60" t="s">
        <v>4</v>
      </c>
      <c r="G1240" s="68">
        <v>200</v>
      </c>
      <c r="L1240" s="69"/>
    </row>
    <row r="1241" spans="1:75" ht="13.5" customHeight="1">
      <c r="A1241" s="1" t="s">
        <v>2363</v>
      </c>
      <c r="B1241" s="2" t="s">
        <v>116</v>
      </c>
      <c r="C1241" s="2" t="s">
        <v>2364</v>
      </c>
      <c r="D1241" s="147" t="s">
        <v>2365</v>
      </c>
      <c r="E1241" s="148"/>
      <c r="F1241" s="2" t="s">
        <v>729</v>
      </c>
      <c r="G1241" s="55">
        <v>5.67</v>
      </c>
      <c r="H1241" s="56">
        <v>0</v>
      </c>
      <c r="I1241" s="55">
        <f>G1241*H1241</f>
        <v>0</v>
      </c>
      <c r="J1241" s="55">
        <v>0.00214</v>
      </c>
      <c r="K1241" s="55">
        <f>G1241*J1241</f>
        <v>0.0121338</v>
      </c>
      <c r="L1241" s="57" t="s">
        <v>785</v>
      </c>
      <c r="Z1241" s="55">
        <f>IF(AQ1241="5",BJ1241,0)</f>
        <v>0</v>
      </c>
      <c r="AB1241" s="55">
        <f>IF(AQ1241="1",BH1241,0)</f>
        <v>0</v>
      </c>
      <c r="AC1241" s="55">
        <f>IF(AQ1241="1",BI1241,0)</f>
        <v>0</v>
      </c>
      <c r="AD1241" s="55">
        <f>IF(AQ1241="7",BH1241,0)</f>
        <v>0</v>
      </c>
      <c r="AE1241" s="55">
        <f>IF(AQ1241="7",BI1241,0)</f>
        <v>0</v>
      </c>
      <c r="AF1241" s="55">
        <f>IF(AQ1241="2",BH1241,0)</f>
        <v>0</v>
      </c>
      <c r="AG1241" s="55">
        <f>IF(AQ1241="2",BI1241,0)</f>
        <v>0</v>
      </c>
      <c r="AH1241" s="55">
        <f>IF(AQ1241="0",BJ1241,0)</f>
        <v>0</v>
      </c>
      <c r="AI1241" s="34" t="s">
        <v>116</v>
      </c>
      <c r="AJ1241" s="55">
        <f>IF(AN1241=0,I1241,0)</f>
        <v>0</v>
      </c>
      <c r="AK1241" s="55">
        <f>IF(AN1241=12,I1241,0)</f>
        <v>0</v>
      </c>
      <c r="AL1241" s="55">
        <f>IF(AN1241=21,I1241,0)</f>
        <v>0</v>
      </c>
      <c r="AN1241" s="55">
        <v>21</v>
      </c>
      <c r="AO1241" s="55">
        <f>H1241*0.307534271</f>
        <v>0</v>
      </c>
      <c r="AP1241" s="55">
        <f>H1241*(1-0.307534271)</f>
        <v>0</v>
      </c>
      <c r="AQ1241" s="58" t="s">
        <v>120</v>
      </c>
      <c r="AV1241" s="55">
        <f>AW1241+AX1241</f>
        <v>0</v>
      </c>
      <c r="AW1241" s="55">
        <f>G1241*AO1241</f>
        <v>0</v>
      </c>
      <c r="AX1241" s="55">
        <f>G1241*AP1241</f>
        <v>0</v>
      </c>
      <c r="AY1241" s="58" t="s">
        <v>2343</v>
      </c>
      <c r="AZ1241" s="58" t="s">
        <v>2344</v>
      </c>
      <c r="BA1241" s="34" t="s">
        <v>128</v>
      </c>
      <c r="BB1241" s="67">
        <v>100019</v>
      </c>
      <c r="BC1241" s="55">
        <f>AW1241+AX1241</f>
        <v>0</v>
      </c>
      <c r="BD1241" s="55">
        <f>H1241/(100-BE1241)*100</f>
        <v>0</v>
      </c>
      <c r="BE1241" s="55">
        <v>0</v>
      </c>
      <c r="BF1241" s="55">
        <f>K1241</f>
        <v>0.0121338</v>
      </c>
      <c r="BH1241" s="55">
        <f>G1241*AO1241</f>
        <v>0</v>
      </c>
      <c r="BI1241" s="55">
        <f>G1241*AP1241</f>
        <v>0</v>
      </c>
      <c r="BJ1241" s="55">
        <f>G1241*H1241</f>
        <v>0</v>
      </c>
      <c r="BK1241" s="55"/>
      <c r="BL1241" s="55">
        <v>94</v>
      </c>
      <c r="BW1241" s="55">
        <v>21</v>
      </c>
    </row>
    <row r="1242" spans="1:12" ht="14.4">
      <c r="A1242" s="59"/>
      <c r="D1242" s="60" t="s">
        <v>2366</v>
      </c>
      <c r="E1242" s="60" t="s">
        <v>4</v>
      </c>
      <c r="G1242" s="68">
        <v>5.67</v>
      </c>
      <c r="L1242" s="69"/>
    </row>
    <row r="1243" spans="1:47" ht="14.4">
      <c r="A1243" s="50" t="s">
        <v>4</v>
      </c>
      <c r="B1243" s="51" t="s">
        <v>116</v>
      </c>
      <c r="C1243" s="51" t="s">
        <v>425</v>
      </c>
      <c r="D1243" s="222" t="s">
        <v>2367</v>
      </c>
      <c r="E1243" s="223"/>
      <c r="F1243" s="52" t="s">
        <v>79</v>
      </c>
      <c r="G1243" s="52" t="s">
        <v>79</v>
      </c>
      <c r="H1243" s="53" t="s">
        <v>79</v>
      </c>
      <c r="I1243" s="27">
        <f>SUM(I1244:I1274)</f>
        <v>0</v>
      </c>
      <c r="J1243" s="34" t="s">
        <v>4</v>
      </c>
      <c r="K1243" s="27">
        <f>SUM(K1244:K1274)</f>
        <v>0.027648000000000006</v>
      </c>
      <c r="L1243" s="54" t="s">
        <v>4</v>
      </c>
      <c r="AI1243" s="34" t="s">
        <v>116</v>
      </c>
      <c r="AS1243" s="27">
        <f>SUM(AJ1244:AJ1274)</f>
        <v>0</v>
      </c>
      <c r="AT1243" s="27">
        <f>SUM(AK1244:AK1274)</f>
        <v>0</v>
      </c>
      <c r="AU1243" s="27">
        <f>SUM(AL1244:AL1274)</f>
        <v>0</v>
      </c>
    </row>
    <row r="1244" spans="1:75" ht="13.5" customHeight="1">
      <c r="A1244" s="1" t="s">
        <v>2368</v>
      </c>
      <c r="B1244" s="2" t="s">
        <v>116</v>
      </c>
      <c r="C1244" s="2" t="s">
        <v>2369</v>
      </c>
      <c r="D1244" s="147" t="s">
        <v>2370</v>
      </c>
      <c r="E1244" s="148"/>
      <c r="F1244" s="2" t="s">
        <v>729</v>
      </c>
      <c r="G1244" s="55">
        <v>367.7</v>
      </c>
      <c r="H1244" s="56">
        <v>0</v>
      </c>
      <c r="I1244" s="55">
        <f>G1244*H1244</f>
        <v>0</v>
      </c>
      <c r="J1244" s="55">
        <v>0</v>
      </c>
      <c r="K1244" s="55">
        <f>G1244*J1244</f>
        <v>0</v>
      </c>
      <c r="L1244" s="57" t="s">
        <v>785</v>
      </c>
      <c r="Z1244" s="55">
        <f>IF(AQ1244="5",BJ1244,0)</f>
        <v>0</v>
      </c>
      <c r="AB1244" s="55">
        <f>IF(AQ1244="1",BH1244,0)</f>
        <v>0</v>
      </c>
      <c r="AC1244" s="55">
        <f>IF(AQ1244="1",BI1244,0)</f>
        <v>0</v>
      </c>
      <c r="AD1244" s="55">
        <f>IF(AQ1244="7",BH1244,0)</f>
        <v>0</v>
      </c>
      <c r="AE1244" s="55">
        <f>IF(AQ1244="7",BI1244,0)</f>
        <v>0</v>
      </c>
      <c r="AF1244" s="55">
        <f>IF(AQ1244="2",BH1244,0)</f>
        <v>0</v>
      </c>
      <c r="AG1244" s="55">
        <f>IF(AQ1244="2",BI1244,0)</f>
        <v>0</v>
      </c>
      <c r="AH1244" s="55">
        <f>IF(AQ1244="0",BJ1244,0)</f>
        <v>0</v>
      </c>
      <c r="AI1244" s="34" t="s">
        <v>116</v>
      </c>
      <c r="AJ1244" s="55">
        <f>IF(AN1244=0,I1244,0)</f>
        <v>0</v>
      </c>
      <c r="AK1244" s="55">
        <f>IF(AN1244=12,I1244,0)</f>
        <v>0</v>
      </c>
      <c r="AL1244" s="55">
        <f>IF(AN1244=21,I1244,0)</f>
        <v>0</v>
      </c>
      <c r="AN1244" s="55">
        <v>21</v>
      </c>
      <c r="AO1244" s="55">
        <f>H1244*0</f>
        <v>0</v>
      </c>
      <c r="AP1244" s="55">
        <f>H1244*(1-0)</f>
        <v>0</v>
      </c>
      <c r="AQ1244" s="58" t="s">
        <v>120</v>
      </c>
      <c r="AV1244" s="55">
        <f>AW1244+AX1244</f>
        <v>0</v>
      </c>
      <c r="AW1244" s="55">
        <f>G1244*AO1244</f>
        <v>0</v>
      </c>
      <c r="AX1244" s="55">
        <f>G1244*AP1244</f>
        <v>0</v>
      </c>
      <c r="AY1244" s="58" t="s">
        <v>2371</v>
      </c>
      <c r="AZ1244" s="58" t="s">
        <v>2344</v>
      </c>
      <c r="BA1244" s="34" t="s">
        <v>128</v>
      </c>
      <c r="BB1244" s="67">
        <v>100023</v>
      </c>
      <c r="BC1244" s="55">
        <f>AW1244+AX1244</f>
        <v>0</v>
      </c>
      <c r="BD1244" s="55">
        <f>H1244/(100-BE1244)*100</f>
        <v>0</v>
      </c>
      <c r="BE1244" s="55">
        <v>0</v>
      </c>
      <c r="BF1244" s="55">
        <f>K1244</f>
        <v>0</v>
      </c>
      <c r="BH1244" s="55">
        <f>G1244*AO1244</f>
        <v>0</v>
      </c>
      <c r="BI1244" s="55">
        <f>G1244*AP1244</f>
        <v>0</v>
      </c>
      <c r="BJ1244" s="55">
        <f>G1244*H1244</f>
        <v>0</v>
      </c>
      <c r="BK1244" s="55"/>
      <c r="BL1244" s="55">
        <v>95</v>
      </c>
      <c r="BW1244" s="55">
        <v>21</v>
      </c>
    </row>
    <row r="1245" spans="1:12" ht="13.5" customHeight="1">
      <c r="A1245" s="59"/>
      <c r="D1245" s="218" t="s">
        <v>2372</v>
      </c>
      <c r="E1245" s="219"/>
      <c r="F1245" s="219"/>
      <c r="G1245" s="219"/>
      <c r="H1245" s="220"/>
      <c r="I1245" s="219"/>
      <c r="J1245" s="219"/>
      <c r="K1245" s="219"/>
      <c r="L1245" s="221"/>
    </row>
    <row r="1246" spans="1:12" ht="14.4">
      <c r="A1246" s="59"/>
      <c r="D1246" s="60" t="s">
        <v>1098</v>
      </c>
      <c r="E1246" s="60" t="s">
        <v>4</v>
      </c>
      <c r="G1246" s="68">
        <v>367.7</v>
      </c>
      <c r="L1246" s="69"/>
    </row>
    <row r="1247" spans="1:75" ht="13.5" customHeight="1">
      <c r="A1247" s="1" t="s">
        <v>2373</v>
      </c>
      <c r="B1247" s="2" t="s">
        <v>116</v>
      </c>
      <c r="C1247" s="2" t="s">
        <v>2374</v>
      </c>
      <c r="D1247" s="147" t="s">
        <v>2375</v>
      </c>
      <c r="E1247" s="148"/>
      <c r="F1247" s="2" t="s">
        <v>729</v>
      </c>
      <c r="G1247" s="55">
        <v>638.2</v>
      </c>
      <c r="H1247" s="56">
        <v>0</v>
      </c>
      <c r="I1247" s="55">
        <f>G1247*H1247</f>
        <v>0</v>
      </c>
      <c r="J1247" s="55">
        <v>4E-05</v>
      </c>
      <c r="K1247" s="55">
        <f>G1247*J1247</f>
        <v>0.025528000000000006</v>
      </c>
      <c r="L1247" s="57" t="s">
        <v>785</v>
      </c>
      <c r="Z1247" s="55">
        <f>IF(AQ1247="5",BJ1247,0)</f>
        <v>0</v>
      </c>
      <c r="AB1247" s="55">
        <f>IF(AQ1247="1",BH1247,0)</f>
        <v>0</v>
      </c>
      <c r="AC1247" s="55">
        <f>IF(AQ1247="1",BI1247,0)</f>
        <v>0</v>
      </c>
      <c r="AD1247" s="55">
        <f>IF(AQ1247="7",BH1247,0)</f>
        <v>0</v>
      </c>
      <c r="AE1247" s="55">
        <f>IF(AQ1247="7",BI1247,0)</f>
        <v>0</v>
      </c>
      <c r="AF1247" s="55">
        <f>IF(AQ1247="2",BH1247,0)</f>
        <v>0</v>
      </c>
      <c r="AG1247" s="55">
        <f>IF(AQ1247="2",BI1247,0)</f>
        <v>0</v>
      </c>
      <c r="AH1247" s="55">
        <f>IF(AQ1247="0",BJ1247,0)</f>
        <v>0</v>
      </c>
      <c r="AI1247" s="34" t="s">
        <v>116</v>
      </c>
      <c r="AJ1247" s="55">
        <f>IF(AN1247=0,I1247,0)</f>
        <v>0</v>
      </c>
      <c r="AK1247" s="55">
        <f>IF(AN1247=12,I1247,0)</f>
        <v>0</v>
      </c>
      <c r="AL1247" s="55">
        <f>IF(AN1247=21,I1247,0)</f>
        <v>0</v>
      </c>
      <c r="AN1247" s="55">
        <v>21</v>
      </c>
      <c r="AO1247" s="55">
        <f>H1247*0.013885894</f>
        <v>0</v>
      </c>
      <c r="AP1247" s="55">
        <f>H1247*(1-0.013885894)</f>
        <v>0</v>
      </c>
      <c r="AQ1247" s="58" t="s">
        <v>120</v>
      </c>
      <c r="AV1247" s="55">
        <f>AW1247+AX1247</f>
        <v>0</v>
      </c>
      <c r="AW1247" s="55">
        <f>G1247*AO1247</f>
        <v>0</v>
      </c>
      <c r="AX1247" s="55">
        <f>G1247*AP1247</f>
        <v>0</v>
      </c>
      <c r="AY1247" s="58" t="s">
        <v>2371</v>
      </c>
      <c r="AZ1247" s="58" t="s">
        <v>2344</v>
      </c>
      <c r="BA1247" s="34" t="s">
        <v>128</v>
      </c>
      <c r="BB1247" s="67">
        <v>100023</v>
      </c>
      <c r="BC1247" s="55">
        <f>AW1247+AX1247</f>
        <v>0</v>
      </c>
      <c r="BD1247" s="55">
        <f>H1247/(100-BE1247)*100</f>
        <v>0</v>
      </c>
      <c r="BE1247" s="55">
        <v>0</v>
      </c>
      <c r="BF1247" s="55">
        <f>K1247</f>
        <v>0.025528000000000006</v>
      </c>
      <c r="BH1247" s="55">
        <f>G1247*AO1247</f>
        <v>0</v>
      </c>
      <c r="BI1247" s="55">
        <f>G1247*AP1247</f>
        <v>0</v>
      </c>
      <c r="BJ1247" s="55">
        <f>G1247*H1247</f>
        <v>0</v>
      </c>
      <c r="BK1247" s="55"/>
      <c r="BL1247" s="55">
        <v>95</v>
      </c>
      <c r="BW1247" s="55">
        <v>21</v>
      </c>
    </row>
    <row r="1248" spans="1:12" ht="14.4">
      <c r="A1248" s="59"/>
      <c r="D1248" s="60" t="s">
        <v>2376</v>
      </c>
      <c r="E1248" s="60" t="s">
        <v>4</v>
      </c>
      <c r="G1248" s="68">
        <v>638.2</v>
      </c>
      <c r="L1248" s="69"/>
    </row>
    <row r="1249" spans="1:75" ht="27" customHeight="1">
      <c r="A1249" s="1" t="s">
        <v>2377</v>
      </c>
      <c r="B1249" s="2" t="s">
        <v>116</v>
      </c>
      <c r="C1249" s="2" t="s">
        <v>2378</v>
      </c>
      <c r="D1249" s="147" t="s">
        <v>2379</v>
      </c>
      <c r="E1249" s="148"/>
      <c r="F1249" s="2" t="s">
        <v>1791</v>
      </c>
      <c r="G1249" s="55">
        <v>100</v>
      </c>
      <c r="H1249" s="56">
        <v>0</v>
      </c>
      <c r="I1249" s="55">
        <f>G1249*H1249</f>
        <v>0</v>
      </c>
      <c r="J1249" s="55">
        <v>0</v>
      </c>
      <c r="K1249" s="55">
        <f>G1249*J1249</f>
        <v>0</v>
      </c>
      <c r="L1249" s="57" t="s">
        <v>785</v>
      </c>
      <c r="Z1249" s="55">
        <f>IF(AQ1249="5",BJ1249,0)</f>
        <v>0</v>
      </c>
      <c r="AB1249" s="55">
        <f>IF(AQ1249="1",BH1249,0)</f>
        <v>0</v>
      </c>
      <c r="AC1249" s="55">
        <f>IF(AQ1249="1",BI1249,0)</f>
        <v>0</v>
      </c>
      <c r="AD1249" s="55">
        <f>IF(AQ1249="7",BH1249,0)</f>
        <v>0</v>
      </c>
      <c r="AE1249" s="55">
        <f>IF(AQ1249="7",BI1249,0)</f>
        <v>0</v>
      </c>
      <c r="AF1249" s="55">
        <f>IF(AQ1249="2",BH1249,0)</f>
        <v>0</v>
      </c>
      <c r="AG1249" s="55">
        <f>IF(AQ1249="2",BI1249,0)</f>
        <v>0</v>
      </c>
      <c r="AH1249" s="55">
        <f>IF(AQ1249="0",BJ1249,0)</f>
        <v>0</v>
      </c>
      <c r="AI1249" s="34" t="s">
        <v>116</v>
      </c>
      <c r="AJ1249" s="55">
        <f>IF(AN1249=0,I1249,0)</f>
        <v>0</v>
      </c>
      <c r="AK1249" s="55">
        <f>IF(AN1249=12,I1249,0)</f>
        <v>0</v>
      </c>
      <c r="AL1249" s="55">
        <f>IF(AN1249=21,I1249,0)</f>
        <v>0</v>
      </c>
      <c r="AN1249" s="55">
        <v>21</v>
      </c>
      <c r="AO1249" s="55">
        <f>H1249*0</f>
        <v>0</v>
      </c>
      <c r="AP1249" s="55">
        <f>H1249*(1-0)</f>
        <v>0</v>
      </c>
      <c r="AQ1249" s="58" t="s">
        <v>120</v>
      </c>
      <c r="AV1249" s="55">
        <f>AW1249+AX1249</f>
        <v>0</v>
      </c>
      <c r="AW1249" s="55">
        <f>G1249*AO1249</f>
        <v>0</v>
      </c>
      <c r="AX1249" s="55">
        <f>G1249*AP1249</f>
        <v>0</v>
      </c>
      <c r="AY1249" s="58" t="s">
        <v>2371</v>
      </c>
      <c r="AZ1249" s="58" t="s">
        <v>2344</v>
      </c>
      <c r="BA1249" s="34" t="s">
        <v>128</v>
      </c>
      <c r="BB1249" s="67">
        <v>100023</v>
      </c>
      <c r="BC1249" s="55">
        <f>AW1249+AX1249</f>
        <v>0</v>
      </c>
      <c r="BD1249" s="55">
        <f>H1249/(100-BE1249)*100</f>
        <v>0</v>
      </c>
      <c r="BE1249" s="55">
        <v>0</v>
      </c>
      <c r="BF1249" s="55">
        <f>K1249</f>
        <v>0</v>
      </c>
      <c r="BH1249" s="55">
        <f>G1249*AO1249</f>
        <v>0</v>
      </c>
      <c r="BI1249" s="55">
        <f>G1249*AP1249</f>
        <v>0</v>
      </c>
      <c r="BJ1249" s="55">
        <f>G1249*H1249</f>
        <v>0</v>
      </c>
      <c r="BK1249" s="55"/>
      <c r="BL1249" s="55">
        <v>95</v>
      </c>
      <c r="BW1249" s="55">
        <v>21</v>
      </c>
    </row>
    <row r="1250" spans="1:12" ht="14.4">
      <c r="A1250" s="59"/>
      <c r="D1250" s="60" t="s">
        <v>444</v>
      </c>
      <c r="E1250" s="60" t="s">
        <v>4</v>
      </c>
      <c r="G1250" s="68">
        <v>100</v>
      </c>
      <c r="L1250" s="69"/>
    </row>
    <row r="1251" spans="1:75" ht="13.5" customHeight="1">
      <c r="A1251" s="1" t="s">
        <v>2380</v>
      </c>
      <c r="B1251" s="2" t="s">
        <v>116</v>
      </c>
      <c r="C1251" s="2" t="s">
        <v>2381</v>
      </c>
      <c r="D1251" s="147" t="s">
        <v>2382</v>
      </c>
      <c r="E1251" s="148"/>
      <c r="F1251" s="2" t="s">
        <v>374</v>
      </c>
      <c r="G1251" s="55">
        <v>32</v>
      </c>
      <c r="H1251" s="56">
        <v>0</v>
      </c>
      <c r="I1251" s="55">
        <f>G1251*H1251</f>
        <v>0</v>
      </c>
      <c r="J1251" s="55">
        <v>0</v>
      </c>
      <c r="K1251" s="55">
        <f>G1251*J1251</f>
        <v>0</v>
      </c>
      <c r="L1251" s="57" t="s">
        <v>785</v>
      </c>
      <c r="Z1251" s="55">
        <f>IF(AQ1251="5",BJ1251,0)</f>
        <v>0</v>
      </c>
      <c r="AB1251" s="55">
        <f>IF(AQ1251="1",BH1251,0)</f>
        <v>0</v>
      </c>
      <c r="AC1251" s="55">
        <f>IF(AQ1251="1",BI1251,0)</f>
        <v>0</v>
      </c>
      <c r="AD1251" s="55">
        <f>IF(AQ1251="7",BH1251,0)</f>
        <v>0</v>
      </c>
      <c r="AE1251" s="55">
        <f>IF(AQ1251="7",BI1251,0)</f>
        <v>0</v>
      </c>
      <c r="AF1251" s="55">
        <f>IF(AQ1251="2",BH1251,0)</f>
        <v>0</v>
      </c>
      <c r="AG1251" s="55">
        <f>IF(AQ1251="2",BI1251,0)</f>
        <v>0</v>
      </c>
      <c r="AH1251" s="55">
        <f>IF(AQ1251="0",BJ1251,0)</f>
        <v>0</v>
      </c>
      <c r="AI1251" s="34" t="s">
        <v>116</v>
      </c>
      <c r="AJ1251" s="55">
        <f>IF(AN1251=0,I1251,0)</f>
        <v>0</v>
      </c>
      <c r="AK1251" s="55">
        <f>IF(AN1251=12,I1251,0)</f>
        <v>0</v>
      </c>
      <c r="AL1251" s="55">
        <f>IF(AN1251=21,I1251,0)</f>
        <v>0</v>
      </c>
      <c r="AN1251" s="55">
        <v>21</v>
      </c>
      <c r="AO1251" s="55">
        <f>H1251*0.454064007</f>
        <v>0</v>
      </c>
      <c r="AP1251" s="55">
        <f>H1251*(1-0.454064007)</f>
        <v>0</v>
      </c>
      <c r="AQ1251" s="58" t="s">
        <v>120</v>
      </c>
      <c r="AV1251" s="55">
        <f>AW1251+AX1251</f>
        <v>0</v>
      </c>
      <c r="AW1251" s="55">
        <f>G1251*AO1251</f>
        <v>0</v>
      </c>
      <c r="AX1251" s="55">
        <f>G1251*AP1251</f>
        <v>0</v>
      </c>
      <c r="AY1251" s="58" t="s">
        <v>2371</v>
      </c>
      <c r="AZ1251" s="58" t="s">
        <v>2344</v>
      </c>
      <c r="BA1251" s="34" t="s">
        <v>128</v>
      </c>
      <c r="BB1251" s="67">
        <v>100023</v>
      </c>
      <c r="BC1251" s="55">
        <f>AW1251+AX1251</f>
        <v>0</v>
      </c>
      <c r="BD1251" s="55">
        <f>H1251/(100-BE1251)*100</f>
        <v>0</v>
      </c>
      <c r="BE1251" s="55">
        <v>0</v>
      </c>
      <c r="BF1251" s="55">
        <f>K1251</f>
        <v>0</v>
      </c>
      <c r="BH1251" s="55">
        <f>G1251*AO1251</f>
        <v>0</v>
      </c>
      <c r="BI1251" s="55">
        <f>G1251*AP1251</f>
        <v>0</v>
      </c>
      <c r="BJ1251" s="55">
        <f>G1251*H1251</f>
        <v>0</v>
      </c>
      <c r="BK1251" s="55"/>
      <c r="BL1251" s="55">
        <v>95</v>
      </c>
      <c r="BW1251" s="55">
        <v>21</v>
      </c>
    </row>
    <row r="1252" spans="1:12" ht="14.4">
      <c r="A1252" s="59"/>
      <c r="D1252" s="60" t="s">
        <v>2383</v>
      </c>
      <c r="E1252" s="60" t="s">
        <v>2384</v>
      </c>
      <c r="G1252" s="68">
        <v>32</v>
      </c>
      <c r="L1252" s="69"/>
    </row>
    <row r="1253" spans="1:75" ht="13.5" customHeight="1">
      <c r="A1253" s="1" t="s">
        <v>2385</v>
      </c>
      <c r="B1253" s="2" t="s">
        <v>116</v>
      </c>
      <c r="C1253" s="2" t="s">
        <v>2386</v>
      </c>
      <c r="D1253" s="147" t="s">
        <v>2387</v>
      </c>
      <c r="E1253" s="148"/>
      <c r="F1253" s="2" t="s">
        <v>374</v>
      </c>
      <c r="G1253" s="55">
        <v>72</v>
      </c>
      <c r="H1253" s="56">
        <v>0</v>
      </c>
      <c r="I1253" s="55">
        <f>G1253*H1253</f>
        <v>0</v>
      </c>
      <c r="J1253" s="55">
        <v>0</v>
      </c>
      <c r="K1253" s="55">
        <f>G1253*J1253</f>
        <v>0</v>
      </c>
      <c r="L1253" s="57" t="s">
        <v>124</v>
      </c>
      <c r="Z1253" s="55">
        <f>IF(AQ1253="5",BJ1253,0)</f>
        <v>0</v>
      </c>
      <c r="AB1253" s="55">
        <f>IF(AQ1253="1",BH1253,0)</f>
        <v>0</v>
      </c>
      <c r="AC1253" s="55">
        <f>IF(AQ1253="1",BI1253,0)</f>
        <v>0</v>
      </c>
      <c r="AD1253" s="55">
        <f>IF(AQ1253="7",BH1253,0)</f>
        <v>0</v>
      </c>
      <c r="AE1253" s="55">
        <f>IF(AQ1253="7",BI1253,0)</f>
        <v>0</v>
      </c>
      <c r="AF1253" s="55">
        <f>IF(AQ1253="2",BH1253,0)</f>
        <v>0</v>
      </c>
      <c r="AG1253" s="55">
        <f>IF(AQ1253="2",BI1253,0)</f>
        <v>0</v>
      </c>
      <c r="AH1253" s="55">
        <f>IF(AQ1253="0",BJ1253,0)</f>
        <v>0</v>
      </c>
      <c r="AI1253" s="34" t="s">
        <v>116</v>
      </c>
      <c r="AJ1253" s="55">
        <f>IF(AN1253=0,I1253,0)</f>
        <v>0</v>
      </c>
      <c r="AK1253" s="55">
        <f>IF(AN1253=12,I1253,0)</f>
        <v>0</v>
      </c>
      <c r="AL1253" s="55">
        <f>IF(AN1253=21,I1253,0)</f>
        <v>0</v>
      </c>
      <c r="AN1253" s="55">
        <v>21</v>
      </c>
      <c r="AO1253" s="55">
        <f>H1253*0.542120141</f>
        <v>0</v>
      </c>
      <c r="AP1253" s="55">
        <f>H1253*(1-0.542120141)</f>
        <v>0</v>
      </c>
      <c r="AQ1253" s="58" t="s">
        <v>120</v>
      </c>
      <c r="AV1253" s="55">
        <f>AW1253+AX1253</f>
        <v>0</v>
      </c>
      <c r="AW1253" s="55">
        <f>G1253*AO1253</f>
        <v>0</v>
      </c>
      <c r="AX1253" s="55">
        <f>G1253*AP1253</f>
        <v>0</v>
      </c>
      <c r="AY1253" s="58" t="s">
        <v>2371</v>
      </c>
      <c r="AZ1253" s="58" t="s">
        <v>2344</v>
      </c>
      <c r="BA1253" s="34" t="s">
        <v>128</v>
      </c>
      <c r="BB1253" s="67">
        <v>100023</v>
      </c>
      <c r="BC1253" s="55">
        <f>AW1253+AX1253</f>
        <v>0</v>
      </c>
      <c r="BD1253" s="55">
        <f>H1253/(100-BE1253)*100</f>
        <v>0</v>
      </c>
      <c r="BE1253" s="55">
        <v>0</v>
      </c>
      <c r="BF1253" s="55">
        <f>K1253</f>
        <v>0</v>
      </c>
      <c r="BH1253" s="55">
        <f>G1253*AO1253</f>
        <v>0</v>
      </c>
      <c r="BI1253" s="55">
        <f>G1253*AP1253</f>
        <v>0</v>
      </c>
      <c r="BJ1253" s="55">
        <f>G1253*H1253</f>
        <v>0</v>
      </c>
      <c r="BK1253" s="55"/>
      <c r="BL1253" s="55">
        <v>95</v>
      </c>
      <c r="BW1253" s="55">
        <v>21</v>
      </c>
    </row>
    <row r="1254" spans="1:12" ht="13.5" customHeight="1">
      <c r="A1254" s="59"/>
      <c r="D1254" s="218" t="s">
        <v>2388</v>
      </c>
      <c r="E1254" s="219"/>
      <c r="F1254" s="219"/>
      <c r="G1254" s="219"/>
      <c r="H1254" s="220"/>
      <c r="I1254" s="219"/>
      <c r="J1254" s="219"/>
      <c r="K1254" s="219"/>
      <c r="L1254" s="221"/>
    </row>
    <row r="1255" spans="1:12" ht="14.4">
      <c r="A1255" s="59"/>
      <c r="D1255" s="60" t="s">
        <v>346</v>
      </c>
      <c r="E1255" s="60" t="s">
        <v>2389</v>
      </c>
      <c r="G1255" s="68">
        <v>72</v>
      </c>
      <c r="L1255" s="69"/>
    </row>
    <row r="1256" spans="1:75" ht="13.5" customHeight="1">
      <c r="A1256" s="1" t="s">
        <v>2390</v>
      </c>
      <c r="B1256" s="2" t="s">
        <v>116</v>
      </c>
      <c r="C1256" s="2" t="s">
        <v>2391</v>
      </c>
      <c r="D1256" s="147" t="s">
        <v>2392</v>
      </c>
      <c r="E1256" s="148"/>
      <c r="F1256" s="2" t="s">
        <v>374</v>
      </c>
      <c r="G1256" s="55">
        <v>18</v>
      </c>
      <c r="H1256" s="56">
        <v>0</v>
      </c>
      <c r="I1256" s="55">
        <f>G1256*H1256</f>
        <v>0</v>
      </c>
      <c r="J1256" s="55">
        <v>0</v>
      </c>
      <c r="K1256" s="55">
        <f>G1256*J1256</f>
        <v>0</v>
      </c>
      <c r="L1256" s="57" t="s">
        <v>124</v>
      </c>
      <c r="Z1256" s="55">
        <f>IF(AQ1256="5",BJ1256,0)</f>
        <v>0</v>
      </c>
      <c r="AB1256" s="55">
        <f>IF(AQ1256="1",BH1256,0)</f>
        <v>0</v>
      </c>
      <c r="AC1256" s="55">
        <f>IF(AQ1256="1",BI1256,0)</f>
        <v>0</v>
      </c>
      <c r="AD1256" s="55">
        <f>IF(AQ1256="7",BH1256,0)</f>
        <v>0</v>
      </c>
      <c r="AE1256" s="55">
        <f>IF(AQ1256="7",BI1256,0)</f>
        <v>0</v>
      </c>
      <c r="AF1256" s="55">
        <f>IF(AQ1256="2",BH1256,0)</f>
        <v>0</v>
      </c>
      <c r="AG1256" s="55">
        <f>IF(AQ1256="2",BI1256,0)</f>
        <v>0</v>
      </c>
      <c r="AH1256" s="55">
        <f>IF(AQ1256="0",BJ1256,0)</f>
        <v>0</v>
      </c>
      <c r="AI1256" s="34" t="s">
        <v>116</v>
      </c>
      <c r="AJ1256" s="55">
        <f>IF(AN1256=0,I1256,0)</f>
        <v>0</v>
      </c>
      <c r="AK1256" s="55">
        <f>IF(AN1256=12,I1256,0)</f>
        <v>0</v>
      </c>
      <c r="AL1256" s="55">
        <f>IF(AN1256=21,I1256,0)</f>
        <v>0</v>
      </c>
      <c r="AN1256" s="55">
        <v>21</v>
      </c>
      <c r="AO1256" s="55">
        <f>H1256*0.541134021</f>
        <v>0</v>
      </c>
      <c r="AP1256" s="55">
        <f>H1256*(1-0.541134021)</f>
        <v>0</v>
      </c>
      <c r="AQ1256" s="58" t="s">
        <v>120</v>
      </c>
      <c r="AV1256" s="55">
        <f>AW1256+AX1256</f>
        <v>0</v>
      </c>
      <c r="AW1256" s="55">
        <f>G1256*AO1256</f>
        <v>0</v>
      </c>
      <c r="AX1256" s="55">
        <f>G1256*AP1256</f>
        <v>0</v>
      </c>
      <c r="AY1256" s="58" t="s">
        <v>2371</v>
      </c>
      <c r="AZ1256" s="58" t="s">
        <v>2344</v>
      </c>
      <c r="BA1256" s="34" t="s">
        <v>128</v>
      </c>
      <c r="BB1256" s="67">
        <v>100023</v>
      </c>
      <c r="BC1256" s="55">
        <f>AW1256+AX1256</f>
        <v>0</v>
      </c>
      <c r="BD1256" s="55">
        <f>H1256/(100-BE1256)*100</f>
        <v>0</v>
      </c>
      <c r="BE1256" s="55">
        <v>0</v>
      </c>
      <c r="BF1256" s="55">
        <f>K1256</f>
        <v>0</v>
      </c>
      <c r="BH1256" s="55">
        <f>G1256*AO1256</f>
        <v>0</v>
      </c>
      <c r="BI1256" s="55">
        <f>G1256*AP1256</f>
        <v>0</v>
      </c>
      <c r="BJ1256" s="55">
        <f>G1256*H1256</f>
        <v>0</v>
      </c>
      <c r="BK1256" s="55"/>
      <c r="BL1256" s="55">
        <v>95</v>
      </c>
      <c r="BW1256" s="55">
        <v>21</v>
      </c>
    </row>
    <row r="1257" spans="1:12" ht="13.5" customHeight="1">
      <c r="A1257" s="59"/>
      <c r="D1257" s="218" t="s">
        <v>2388</v>
      </c>
      <c r="E1257" s="219"/>
      <c r="F1257" s="219"/>
      <c r="G1257" s="219"/>
      <c r="H1257" s="220"/>
      <c r="I1257" s="219"/>
      <c r="J1257" s="219"/>
      <c r="K1257" s="219"/>
      <c r="L1257" s="221"/>
    </row>
    <row r="1258" spans="1:12" ht="14.4">
      <c r="A1258" s="59"/>
      <c r="D1258" s="60" t="s">
        <v>178</v>
      </c>
      <c r="E1258" s="60" t="s">
        <v>2393</v>
      </c>
      <c r="G1258" s="68">
        <v>18</v>
      </c>
      <c r="L1258" s="69"/>
    </row>
    <row r="1259" spans="1:75" ht="13.5" customHeight="1">
      <c r="A1259" s="1" t="s">
        <v>2394</v>
      </c>
      <c r="B1259" s="2" t="s">
        <v>116</v>
      </c>
      <c r="C1259" s="2" t="s">
        <v>2395</v>
      </c>
      <c r="D1259" s="147" t="s">
        <v>2396</v>
      </c>
      <c r="E1259" s="148"/>
      <c r="F1259" s="2" t="s">
        <v>374</v>
      </c>
      <c r="G1259" s="55">
        <v>224</v>
      </c>
      <c r="H1259" s="56">
        <v>0</v>
      </c>
      <c r="I1259" s="55">
        <f>G1259*H1259</f>
        <v>0</v>
      </c>
      <c r="J1259" s="55">
        <v>0</v>
      </c>
      <c r="K1259" s="55">
        <f>G1259*J1259</f>
        <v>0</v>
      </c>
      <c r="L1259" s="57" t="s">
        <v>124</v>
      </c>
      <c r="Z1259" s="55">
        <f>IF(AQ1259="5",BJ1259,0)</f>
        <v>0</v>
      </c>
      <c r="AB1259" s="55">
        <f>IF(AQ1259="1",BH1259,0)</f>
        <v>0</v>
      </c>
      <c r="AC1259" s="55">
        <f>IF(AQ1259="1",BI1259,0)</f>
        <v>0</v>
      </c>
      <c r="AD1259" s="55">
        <f>IF(AQ1259="7",BH1259,0)</f>
        <v>0</v>
      </c>
      <c r="AE1259" s="55">
        <f>IF(AQ1259="7",BI1259,0)</f>
        <v>0</v>
      </c>
      <c r="AF1259" s="55">
        <f>IF(AQ1259="2",BH1259,0)</f>
        <v>0</v>
      </c>
      <c r="AG1259" s="55">
        <f>IF(AQ1259="2",BI1259,0)</f>
        <v>0</v>
      </c>
      <c r="AH1259" s="55">
        <f>IF(AQ1259="0",BJ1259,0)</f>
        <v>0</v>
      </c>
      <c r="AI1259" s="34" t="s">
        <v>116</v>
      </c>
      <c r="AJ1259" s="55">
        <f>IF(AN1259=0,I1259,0)</f>
        <v>0</v>
      </c>
      <c r="AK1259" s="55">
        <f>IF(AN1259=12,I1259,0)</f>
        <v>0</v>
      </c>
      <c r="AL1259" s="55">
        <f>IF(AN1259=21,I1259,0)</f>
        <v>0</v>
      </c>
      <c r="AN1259" s="55">
        <v>21</v>
      </c>
      <c r="AO1259" s="55">
        <f>H1259*0.547430928</f>
        <v>0</v>
      </c>
      <c r="AP1259" s="55">
        <f>H1259*(1-0.547430928)</f>
        <v>0</v>
      </c>
      <c r="AQ1259" s="58" t="s">
        <v>120</v>
      </c>
      <c r="AV1259" s="55">
        <f>AW1259+AX1259</f>
        <v>0</v>
      </c>
      <c r="AW1259" s="55">
        <f>G1259*AO1259</f>
        <v>0</v>
      </c>
      <c r="AX1259" s="55">
        <f>G1259*AP1259</f>
        <v>0</v>
      </c>
      <c r="AY1259" s="58" t="s">
        <v>2371</v>
      </c>
      <c r="AZ1259" s="58" t="s">
        <v>2344</v>
      </c>
      <c r="BA1259" s="34" t="s">
        <v>128</v>
      </c>
      <c r="BB1259" s="67">
        <v>100023</v>
      </c>
      <c r="BC1259" s="55">
        <f>AW1259+AX1259</f>
        <v>0</v>
      </c>
      <c r="BD1259" s="55">
        <f>H1259/(100-BE1259)*100</f>
        <v>0</v>
      </c>
      <c r="BE1259" s="55">
        <v>0</v>
      </c>
      <c r="BF1259" s="55">
        <f>K1259</f>
        <v>0</v>
      </c>
      <c r="BH1259" s="55">
        <f>G1259*AO1259</f>
        <v>0</v>
      </c>
      <c r="BI1259" s="55">
        <f>G1259*AP1259</f>
        <v>0</v>
      </c>
      <c r="BJ1259" s="55">
        <f>G1259*H1259</f>
        <v>0</v>
      </c>
      <c r="BK1259" s="55"/>
      <c r="BL1259" s="55">
        <v>95</v>
      </c>
      <c r="BW1259" s="55">
        <v>21</v>
      </c>
    </row>
    <row r="1260" spans="1:12" ht="13.5" customHeight="1">
      <c r="A1260" s="59"/>
      <c r="D1260" s="218" t="s">
        <v>2397</v>
      </c>
      <c r="E1260" s="219"/>
      <c r="F1260" s="219"/>
      <c r="G1260" s="219"/>
      <c r="H1260" s="220"/>
      <c r="I1260" s="219"/>
      <c r="J1260" s="219"/>
      <c r="K1260" s="219"/>
      <c r="L1260" s="221"/>
    </row>
    <row r="1261" spans="1:12" ht="14.4">
      <c r="A1261" s="59"/>
      <c r="D1261" s="60" t="s">
        <v>2398</v>
      </c>
      <c r="E1261" s="60" t="s">
        <v>2399</v>
      </c>
      <c r="G1261" s="68">
        <v>224</v>
      </c>
      <c r="L1261" s="69"/>
    </row>
    <row r="1262" spans="1:75" ht="13.5" customHeight="1">
      <c r="A1262" s="1" t="s">
        <v>2400</v>
      </c>
      <c r="B1262" s="2" t="s">
        <v>116</v>
      </c>
      <c r="C1262" s="2" t="s">
        <v>2401</v>
      </c>
      <c r="D1262" s="147" t="s">
        <v>2402</v>
      </c>
      <c r="E1262" s="148"/>
      <c r="F1262" s="2" t="s">
        <v>374</v>
      </c>
      <c r="G1262" s="55">
        <v>58</v>
      </c>
      <c r="H1262" s="56">
        <v>0</v>
      </c>
      <c r="I1262" s="55">
        <f>G1262*H1262</f>
        <v>0</v>
      </c>
      <c r="J1262" s="55">
        <v>0</v>
      </c>
      <c r="K1262" s="55">
        <f>G1262*J1262</f>
        <v>0</v>
      </c>
      <c r="L1262" s="57" t="s">
        <v>124</v>
      </c>
      <c r="Z1262" s="55">
        <f>IF(AQ1262="5",BJ1262,0)</f>
        <v>0</v>
      </c>
      <c r="AB1262" s="55">
        <f>IF(AQ1262="1",BH1262,0)</f>
        <v>0</v>
      </c>
      <c r="AC1262" s="55">
        <f>IF(AQ1262="1",BI1262,0)</f>
        <v>0</v>
      </c>
      <c r="AD1262" s="55">
        <f>IF(AQ1262="7",BH1262,0)</f>
        <v>0</v>
      </c>
      <c r="AE1262" s="55">
        <f>IF(AQ1262="7",BI1262,0)</f>
        <v>0</v>
      </c>
      <c r="AF1262" s="55">
        <f>IF(AQ1262="2",BH1262,0)</f>
        <v>0</v>
      </c>
      <c r="AG1262" s="55">
        <f>IF(AQ1262="2",BI1262,0)</f>
        <v>0</v>
      </c>
      <c r="AH1262" s="55">
        <f>IF(AQ1262="0",BJ1262,0)</f>
        <v>0</v>
      </c>
      <c r="AI1262" s="34" t="s">
        <v>116</v>
      </c>
      <c r="AJ1262" s="55">
        <f>IF(AN1262=0,I1262,0)</f>
        <v>0</v>
      </c>
      <c r="AK1262" s="55">
        <f>IF(AN1262=12,I1262,0)</f>
        <v>0</v>
      </c>
      <c r="AL1262" s="55">
        <f>IF(AN1262=21,I1262,0)</f>
        <v>0</v>
      </c>
      <c r="AN1262" s="55">
        <v>21</v>
      </c>
      <c r="AO1262" s="55">
        <f>H1262*0.646746032</f>
        <v>0</v>
      </c>
      <c r="AP1262" s="55">
        <f>H1262*(1-0.646746032)</f>
        <v>0</v>
      </c>
      <c r="AQ1262" s="58" t="s">
        <v>120</v>
      </c>
      <c r="AV1262" s="55">
        <f>AW1262+AX1262</f>
        <v>0</v>
      </c>
      <c r="AW1262" s="55">
        <f>G1262*AO1262</f>
        <v>0</v>
      </c>
      <c r="AX1262" s="55">
        <f>G1262*AP1262</f>
        <v>0</v>
      </c>
      <c r="AY1262" s="58" t="s">
        <v>2371</v>
      </c>
      <c r="AZ1262" s="58" t="s">
        <v>2344</v>
      </c>
      <c r="BA1262" s="34" t="s">
        <v>128</v>
      </c>
      <c r="BB1262" s="67">
        <v>100023</v>
      </c>
      <c r="BC1262" s="55">
        <f>AW1262+AX1262</f>
        <v>0</v>
      </c>
      <c r="BD1262" s="55">
        <f>H1262/(100-BE1262)*100</f>
        <v>0</v>
      </c>
      <c r="BE1262" s="55">
        <v>0</v>
      </c>
      <c r="BF1262" s="55">
        <f>K1262</f>
        <v>0</v>
      </c>
      <c r="BH1262" s="55">
        <f>G1262*AO1262</f>
        <v>0</v>
      </c>
      <c r="BI1262" s="55">
        <f>G1262*AP1262</f>
        <v>0</v>
      </c>
      <c r="BJ1262" s="55">
        <f>G1262*H1262</f>
        <v>0</v>
      </c>
      <c r="BK1262" s="55"/>
      <c r="BL1262" s="55">
        <v>95</v>
      </c>
      <c r="BW1262" s="55">
        <v>21</v>
      </c>
    </row>
    <row r="1263" spans="1:12" ht="13.5" customHeight="1">
      <c r="A1263" s="59"/>
      <c r="D1263" s="218" t="s">
        <v>2403</v>
      </c>
      <c r="E1263" s="219"/>
      <c r="F1263" s="219"/>
      <c r="G1263" s="219"/>
      <c r="H1263" s="220"/>
      <c r="I1263" s="219"/>
      <c r="J1263" s="219"/>
      <c r="K1263" s="219"/>
      <c r="L1263" s="221"/>
    </row>
    <row r="1264" spans="1:12" ht="14.4">
      <c r="A1264" s="59"/>
      <c r="D1264" s="60" t="s">
        <v>304</v>
      </c>
      <c r="E1264" s="60" t="s">
        <v>2404</v>
      </c>
      <c r="G1264" s="68">
        <v>58</v>
      </c>
      <c r="L1264" s="69"/>
    </row>
    <row r="1265" spans="1:75" ht="13.5" customHeight="1">
      <c r="A1265" s="1" t="s">
        <v>2405</v>
      </c>
      <c r="B1265" s="2" t="s">
        <v>116</v>
      </c>
      <c r="C1265" s="2" t="s">
        <v>2406</v>
      </c>
      <c r="D1265" s="147" t="s">
        <v>2407</v>
      </c>
      <c r="E1265" s="148"/>
      <c r="F1265" s="2" t="s">
        <v>374</v>
      </c>
      <c r="G1265" s="55">
        <v>10</v>
      </c>
      <c r="H1265" s="56">
        <v>0</v>
      </c>
      <c r="I1265" s="55">
        <f>G1265*H1265</f>
        <v>0</v>
      </c>
      <c r="J1265" s="55">
        <v>0</v>
      </c>
      <c r="K1265" s="55">
        <f>G1265*J1265</f>
        <v>0</v>
      </c>
      <c r="L1265" s="57" t="s">
        <v>124</v>
      </c>
      <c r="Z1265" s="55">
        <f>IF(AQ1265="5",BJ1265,0)</f>
        <v>0</v>
      </c>
      <c r="AB1265" s="55">
        <f>IF(AQ1265="1",BH1265,0)</f>
        <v>0</v>
      </c>
      <c r="AC1265" s="55">
        <f>IF(AQ1265="1",BI1265,0)</f>
        <v>0</v>
      </c>
      <c r="AD1265" s="55">
        <f>IF(AQ1265="7",BH1265,0)</f>
        <v>0</v>
      </c>
      <c r="AE1265" s="55">
        <f>IF(AQ1265="7",BI1265,0)</f>
        <v>0</v>
      </c>
      <c r="AF1265" s="55">
        <f>IF(AQ1265="2",BH1265,0)</f>
        <v>0</v>
      </c>
      <c r="AG1265" s="55">
        <f>IF(AQ1265="2",BI1265,0)</f>
        <v>0</v>
      </c>
      <c r="AH1265" s="55">
        <f>IF(AQ1265="0",BJ1265,0)</f>
        <v>0</v>
      </c>
      <c r="AI1265" s="34" t="s">
        <v>116</v>
      </c>
      <c r="AJ1265" s="55">
        <f>IF(AN1265=0,I1265,0)</f>
        <v>0</v>
      </c>
      <c r="AK1265" s="55">
        <f>IF(AN1265=12,I1265,0)</f>
        <v>0</v>
      </c>
      <c r="AL1265" s="55">
        <f>IF(AN1265=21,I1265,0)</f>
        <v>0</v>
      </c>
      <c r="AN1265" s="55">
        <v>21</v>
      </c>
      <c r="AO1265" s="55">
        <f>H1265*0</f>
        <v>0</v>
      </c>
      <c r="AP1265" s="55">
        <f>H1265*(1-0)</f>
        <v>0</v>
      </c>
      <c r="AQ1265" s="58" t="s">
        <v>120</v>
      </c>
      <c r="AV1265" s="55">
        <f>AW1265+AX1265</f>
        <v>0</v>
      </c>
      <c r="AW1265" s="55">
        <f>G1265*AO1265</f>
        <v>0</v>
      </c>
      <c r="AX1265" s="55">
        <f>G1265*AP1265</f>
        <v>0</v>
      </c>
      <c r="AY1265" s="58" t="s">
        <v>2371</v>
      </c>
      <c r="AZ1265" s="58" t="s">
        <v>2344</v>
      </c>
      <c r="BA1265" s="34" t="s">
        <v>128</v>
      </c>
      <c r="BB1265" s="67">
        <v>100023</v>
      </c>
      <c r="BC1265" s="55">
        <f>AW1265+AX1265</f>
        <v>0</v>
      </c>
      <c r="BD1265" s="55">
        <f>H1265/(100-BE1265)*100</f>
        <v>0</v>
      </c>
      <c r="BE1265" s="55">
        <v>0</v>
      </c>
      <c r="BF1265" s="55">
        <f>K1265</f>
        <v>0</v>
      </c>
      <c r="BH1265" s="55">
        <f>G1265*AO1265</f>
        <v>0</v>
      </c>
      <c r="BI1265" s="55">
        <f>G1265*AP1265</f>
        <v>0</v>
      </c>
      <c r="BJ1265" s="55">
        <f>G1265*H1265</f>
        <v>0</v>
      </c>
      <c r="BK1265" s="55"/>
      <c r="BL1265" s="55">
        <v>95</v>
      </c>
      <c r="BW1265" s="55">
        <v>21</v>
      </c>
    </row>
    <row r="1266" spans="1:12" ht="13.5" customHeight="1">
      <c r="A1266" s="59"/>
      <c r="D1266" s="218" t="s">
        <v>2408</v>
      </c>
      <c r="E1266" s="219"/>
      <c r="F1266" s="219"/>
      <c r="G1266" s="219"/>
      <c r="H1266" s="220"/>
      <c r="I1266" s="219"/>
      <c r="J1266" s="219"/>
      <c r="K1266" s="219"/>
      <c r="L1266" s="221"/>
    </row>
    <row r="1267" spans="1:12" ht="14.4">
      <c r="A1267" s="59"/>
      <c r="D1267" s="60" t="s">
        <v>153</v>
      </c>
      <c r="E1267" s="60" t="s">
        <v>1709</v>
      </c>
      <c r="G1267" s="68">
        <v>10</v>
      </c>
      <c r="L1267" s="69"/>
    </row>
    <row r="1268" spans="1:75" ht="13.5" customHeight="1">
      <c r="A1268" s="1" t="s">
        <v>2409</v>
      </c>
      <c r="B1268" s="2" t="s">
        <v>116</v>
      </c>
      <c r="C1268" s="2" t="s">
        <v>2410</v>
      </c>
      <c r="D1268" s="147" t="s">
        <v>2411</v>
      </c>
      <c r="E1268" s="148"/>
      <c r="F1268" s="2" t="s">
        <v>374</v>
      </c>
      <c r="G1268" s="55">
        <v>1</v>
      </c>
      <c r="H1268" s="56">
        <v>0</v>
      </c>
      <c r="I1268" s="55">
        <f>G1268*H1268</f>
        <v>0</v>
      </c>
      <c r="J1268" s="55">
        <v>4E-05</v>
      </c>
      <c r="K1268" s="55">
        <f>G1268*J1268</f>
        <v>4E-05</v>
      </c>
      <c r="L1268" s="57" t="s">
        <v>785</v>
      </c>
      <c r="Z1268" s="55">
        <f>IF(AQ1268="5",BJ1268,0)</f>
        <v>0</v>
      </c>
      <c r="AB1268" s="55">
        <f>IF(AQ1268="1",BH1268,0)</f>
        <v>0</v>
      </c>
      <c r="AC1268" s="55">
        <f>IF(AQ1268="1",BI1268,0)</f>
        <v>0</v>
      </c>
      <c r="AD1268" s="55">
        <f>IF(AQ1268="7",BH1268,0)</f>
        <v>0</v>
      </c>
      <c r="AE1268" s="55">
        <f>IF(AQ1268="7",BI1268,0)</f>
        <v>0</v>
      </c>
      <c r="AF1268" s="55">
        <f>IF(AQ1268="2",BH1268,0)</f>
        <v>0</v>
      </c>
      <c r="AG1268" s="55">
        <f>IF(AQ1268="2",BI1268,0)</f>
        <v>0</v>
      </c>
      <c r="AH1268" s="55">
        <f>IF(AQ1268="0",BJ1268,0)</f>
        <v>0</v>
      </c>
      <c r="AI1268" s="34" t="s">
        <v>116</v>
      </c>
      <c r="AJ1268" s="55">
        <f>IF(AN1268=0,I1268,0)</f>
        <v>0</v>
      </c>
      <c r="AK1268" s="55">
        <f>IF(AN1268=12,I1268,0)</f>
        <v>0</v>
      </c>
      <c r="AL1268" s="55">
        <f>IF(AN1268=21,I1268,0)</f>
        <v>0</v>
      </c>
      <c r="AN1268" s="55">
        <v>21</v>
      </c>
      <c r="AO1268" s="55">
        <f>H1268*0.184818482</f>
        <v>0</v>
      </c>
      <c r="AP1268" s="55">
        <f>H1268*(1-0.184818482)</f>
        <v>0</v>
      </c>
      <c r="AQ1268" s="58" t="s">
        <v>120</v>
      </c>
      <c r="AV1268" s="55">
        <f>AW1268+AX1268</f>
        <v>0</v>
      </c>
      <c r="AW1268" s="55">
        <f>G1268*AO1268</f>
        <v>0</v>
      </c>
      <c r="AX1268" s="55">
        <f>G1268*AP1268</f>
        <v>0</v>
      </c>
      <c r="AY1268" s="58" t="s">
        <v>2371</v>
      </c>
      <c r="AZ1268" s="58" t="s">
        <v>2344</v>
      </c>
      <c r="BA1268" s="34" t="s">
        <v>128</v>
      </c>
      <c r="BB1268" s="67">
        <v>100023</v>
      </c>
      <c r="BC1268" s="55">
        <f>AW1268+AX1268</f>
        <v>0</v>
      </c>
      <c r="BD1268" s="55">
        <f>H1268/(100-BE1268)*100</f>
        <v>0</v>
      </c>
      <c r="BE1268" s="55">
        <v>0</v>
      </c>
      <c r="BF1268" s="55">
        <f>K1268</f>
        <v>4E-05</v>
      </c>
      <c r="BH1268" s="55">
        <f>G1268*AO1268</f>
        <v>0</v>
      </c>
      <c r="BI1268" s="55">
        <f>G1268*AP1268</f>
        <v>0</v>
      </c>
      <c r="BJ1268" s="55">
        <f>G1268*H1268</f>
        <v>0</v>
      </c>
      <c r="BK1268" s="55"/>
      <c r="BL1268" s="55">
        <v>95</v>
      </c>
      <c r="BW1268" s="55">
        <v>21</v>
      </c>
    </row>
    <row r="1269" spans="1:12" ht="14.4">
      <c r="A1269" s="59"/>
      <c r="D1269" s="60" t="s">
        <v>120</v>
      </c>
      <c r="E1269" s="60" t="s">
        <v>4</v>
      </c>
      <c r="G1269" s="68">
        <v>1</v>
      </c>
      <c r="L1269" s="69"/>
    </row>
    <row r="1270" spans="1:75" ht="27" customHeight="1">
      <c r="A1270" s="61" t="s">
        <v>2412</v>
      </c>
      <c r="B1270" s="62" t="s">
        <v>116</v>
      </c>
      <c r="C1270" s="62" t="s">
        <v>2413</v>
      </c>
      <c r="D1270" s="224" t="s">
        <v>2414</v>
      </c>
      <c r="E1270" s="225"/>
      <c r="F1270" s="62" t="s">
        <v>374</v>
      </c>
      <c r="G1270" s="63">
        <v>1</v>
      </c>
      <c r="H1270" s="64">
        <v>0</v>
      </c>
      <c r="I1270" s="63">
        <f>G1270*H1270</f>
        <v>0</v>
      </c>
      <c r="J1270" s="63">
        <v>0.001</v>
      </c>
      <c r="K1270" s="63">
        <f>G1270*J1270</f>
        <v>0.001</v>
      </c>
      <c r="L1270" s="65" t="s">
        <v>124</v>
      </c>
      <c r="Z1270" s="55">
        <f>IF(AQ1270="5",BJ1270,0)</f>
        <v>0</v>
      </c>
      <c r="AB1270" s="55">
        <f>IF(AQ1270="1",BH1270,0)</f>
        <v>0</v>
      </c>
      <c r="AC1270" s="55">
        <f>IF(AQ1270="1",BI1270,0)</f>
        <v>0</v>
      </c>
      <c r="AD1270" s="55">
        <f>IF(AQ1270="7",BH1270,0)</f>
        <v>0</v>
      </c>
      <c r="AE1270" s="55">
        <f>IF(AQ1270="7",BI1270,0)</f>
        <v>0</v>
      </c>
      <c r="AF1270" s="55">
        <f>IF(AQ1270="2",BH1270,0)</f>
        <v>0</v>
      </c>
      <c r="AG1270" s="55">
        <f>IF(AQ1270="2",BI1270,0)</f>
        <v>0</v>
      </c>
      <c r="AH1270" s="55">
        <f>IF(AQ1270="0",BJ1270,0)</f>
        <v>0</v>
      </c>
      <c r="AI1270" s="34" t="s">
        <v>116</v>
      </c>
      <c r="AJ1270" s="63">
        <f>IF(AN1270=0,I1270,0)</f>
        <v>0</v>
      </c>
      <c r="AK1270" s="63">
        <f>IF(AN1270=12,I1270,0)</f>
        <v>0</v>
      </c>
      <c r="AL1270" s="63">
        <f>IF(AN1270=21,I1270,0)</f>
        <v>0</v>
      </c>
      <c r="AN1270" s="55">
        <v>21</v>
      </c>
      <c r="AO1270" s="55">
        <f>H1270*1</f>
        <v>0</v>
      </c>
      <c r="AP1270" s="55">
        <f>H1270*(1-1)</f>
        <v>0</v>
      </c>
      <c r="AQ1270" s="66" t="s">
        <v>120</v>
      </c>
      <c r="AV1270" s="55">
        <f>AW1270+AX1270</f>
        <v>0</v>
      </c>
      <c r="AW1270" s="55">
        <f>G1270*AO1270</f>
        <v>0</v>
      </c>
      <c r="AX1270" s="55">
        <f>G1270*AP1270</f>
        <v>0</v>
      </c>
      <c r="AY1270" s="58" t="s">
        <v>2371</v>
      </c>
      <c r="AZ1270" s="58" t="s">
        <v>2344</v>
      </c>
      <c r="BA1270" s="34" t="s">
        <v>128</v>
      </c>
      <c r="BC1270" s="55">
        <f>AW1270+AX1270</f>
        <v>0</v>
      </c>
      <c r="BD1270" s="55">
        <f>H1270/(100-BE1270)*100</f>
        <v>0</v>
      </c>
      <c r="BE1270" s="55">
        <v>0</v>
      </c>
      <c r="BF1270" s="55">
        <f>K1270</f>
        <v>0.001</v>
      </c>
      <c r="BH1270" s="63">
        <f>G1270*AO1270</f>
        <v>0</v>
      </c>
      <c r="BI1270" s="63">
        <f>G1270*AP1270</f>
        <v>0</v>
      </c>
      <c r="BJ1270" s="63">
        <f>G1270*H1270</f>
        <v>0</v>
      </c>
      <c r="BK1270" s="63"/>
      <c r="BL1270" s="55">
        <v>95</v>
      </c>
      <c r="BW1270" s="55">
        <v>21</v>
      </c>
    </row>
    <row r="1271" spans="1:12" ht="14.4">
      <c r="A1271" s="59"/>
      <c r="D1271" s="60" t="s">
        <v>120</v>
      </c>
      <c r="E1271" s="60" t="s">
        <v>4</v>
      </c>
      <c r="G1271" s="68">
        <v>1</v>
      </c>
      <c r="L1271" s="69"/>
    </row>
    <row r="1272" spans="1:75" ht="13.5" customHeight="1">
      <c r="A1272" s="1" t="s">
        <v>2415</v>
      </c>
      <c r="B1272" s="2" t="s">
        <v>116</v>
      </c>
      <c r="C1272" s="2" t="s">
        <v>2416</v>
      </c>
      <c r="D1272" s="147" t="s">
        <v>2417</v>
      </c>
      <c r="E1272" s="148"/>
      <c r="F1272" s="2" t="s">
        <v>374</v>
      </c>
      <c r="G1272" s="55">
        <v>2</v>
      </c>
      <c r="H1272" s="56">
        <v>0</v>
      </c>
      <c r="I1272" s="55">
        <f>G1272*H1272</f>
        <v>0</v>
      </c>
      <c r="J1272" s="55">
        <v>4E-05</v>
      </c>
      <c r="K1272" s="55">
        <f>G1272*J1272</f>
        <v>8E-05</v>
      </c>
      <c r="L1272" s="57" t="s">
        <v>124</v>
      </c>
      <c r="Z1272" s="55">
        <f>IF(AQ1272="5",BJ1272,0)</f>
        <v>0</v>
      </c>
      <c r="AB1272" s="55">
        <f>IF(AQ1272="1",BH1272,0)</f>
        <v>0</v>
      </c>
      <c r="AC1272" s="55">
        <f>IF(AQ1272="1",BI1272,0)</f>
        <v>0</v>
      </c>
      <c r="AD1272" s="55">
        <f>IF(AQ1272="7",BH1272,0)</f>
        <v>0</v>
      </c>
      <c r="AE1272" s="55">
        <f>IF(AQ1272="7",BI1272,0)</f>
        <v>0</v>
      </c>
      <c r="AF1272" s="55">
        <f>IF(AQ1272="2",BH1272,0)</f>
        <v>0</v>
      </c>
      <c r="AG1272" s="55">
        <f>IF(AQ1272="2",BI1272,0)</f>
        <v>0</v>
      </c>
      <c r="AH1272" s="55">
        <f>IF(AQ1272="0",BJ1272,0)</f>
        <v>0</v>
      </c>
      <c r="AI1272" s="34" t="s">
        <v>116</v>
      </c>
      <c r="AJ1272" s="55">
        <f>IF(AN1272=0,I1272,0)</f>
        <v>0</v>
      </c>
      <c r="AK1272" s="55">
        <f>IF(AN1272=12,I1272,0)</f>
        <v>0</v>
      </c>
      <c r="AL1272" s="55">
        <f>IF(AN1272=21,I1272,0)</f>
        <v>0</v>
      </c>
      <c r="AN1272" s="55">
        <v>21</v>
      </c>
      <c r="AO1272" s="55">
        <f>H1272*0.2</f>
        <v>0</v>
      </c>
      <c r="AP1272" s="55">
        <f>H1272*(1-0.2)</f>
        <v>0</v>
      </c>
      <c r="AQ1272" s="58" t="s">
        <v>120</v>
      </c>
      <c r="AV1272" s="55">
        <f>AW1272+AX1272</f>
        <v>0</v>
      </c>
      <c r="AW1272" s="55">
        <f>G1272*AO1272</f>
        <v>0</v>
      </c>
      <c r="AX1272" s="55">
        <f>G1272*AP1272</f>
        <v>0</v>
      </c>
      <c r="AY1272" s="58" t="s">
        <v>2371</v>
      </c>
      <c r="AZ1272" s="58" t="s">
        <v>2344</v>
      </c>
      <c r="BA1272" s="34" t="s">
        <v>128</v>
      </c>
      <c r="BB1272" s="67">
        <v>100023</v>
      </c>
      <c r="BC1272" s="55">
        <f>AW1272+AX1272</f>
        <v>0</v>
      </c>
      <c r="BD1272" s="55">
        <f>H1272/(100-BE1272)*100</f>
        <v>0</v>
      </c>
      <c r="BE1272" s="55">
        <v>0</v>
      </c>
      <c r="BF1272" s="55">
        <f>K1272</f>
        <v>8E-05</v>
      </c>
      <c r="BH1272" s="55">
        <f>G1272*AO1272</f>
        <v>0</v>
      </c>
      <c r="BI1272" s="55">
        <f>G1272*AP1272</f>
        <v>0</v>
      </c>
      <c r="BJ1272" s="55">
        <f>G1272*H1272</f>
        <v>0</v>
      </c>
      <c r="BK1272" s="55"/>
      <c r="BL1272" s="55">
        <v>95</v>
      </c>
      <c r="BW1272" s="55">
        <v>21</v>
      </c>
    </row>
    <row r="1273" spans="1:12" ht="14.4">
      <c r="A1273" s="59"/>
      <c r="D1273" s="60" t="s">
        <v>130</v>
      </c>
      <c r="E1273" s="60" t="s">
        <v>4</v>
      </c>
      <c r="G1273" s="68">
        <v>2</v>
      </c>
      <c r="L1273" s="69"/>
    </row>
    <row r="1274" spans="1:75" ht="13.5" customHeight="1">
      <c r="A1274" s="61" t="s">
        <v>2418</v>
      </c>
      <c r="B1274" s="62" t="s">
        <v>116</v>
      </c>
      <c r="C1274" s="62" t="s">
        <v>2419</v>
      </c>
      <c r="D1274" s="224" t="s">
        <v>2420</v>
      </c>
      <c r="E1274" s="225"/>
      <c r="F1274" s="62" t="s">
        <v>374</v>
      </c>
      <c r="G1274" s="63">
        <v>2</v>
      </c>
      <c r="H1274" s="64">
        <v>0</v>
      </c>
      <c r="I1274" s="63">
        <f>G1274*H1274</f>
        <v>0</v>
      </c>
      <c r="J1274" s="63">
        <v>0.0005</v>
      </c>
      <c r="K1274" s="63">
        <f>G1274*J1274</f>
        <v>0.001</v>
      </c>
      <c r="L1274" s="65" t="s">
        <v>124</v>
      </c>
      <c r="Z1274" s="55">
        <f>IF(AQ1274="5",BJ1274,0)</f>
        <v>0</v>
      </c>
      <c r="AB1274" s="55">
        <f>IF(AQ1274="1",BH1274,0)</f>
        <v>0</v>
      </c>
      <c r="AC1274" s="55">
        <f>IF(AQ1274="1",BI1274,0)</f>
        <v>0</v>
      </c>
      <c r="AD1274" s="55">
        <f>IF(AQ1274="7",BH1274,0)</f>
        <v>0</v>
      </c>
      <c r="AE1274" s="55">
        <f>IF(AQ1274="7",BI1274,0)</f>
        <v>0</v>
      </c>
      <c r="AF1274" s="55">
        <f>IF(AQ1274="2",BH1274,0)</f>
        <v>0</v>
      </c>
      <c r="AG1274" s="55">
        <f>IF(AQ1274="2",BI1274,0)</f>
        <v>0</v>
      </c>
      <c r="AH1274" s="55">
        <f>IF(AQ1274="0",BJ1274,0)</f>
        <v>0</v>
      </c>
      <c r="AI1274" s="34" t="s">
        <v>116</v>
      </c>
      <c r="AJ1274" s="63">
        <f>IF(AN1274=0,I1274,0)</f>
        <v>0</v>
      </c>
      <c r="AK1274" s="63">
        <f>IF(AN1274=12,I1274,0)</f>
        <v>0</v>
      </c>
      <c r="AL1274" s="63">
        <f>IF(AN1274=21,I1274,0)</f>
        <v>0</v>
      </c>
      <c r="AN1274" s="55">
        <v>21</v>
      </c>
      <c r="AO1274" s="55">
        <f>H1274*1</f>
        <v>0</v>
      </c>
      <c r="AP1274" s="55">
        <f>H1274*(1-1)</f>
        <v>0</v>
      </c>
      <c r="AQ1274" s="66" t="s">
        <v>120</v>
      </c>
      <c r="AV1274" s="55">
        <f>AW1274+AX1274</f>
        <v>0</v>
      </c>
      <c r="AW1274" s="55">
        <f>G1274*AO1274</f>
        <v>0</v>
      </c>
      <c r="AX1274" s="55">
        <f>G1274*AP1274</f>
        <v>0</v>
      </c>
      <c r="AY1274" s="58" t="s">
        <v>2371</v>
      </c>
      <c r="AZ1274" s="58" t="s">
        <v>2344</v>
      </c>
      <c r="BA1274" s="34" t="s">
        <v>128</v>
      </c>
      <c r="BC1274" s="55">
        <f>AW1274+AX1274</f>
        <v>0</v>
      </c>
      <c r="BD1274" s="55">
        <f>H1274/(100-BE1274)*100</f>
        <v>0</v>
      </c>
      <c r="BE1274" s="55">
        <v>0</v>
      </c>
      <c r="BF1274" s="55">
        <f>K1274</f>
        <v>0.001</v>
      </c>
      <c r="BH1274" s="63">
        <f>G1274*AO1274</f>
        <v>0</v>
      </c>
      <c r="BI1274" s="63">
        <f>G1274*AP1274</f>
        <v>0</v>
      </c>
      <c r="BJ1274" s="63">
        <f>G1274*H1274</f>
        <v>0</v>
      </c>
      <c r="BK1274" s="63"/>
      <c r="BL1274" s="55">
        <v>95</v>
      </c>
      <c r="BW1274" s="55">
        <v>21</v>
      </c>
    </row>
    <row r="1275" spans="1:12" ht="14.4">
      <c r="A1275" s="59"/>
      <c r="D1275" s="60" t="s">
        <v>130</v>
      </c>
      <c r="E1275" s="60" t="s">
        <v>4</v>
      </c>
      <c r="G1275" s="68">
        <v>2</v>
      </c>
      <c r="L1275" s="69"/>
    </row>
    <row r="1276" spans="1:47" ht="14.4">
      <c r="A1276" s="50" t="s">
        <v>4</v>
      </c>
      <c r="B1276" s="51" t="s">
        <v>116</v>
      </c>
      <c r="C1276" s="51" t="s">
        <v>428</v>
      </c>
      <c r="D1276" s="222" t="s">
        <v>2421</v>
      </c>
      <c r="E1276" s="223"/>
      <c r="F1276" s="52" t="s">
        <v>79</v>
      </c>
      <c r="G1276" s="52" t="s">
        <v>79</v>
      </c>
      <c r="H1276" s="53" t="s">
        <v>79</v>
      </c>
      <c r="I1276" s="27">
        <f>SUM(I1277:I1306)</f>
        <v>0</v>
      </c>
      <c r="J1276" s="34" t="s">
        <v>4</v>
      </c>
      <c r="K1276" s="27">
        <f>SUM(K1277:K1306)</f>
        <v>87.39288800000001</v>
      </c>
      <c r="L1276" s="54" t="s">
        <v>4</v>
      </c>
      <c r="AI1276" s="34" t="s">
        <v>116</v>
      </c>
      <c r="AS1276" s="27">
        <f>SUM(AJ1277:AJ1306)</f>
        <v>0</v>
      </c>
      <c r="AT1276" s="27">
        <f>SUM(AK1277:AK1306)</f>
        <v>0</v>
      </c>
      <c r="AU1276" s="27">
        <f>SUM(AL1277:AL1306)</f>
        <v>0</v>
      </c>
    </row>
    <row r="1277" spans="1:75" ht="13.5" customHeight="1">
      <c r="A1277" s="1" t="s">
        <v>2422</v>
      </c>
      <c r="B1277" s="2" t="s">
        <v>116</v>
      </c>
      <c r="C1277" s="2" t="s">
        <v>2423</v>
      </c>
      <c r="D1277" s="147" t="s">
        <v>2424</v>
      </c>
      <c r="E1277" s="148"/>
      <c r="F1277" s="2" t="s">
        <v>792</v>
      </c>
      <c r="G1277" s="55">
        <v>7.23</v>
      </c>
      <c r="H1277" s="56">
        <v>0</v>
      </c>
      <c r="I1277" s="55">
        <f>G1277*H1277</f>
        <v>0</v>
      </c>
      <c r="J1277" s="55">
        <v>1.671</v>
      </c>
      <c r="K1277" s="55">
        <f>G1277*J1277</f>
        <v>12.081330000000001</v>
      </c>
      <c r="L1277" s="57" t="s">
        <v>785</v>
      </c>
      <c r="Z1277" s="55">
        <f>IF(AQ1277="5",BJ1277,0)</f>
        <v>0</v>
      </c>
      <c r="AB1277" s="55">
        <f>IF(AQ1277="1",BH1277,0)</f>
        <v>0</v>
      </c>
      <c r="AC1277" s="55">
        <f>IF(AQ1277="1",BI1277,0)</f>
        <v>0</v>
      </c>
      <c r="AD1277" s="55">
        <f>IF(AQ1277="7",BH1277,0)</f>
        <v>0</v>
      </c>
      <c r="AE1277" s="55">
        <f>IF(AQ1277="7",BI1277,0)</f>
        <v>0</v>
      </c>
      <c r="AF1277" s="55">
        <f>IF(AQ1277="2",BH1277,0)</f>
        <v>0</v>
      </c>
      <c r="AG1277" s="55">
        <f>IF(AQ1277="2",BI1277,0)</f>
        <v>0</v>
      </c>
      <c r="AH1277" s="55">
        <f>IF(AQ1277="0",BJ1277,0)</f>
        <v>0</v>
      </c>
      <c r="AI1277" s="34" t="s">
        <v>116</v>
      </c>
      <c r="AJ1277" s="55">
        <f>IF(AN1277=0,I1277,0)</f>
        <v>0</v>
      </c>
      <c r="AK1277" s="55">
        <f>IF(AN1277=12,I1277,0)</f>
        <v>0</v>
      </c>
      <c r="AL1277" s="55">
        <f>IF(AN1277=21,I1277,0)</f>
        <v>0</v>
      </c>
      <c r="AN1277" s="55">
        <v>21</v>
      </c>
      <c r="AO1277" s="55">
        <f>H1277*0</f>
        <v>0</v>
      </c>
      <c r="AP1277" s="55">
        <f>H1277*(1-0)</f>
        <v>0</v>
      </c>
      <c r="AQ1277" s="58" t="s">
        <v>120</v>
      </c>
      <c r="AV1277" s="55">
        <f>AW1277+AX1277</f>
        <v>0</v>
      </c>
      <c r="AW1277" s="55">
        <f>G1277*AO1277</f>
        <v>0</v>
      </c>
      <c r="AX1277" s="55">
        <f>G1277*AP1277</f>
        <v>0</v>
      </c>
      <c r="AY1277" s="58" t="s">
        <v>2425</v>
      </c>
      <c r="AZ1277" s="58" t="s">
        <v>2344</v>
      </c>
      <c r="BA1277" s="34" t="s">
        <v>128</v>
      </c>
      <c r="BB1277" s="67">
        <v>100020</v>
      </c>
      <c r="BC1277" s="55">
        <f>AW1277+AX1277</f>
        <v>0</v>
      </c>
      <c r="BD1277" s="55">
        <f>H1277/(100-BE1277)*100</f>
        <v>0</v>
      </c>
      <c r="BE1277" s="55">
        <v>0</v>
      </c>
      <c r="BF1277" s="55">
        <f>K1277</f>
        <v>12.081330000000001</v>
      </c>
      <c r="BH1277" s="55">
        <f>G1277*AO1277</f>
        <v>0</v>
      </c>
      <c r="BI1277" s="55">
        <f>G1277*AP1277</f>
        <v>0</v>
      </c>
      <c r="BJ1277" s="55">
        <f>G1277*H1277</f>
        <v>0</v>
      </c>
      <c r="BK1277" s="55"/>
      <c r="BL1277" s="55">
        <v>96</v>
      </c>
      <c r="BW1277" s="55">
        <v>21</v>
      </c>
    </row>
    <row r="1278" spans="1:12" ht="13.5" customHeight="1">
      <c r="A1278" s="59"/>
      <c r="D1278" s="218" t="s">
        <v>2426</v>
      </c>
      <c r="E1278" s="219"/>
      <c r="F1278" s="219"/>
      <c r="G1278" s="219"/>
      <c r="H1278" s="220"/>
      <c r="I1278" s="219"/>
      <c r="J1278" s="219"/>
      <c r="K1278" s="219"/>
      <c r="L1278" s="221"/>
    </row>
    <row r="1279" spans="1:12" ht="14.4">
      <c r="A1279" s="59"/>
      <c r="D1279" s="60" t="s">
        <v>2427</v>
      </c>
      <c r="E1279" s="60" t="s">
        <v>4</v>
      </c>
      <c r="G1279" s="68">
        <v>1.52</v>
      </c>
      <c r="L1279" s="69"/>
    </row>
    <row r="1280" spans="1:12" ht="14.4">
      <c r="A1280" s="59"/>
      <c r="D1280" s="60" t="s">
        <v>2428</v>
      </c>
      <c r="E1280" s="60" t="s">
        <v>4</v>
      </c>
      <c r="G1280" s="68">
        <v>0.88</v>
      </c>
      <c r="L1280" s="69"/>
    </row>
    <row r="1281" spans="1:12" ht="14.4">
      <c r="A1281" s="59"/>
      <c r="D1281" s="60" t="s">
        <v>2429</v>
      </c>
      <c r="E1281" s="60" t="s">
        <v>4</v>
      </c>
      <c r="G1281" s="68">
        <v>2.9</v>
      </c>
      <c r="L1281" s="69"/>
    </row>
    <row r="1282" spans="1:12" ht="14.4">
      <c r="A1282" s="59"/>
      <c r="D1282" s="60" t="s">
        <v>2430</v>
      </c>
      <c r="E1282" s="60" t="s">
        <v>4</v>
      </c>
      <c r="G1282" s="68">
        <v>1.93</v>
      </c>
      <c r="L1282" s="69"/>
    </row>
    <row r="1283" spans="1:75" ht="13.5" customHeight="1">
      <c r="A1283" s="1" t="s">
        <v>2431</v>
      </c>
      <c r="B1283" s="2" t="s">
        <v>116</v>
      </c>
      <c r="C1283" s="2" t="s">
        <v>2432</v>
      </c>
      <c r="D1283" s="147" t="s">
        <v>2433</v>
      </c>
      <c r="E1283" s="148"/>
      <c r="F1283" s="2" t="s">
        <v>792</v>
      </c>
      <c r="G1283" s="55">
        <v>29.07</v>
      </c>
      <c r="H1283" s="56">
        <v>0</v>
      </c>
      <c r="I1283" s="55">
        <f>G1283*H1283</f>
        <v>0</v>
      </c>
      <c r="J1283" s="55">
        <v>1.594</v>
      </c>
      <c r="K1283" s="55">
        <f>G1283*J1283</f>
        <v>46.33758</v>
      </c>
      <c r="L1283" s="57" t="s">
        <v>785</v>
      </c>
      <c r="Z1283" s="55">
        <f>IF(AQ1283="5",BJ1283,0)</f>
        <v>0</v>
      </c>
      <c r="AB1283" s="55">
        <f>IF(AQ1283="1",BH1283,0)</f>
        <v>0</v>
      </c>
      <c r="AC1283" s="55">
        <f>IF(AQ1283="1",BI1283,0)</f>
        <v>0</v>
      </c>
      <c r="AD1283" s="55">
        <f>IF(AQ1283="7",BH1283,0)</f>
        <v>0</v>
      </c>
      <c r="AE1283" s="55">
        <f>IF(AQ1283="7",BI1283,0)</f>
        <v>0</v>
      </c>
      <c r="AF1283" s="55">
        <f>IF(AQ1283="2",BH1283,0)</f>
        <v>0</v>
      </c>
      <c r="AG1283" s="55">
        <f>IF(AQ1283="2",BI1283,0)</f>
        <v>0</v>
      </c>
      <c r="AH1283" s="55">
        <f>IF(AQ1283="0",BJ1283,0)</f>
        <v>0</v>
      </c>
      <c r="AI1283" s="34" t="s">
        <v>116</v>
      </c>
      <c r="AJ1283" s="55">
        <f>IF(AN1283=0,I1283,0)</f>
        <v>0</v>
      </c>
      <c r="AK1283" s="55">
        <f>IF(AN1283=12,I1283,0)</f>
        <v>0</v>
      </c>
      <c r="AL1283" s="55">
        <f>IF(AN1283=21,I1283,0)</f>
        <v>0</v>
      </c>
      <c r="AN1283" s="55">
        <v>21</v>
      </c>
      <c r="AO1283" s="55">
        <f>H1283*0</f>
        <v>0</v>
      </c>
      <c r="AP1283" s="55">
        <f>H1283*(1-0)</f>
        <v>0</v>
      </c>
      <c r="AQ1283" s="58" t="s">
        <v>120</v>
      </c>
      <c r="AV1283" s="55">
        <f>AW1283+AX1283</f>
        <v>0</v>
      </c>
      <c r="AW1283" s="55">
        <f>G1283*AO1283</f>
        <v>0</v>
      </c>
      <c r="AX1283" s="55">
        <f>G1283*AP1283</f>
        <v>0</v>
      </c>
      <c r="AY1283" s="58" t="s">
        <v>2425</v>
      </c>
      <c r="AZ1283" s="58" t="s">
        <v>2344</v>
      </c>
      <c r="BA1283" s="34" t="s">
        <v>128</v>
      </c>
      <c r="BB1283" s="67">
        <v>100020</v>
      </c>
      <c r="BC1283" s="55">
        <f>AW1283+AX1283</f>
        <v>0</v>
      </c>
      <c r="BD1283" s="55">
        <f>H1283/(100-BE1283)*100</f>
        <v>0</v>
      </c>
      <c r="BE1283" s="55">
        <v>0</v>
      </c>
      <c r="BF1283" s="55">
        <f>K1283</f>
        <v>46.33758</v>
      </c>
      <c r="BH1283" s="55">
        <f>G1283*AO1283</f>
        <v>0</v>
      </c>
      <c r="BI1283" s="55">
        <f>G1283*AP1283</f>
        <v>0</v>
      </c>
      <c r="BJ1283" s="55">
        <f>G1283*H1283</f>
        <v>0</v>
      </c>
      <c r="BK1283" s="55"/>
      <c r="BL1283" s="55">
        <v>96</v>
      </c>
      <c r="BW1283" s="55">
        <v>21</v>
      </c>
    </row>
    <row r="1284" spans="1:12" ht="13.5" customHeight="1">
      <c r="A1284" s="59"/>
      <c r="D1284" s="218" t="s">
        <v>2434</v>
      </c>
      <c r="E1284" s="219"/>
      <c r="F1284" s="219"/>
      <c r="G1284" s="219"/>
      <c r="H1284" s="220"/>
      <c r="I1284" s="219"/>
      <c r="J1284" s="219"/>
      <c r="K1284" s="219"/>
      <c r="L1284" s="221"/>
    </row>
    <row r="1285" spans="1:12" ht="14.4">
      <c r="A1285" s="59"/>
      <c r="D1285" s="60" t="s">
        <v>2435</v>
      </c>
      <c r="E1285" s="60" t="s">
        <v>4</v>
      </c>
      <c r="G1285" s="68">
        <v>29.07</v>
      </c>
      <c r="L1285" s="69"/>
    </row>
    <row r="1286" spans="1:75" ht="13.5" customHeight="1">
      <c r="A1286" s="1" t="s">
        <v>2436</v>
      </c>
      <c r="B1286" s="2" t="s">
        <v>116</v>
      </c>
      <c r="C1286" s="2" t="s">
        <v>2437</v>
      </c>
      <c r="D1286" s="147" t="s">
        <v>2438</v>
      </c>
      <c r="E1286" s="148"/>
      <c r="F1286" s="2" t="s">
        <v>729</v>
      </c>
      <c r="G1286" s="55">
        <v>33.7</v>
      </c>
      <c r="H1286" s="56">
        <v>0</v>
      </c>
      <c r="I1286" s="55">
        <f>G1286*H1286</f>
        <v>0</v>
      </c>
      <c r="J1286" s="55">
        <v>0.31967</v>
      </c>
      <c r="K1286" s="55">
        <f>G1286*J1286</f>
        <v>10.772879000000001</v>
      </c>
      <c r="L1286" s="57" t="s">
        <v>785</v>
      </c>
      <c r="Z1286" s="55">
        <f>IF(AQ1286="5",BJ1286,0)</f>
        <v>0</v>
      </c>
      <c r="AB1286" s="55">
        <f>IF(AQ1286="1",BH1286,0)</f>
        <v>0</v>
      </c>
      <c r="AC1286" s="55">
        <f>IF(AQ1286="1",BI1286,0)</f>
        <v>0</v>
      </c>
      <c r="AD1286" s="55">
        <f>IF(AQ1286="7",BH1286,0)</f>
        <v>0</v>
      </c>
      <c r="AE1286" s="55">
        <f>IF(AQ1286="7",BI1286,0)</f>
        <v>0</v>
      </c>
      <c r="AF1286" s="55">
        <f>IF(AQ1286="2",BH1286,0)</f>
        <v>0</v>
      </c>
      <c r="AG1286" s="55">
        <f>IF(AQ1286="2",BI1286,0)</f>
        <v>0</v>
      </c>
      <c r="AH1286" s="55">
        <f>IF(AQ1286="0",BJ1286,0)</f>
        <v>0</v>
      </c>
      <c r="AI1286" s="34" t="s">
        <v>116</v>
      </c>
      <c r="AJ1286" s="55">
        <f>IF(AN1286=0,I1286,0)</f>
        <v>0</v>
      </c>
      <c r="AK1286" s="55">
        <f>IF(AN1286=12,I1286,0)</f>
        <v>0</v>
      </c>
      <c r="AL1286" s="55">
        <f>IF(AN1286=21,I1286,0)</f>
        <v>0</v>
      </c>
      <c r="AN1286" s="55">
        <v>21</v>
      </c>
      <c r="AO1286" s="55">
        <f>H1286*0.100673575</f>
        <v>0</v>
      </c>
      <c r="AP1286" s="55">
        <f>H1286*(1-0.100673575)</f>
        <v>0</v>
      </c>
      <c r="AQ1286" s="58" t="s">
        <v>120</v>
      </c>
      <c r="AV1286" s="55">
        <f>AW1286+AX1286</f>
        <v>0</v>
      </c>
      <c r="AW1286" s="55">
        <f>G1286*AO1286</f>
        <v>0</v>
      </c>
      <c r="AX1286" s="55">
        <f>G1286*AP1286</f>
        <v>0</v>
      </c>
      <c r="AY1286" s="58" t="s">
        <v>2425</v>
      </c>
      <c r="AZ1286" s="58" t="s">
        <v>2344</v>
      </c>
      <c r="BA1286" s="34" t="s">
        <v>128</v>
      </c>
      <c r="BB1286" s="67">
        <v>100020</v>
      </c>
      <c r="BC1286" s="55">
        <f>AW1286+AX1286</f>
        <v>0</v>
      </c>
      <c r="BD1286" s="55">
        <f>H1286/(100-BE1286)*100</f>
        <v>0</v>
      </c>
      <c r="BE1286" s="55">
        <v>0</v>
      </c>
      <c r="BF1286" s="55">
        <f>K1286</f>
        <v>10.772879000000001</v>
      </c>
      <c r="BH1286" s="55">
        <f>G1286*AO1286</f>
        <v>0</v>
      </c>
      <c r="BI1286" s="55">
        <f>G1286*AP1286</f>
        <v>0</v>
      </c>
      <c r="BJ1286" s="55">
        <f>G1286*H1286</f>
        <v>0</v>
      </c>
      <c r="BK1286" s="55"/>
      <c r="BL1286" s="55">
        <v>96</v>
      </c>
      <c r="BW1286" s="55">
        <v>21</v>
      </c>
    </row>
    <row r="1287" spans="1:12" ht="14.4">
      <c r="A1287" s="59"/>
      <c r="D1287" s="60" t="s">
        <v>2439</v>
      </c>
      <c r="E1287" s="60" t="s">
        <v>869</v>
      </c>
      <c r="G1287" s="68">
        <v>33.7</v>
      </c>
      <c r="L1287" s="69"/>
    </row>
    <row r="1288" spans="1:75" ht="13.5" customHeight="1">
      <c r="A1288" s="1" t="s">
        <v>2440</v>
      </c>
      <c r="B1288" s="2" t="s">
        <v>116</v>
      </c>
      <c r="C1288" s="2" t="s">
        <v>2441</v>
      </c>
      <c r="D1288" s="147" t="s">
        <v>2442</v>
      </c>
      <c r="E1288" s="148"/>
      <c r="F1288" s="2" t="s">
        <v>792</v>
      </c>
      <c r="G1288" s="55">
        <v>2.5</v>
      </c>
      <c r="H1288" s="56">
        <v>0</v>
      </c>
      <c r="I1288" s="55">
        <f>G1288*H1288</f>
        <v>0</v>
      </c>
      <c r="J1288" s="55">
        <v>1.81249</v>
      </c>
      <c r="K1288" s="55">
        <f>G1288*J1288</f>
        <v>4.531225</v>
      </c>
      <c r="L1288" s="57" t="s">
        <v>785</v>
      </c>
      <c r="Z1288" s="55">
        <f>IF(AQ1288="5",BJ1288,0)</f>
        <v>0</v>
      </c>
      <c r="AB1288" s="55">
        <f>IF(AQ1288="1",BH1288,0)</f>
        <v>0</v>
      </c>
      <c r="AC1288" s="55">
        <f>IF(AQ1288="1",BI1288,0)</f>
        <v>0</v>
      </c>
      <c r="AD1288" s="55">
        <f>IF(AQ1288="7",BH1288,0)</f>
        <v>0</v>
      </c>
      <c r="AE1288" s="55">
        <f>IF(AQ1288="7",BI1288,0)</f>
        <v>0</v>
      </c>
      <c r="AF1288" s="55">
        <f>IF(AQ1288="2",BH1288,0)</f>
        <v>0</v>
      </c>
      <c r="AG1288" s="55">
        <f>IF(AQ1288="2",BI1288,0)</f>
        <v>0</v>
      </c>
      <c r="AH1288" s="55">
        <f>IF(AQ1288="0",BJ1288,0)</f>
        <v>0</v>
      </c>
      <c r="AI1288" s="34" t="s">
        <v>116</v>
      </c>
      <c r="AJ1288" s="55">
        <f>IF(AN1288=0,I1288,0)</f>
        <v>0</v>
      </c>
      <c r="AK1288" s="55">
        <f>IF(AN1288=12,I1288,0)</f>
        <v>0</v>
      </c>
      <c r="AL1288" s="55">
        <f>IF(AN1288=21,I1288,0)</f>
        <v>0</v>
      </c>
      <c r="AN1288" s="55">
        <v>21</v>
      </c>
      <c r="AO1288" s="55">
        <f>H1288*0.181795511</f>
        <v>0</v>
      </c>
      <c r="AP1288" s="55">
        <f>H1288*(1-0.181795511)</f>
        <v>0</v>
      </c>
      <c r="AQ1288" s="58" t="s">
        <v>120</v>
      </c>
      <c r="AV1288" s="55">
        <f>AW1288+AX1288</f>
        <v>0</v>
      </c>
      <c r="AW1288" s="55">
        <f>G1288*AO1288</f>
        <v>0</v>
      </c>
      <c r="AX1288" s="55">
        <f>G1288*AP1288</f>
        <v>0</v>
      </c>
      <c r="AY1288" s="58" t="s">
        <v>2425</v>
      </c>
      <c r="AZ1288" s="58" t="s">
        <v>2344</v>
      </c>
      <c r="BA1288" s="34" t="s">
        <v>128</v>
      </c>
      <c r="BB1288" s="67">
        <v>100020</v>
      </c>
      <c r="BC1288" s="55">
        <f>AW1288+AX1288</f>
        <v>0</v>
      </c>
      <c r="BD1288" s="55">
        <f>H1288/(100-BE1288)*100</f>
        <v>0</v>
      </c>
      <c r="BE1288" s="55">
        <v>0</v>
      </c>
      <c r="BF1288" s="55">
        <f>K1288</f>
        <v>4.531225</v>
      </c>
      <c r="BH1288" s="55">
        <f>G1288*AO1288</f>
        <v>0</v>
      </c>
      <c r="BI1288" s="55">
        <f>G1288*AP1288</f>
        <v>0</v>
      </c>
      <c r="BJ1288" s="55">
        <f>G1288*H1288</f>
        <v>0</v>
      </c>
      <c r="BK1288" s="55"/>
      <c r="BL1288" s="55">
        <v>96</v>
      </c>
      <c r="BW1288" s="55">
        <v>21</v>
      </c>
    </row>
    <row r="1289" spans="1:12" ht="14.4">
      <c r="A1289" s="59"/>
      <c r="D1289" s="60" t="s">
        <v>1708</v>
      </c>
      <c r="E1289" s="60" t="s">
        <v>869</v>
      </c>
      <c r="G1289" s="68">
        <v>2.5</v>
      </c>
      <c r="L1289" s="69"/>
    </row>
    <row r="1290" spans="1:75" ht="13.5" customHeight="1">
      <c r="A1290" s="1" t="s">
        <v>2443</v>
      </c>
      <c r="B1290" s="2" t="s">
        <v>116</v>
      </c>
      <c r="C1290" s="2" t="s">
        <v>2444</v>
      </c>
      <c r="D1290" s="147" t="s">
        <v>2445</v>
      </c>
      <c r="E1290" s="148"/>
      <c r="F1290" s="2" t="s">
        <v>792</v>
      </c>
      <c r="G1290" s="55">
        <v>0.25</v>
      </c>
      <c r="H1290" s="56">
        <v>0</v>
      </c>
      <c r="I1290" s="55">
        <f>G1290*H1290</f>
        <v>0</v>
      </c>
      <c r="J1290" s="55">
        <v>2.40951</v>
      </c>
      <c r="K1290" s="55">
        <f>G1290*J1290</f>
        <v>0.6023775</v>
      </c>
      <c r="L1290" s="57" t="s">
        <v>785</v>
      </c>
      <c r="Z1290" s="55">
        <f>IF(AQ1290="5",BJ1290,0)</f>
        <v>0</v>
      </c>
      <c r="AB1290" s="55">
        <f>IF(AQ1290="1",BH1290,0)</f>
        <v>0</v>
      </c>
      <c r="AC1290" s="55">
        <f>IF(AQ1290="1",BI1290,0)</f>
        <v>0</v>
      </c>
      <c r="AD1290" s="55">
        <f>IF(AQ1290="7",BH1290,0)</f>
        <v>0</v>
      </c>
      <c r="AE1290" s="55">
        <f>IF(AQ1290="7",BI1290,0)</f>
        <v>0</v>
      </c>
      <c r="AF1290" s="55">
        <f>IF(AQ1290="2",BH1290,0)</f>
        <v>0</v>
      </c>
      <c r="AG1290" s="55">
        <f>IF(AQ1290="2",BI1290,0)</f>
        <v>0</v>
      </c>
      <c r="AH1290" s="55">
        <f>IF(AQ1290="0",BJ1290,0)</f>
        <v>0</v>
      </c>
      <c r="AI1290" s="34" t="s">
        <v>116</v>
      </c>
      <c r="AJ1290" s="55">
        <f>IF(AN1290=0,I1290,0)</f>
        <v>0</v>
      </c>
      <c r="AK1290" s="55">
        <f>IF(AN1290=12,I1290,0)</f>
        <v>0</v>
      </c>
      <c r="AL1290" s="55">
        <f>IF(AN1290=21,I1290,0)</f>
        <v>0</v>
      </c>
      <c r="AN1290" s="55">
        <v>21</v>
      </c>
      <c r="AO1290" s="55">
        <f>H1290*0.046876689</f>
        <v>0</v>
      </c>
      <c r="AP1290" s="55">
        <f>H1290*(1-0.046876689)</f>
        <v>0</v>
      </c>
      <c r="AQ1290" s="58" t="s">
        <v>120</v>
      </c>
      <c r="AV1290" s="55">
        <f>AW1290+AX1290</f>
        <v>0</v>
      </c>
      <c r="AW1290" s="55">
        <f>G1290*AO1290</f>
        <v>0</v>
      </c>
      <c r="AX1290" s="55">
        <f>G1290*AP1290</f>
        <v>0</v>
      </c>
      <c r="AY1290" s="58" t="s">
        <v>2425</v>
      </c>
      <c r="AZ1290" s="58" t="s">
        <v>2344</v>
      </c>
      <c r="BA1290" s="34" t="s">
        <v>128</v>
      </c>
      <c r="BB1290" s="67">
        <v>100020</v>
      </c>
      <c r="BC1290" s="55">
        <f>AW1290+AX1290</f>
        <v>0</v>
      </c>
      <c r="BD1290" s="55">
        <f>H1290/(100-BE1290)*100</f>
        <v>0</v>
      </c>
      <c r="BE1290" s="55">
        <v>0</v>
      </c>
      <c r="BF1290" s="55">
        <f>K1290</f>
        <v>0.6023775</v>
      </c>
      <c r="BH1290" s="55">
        <f>G1290*AO1290</f>
        <v>0</v>
      </c>
      <c r="BI1290" s="55">
        <f>G1290*AP1290</f>
        <v>0</v>
      </c>
      <c r="BJ1290" s="55">
        <f>G1290*H1290</f>
        <v>0</v>
      </c>
      <c r="BK1290" s="55"/>
      <c r="BL1290" s="55">
        <v>96</v>
      </c>
      <c r="BW1290" s="55">
        <v>21</v>
      </c>
    </row>
    <row r="1291" spans="1:12" ht="14.4">
      <c r="A1291" s="59"/>
      <c r="D1291" s="60" t="s">
        <v>2446</v>
      </c>
      <c r="E1291" s="60" t="s">
        <v>4</v>
      </c>
      <c r="G1291" s="68">
        <v>0.07</v>
      </c>
      <c r="L1291" s="69"/>
    </row>
    <row r="1292" spans="1:12" ht="14.4">
      <c r="A1292" s="59"/>
      <c r="D1292" s="60" t="s">
        <v>2447</v>
      </c>
      <c r="E1292" s="60" t="s">
        <v>4</v>
      </c>
      <c r="G1292" s="68">
        <v>0.03</v>
      </c>
      <c r="L1292" s="69"/>
    </row>
    <row r="1293" spans="1:12" ht="14.4">
      <c r="A1293" s="59"/>
      <c r="D1293" s="60" t="s">
        <v>2448</v>
      </c>
      <c r="E1293" s="60" t="s">
        <v>4</v>
      </c>
      <c r="G1293" s="68">
        <v>0.09</v>
      </c>
      <c r="L1293" s="69"/>
    </row>
    <row r="1294" spans="1:12" ht="14.4">
      <c r="A1294" s="59"/>
      <c r="D1294" s="60" t="s">
        <v>2449</v>
      </c>
      <c r="E1294" s="60" t="s">
        <v>4</v>
      </c>
      <c r="G1294" s="68">
        <v>0.06</v>
      </c>
      <c r="L1294" s="69"/>
    </row>
    <row r="1295" spans="1:75" ht="13.5" customHeight="1">
      <c r="A1295" s="1" t="s">
        <v>2450</v>
      </c>
      <c r="B1295" s="2" t="s">
        <v>116</v>
      </c>
      <c r="C1295" s="2" t="s">
        <v>2451</v>
      </c>
      <c r="D1295" s="147" t="s">
        <v>2452</v>
      </c>
      <c r="E1295" s="148"/>
      <c r="F1295" s="2" t="s">
        <v>729</v>
      </c>
      <c r="G1295" s="55">
        <v>45.42</v>
      </c>
      <c r="H1295" s="56">
        <v>0</v>
      </c>
      <c r="I1295" s="55">
        <f>G1295*H1295</f>
        <v>0</v>
      </c>
      <c r="J1295" s="55">
        <v>0.14</v>
      </c>
      <c r="K1295" s="55">
        <f>G1295*J1295</f>
        <v>6.3588000000000005</v>
      </c>
      <c r="L1295" s="57" t="s">
        <v>124</v>
      </c>
      <c r="Z1295" s="55">
        <f>IF(AQ1295="5",BJ1295,0)</f>
        <v>0</v>
      </c>
      <c r="AB1295" s="55">
        <f>IF(AQ1295="1",BH1295,0)</f>
        <v>0</v>
      </c>
      <c r="AC1295" s="55">
        <f>IF(AQ1295="1",BI1295,0)</f>
        <v>0</v>
      </c>
      <c r="AD1295" s="55">
        <f>IF(AQ1295="7",BH1295,0)</f>
        <v>0</v>
      </c>
      <c r="AE1295" s="55">
        <f>IF(AQ1295="7",BI1295,0)</f>
        <v>0</v>
      </c>
      <c r="AF1295" s="55">
        <f>IF(AQ1295="2",BH1295,0)</f>
        <v>0</v>
      </c>
      <c r="AG1295" s="55">
        <f>IF(AQ1295="2",BI1295,0)</f>
        <v>0</v>
      </c>
      <c r="AH1295" s="55">
        <f>IF(AQ1295="0",BJ1295,0)</f>
        <v>0</v>
      </c>
      <c r="AI1295" s="34" t="s">
        <v>116</v>
      </c>
      <c r="AJ1295" s="55">
        <f>IF(AN1295=0,I1295,0)</f>
        <v>0</v>
      </c>
      <c r="AK1295" s="55">
        <f>IF(AN1295=12,I1295,0)</f>
        <v>0</v>
      </c>
      <c r="AL1295" s="55">
        <f>IF(AN1295=21,I1295,0)</f>
        <v>0</v>
      </c>
      <c r="AN1295" s="55">
        <v>21</v>
      </c>
      <c r="AO1295" s="55">
        <f>H1295*0</f>
        <v>0</v>
      </c>
      <c r="AP1295" s="55">
        <f>H1295*(1-0)</f>
        <v>0</v>
      </c>
      <c r="AQ1295" s="58" t="s">
        <v>120</v>
      </c>
      <c r="AV1295" s="55">
        <f>AW1295+AX1295</f>
        <v>0</v>
      </c>
      <c r="AW1295" s="55">
        <f>G1295*AO1295</f>
        <v>0</v>
      </c>
      <c r="AX1295" s="55">
        <f>G1295*AP1295</f>
        <v>0</v>
      </c>
      <c r="AY1295" s="58" t="s">
        <v>2425</v>
      </c>
      <c r="AZ1295" s="58" t="s">
        <v>2344</v>
      </c>
      <c r="BA1295" s="34" t="s">
        <v>128</v>
      </c>
      <c r="BB1295" s="67">
        <v>100020</v>
      </c>
      <c r="BC1295" s="55">
        <f>AW1295+AX1295</f>
        <v>0</v>
      </c>
      <c r="BD1295" s="55">
        <f>H1295/(100-BE1295)*100</f>
        <v>0</v>
      </c>
      <c r="BE1295" s="55">
        <v>0</v>
      </c>
      <c r="BF1295" s="55">
        <f>K1295</f>
        <v>6.3588000000000005</v>
      </c>
      <c r="BH1295" s="55">
        <f>G1295*AO1295</f>
        <v>0</v>
      </c>
      <c r="BI1295" s="55">
        <f>G1295*AP1295</f>
        <v>0</v>
      </c>
      <c r="BJ1295" s="55">
        <f>G1295*H1295</f>
        <v>0</v>
      </c>
      <c r="BK1295" s="55"/>
      <c r="BL1295" s="55">
        <v>96</v>
      </c>
      <c r="BW1295" s="55">
        <v>21</v>
      </c>
    </row>
    <row r="1296" spans="1:12" ht="13.5" customHeight="1">
      <c r="A1296" s="59"/>
      <c r="D1296" s="218" t="s">
        <v>2453</v>
      </c>
      <c r="E1296" s="219"/>
      <c r="F1296" s="219"/>
      <c r="G1296" s="219"/>
      <c r="H1296" s="220"/>
      <c r="I1296" s="219"/>
      <c r="J1296" s="219"/>
      <c r="K1296" s="219"/>
      <c r="L1296" s="221"/>
    </row>
    <row r="1297" spans="1:12" ht="14.4">
      <c r="A1297" s="59"/>
      <c r="D1297" s="60" t="s">
        <v>1738</v>
      </c>
      <c r="E1297" s="60" t="s">
        <v>2454</v>
      </c>
      <c r="G1297" s="68">
        <v>7.42</v>
      </c>
      <c r="L1297" s="69"/>
    </row>
    <row r="1298" spans="1:12" ht="14.4">
      <c r="A1298" s="59"/>
      <c r="D1298" s="60" t="s">
        <v>1027</v>
      </c>
      <c r="E1298" s="60" t="s">
        <v>1028</v>
      </c>
      <c r="G1298" s="68">
        <v>30.75</v>
      </c>
      <c r="L1298" s="69"/>
    </row>
    <row r="1299" spans="1:12" ht="14.4">
      <c r="A1299" s="59"/>
      <c r="D1299" s="60" t="s">
        <v>2455</v>
      </c>
      <c r="E1299" s="60" t="s">
        <v>2456</v>
      </c>
      <c r="G1299" s="68">
        <v>7.25</v>
      </c>
      <c r="L1299" s="69"/>
    </row>
    <row r="1300" spans="1:75" ht="13.5" customHeight="1">
      <c r="A1300" s="1" t="s">
        <v>2457</v>
      </c>
      <c r="B1300" s="2" t="s">
        <v>116</v>
      </c>
      <c r="C1300" s="2" t="s">
        <v>2458</v>
      </c>
      <c r="D1300" s="147" t="s">
        <v>2459</v>
      </c>
      <c r="E1300" s="148"/>
      <c r="F1300" s="2" t="s">
        <v>792</v>
      </c>
      <c r="G1300" s="55">
        <v>4.54</v>
      </c>
      <c r="H1300" s="56">
        <v>0</v>
      </c>
      <c r="I1300" s="55">
        <f>G1300*H1300</f>
        <v>0</v>
      </c>
      <c r="J1300" s="55">
        <v>1.4</v>
      </c>
      <c r="K1300" s="55">
        <f>G1300*J1300</f>
        <v>6.356</v>
      </c>
      <c r="L1300" s="57" t="s">
        <v>785</v>
      </c>
      <c r="Z1300" s="55">
        <f>IF(AQ1300="5",BJ1300,0)</f>
        <v>0</v>
      </c>
      <c r="AB1300" s="55">
        <f>IF(AQ1300="1",BH1300,0)</f>
        <v>0</v>
      </c>
      <c r="AC1300" s="55">
        <f>IF(AQ1300="1",BI1300,0)</f>
        <v>0</v>
      </c>
      <c r="AD1300" s="55">
        <f>IF(AQ1300="7",BH1300,0)</f>
        <v>0</v>
      </c>
      <c r="AE1300" s="55">
        <f>IF(AQ1300="7",BI1300,0)</f>
        <v>0</v>
      </c>
      <c r="AF1300" s="55">
        <f>IF(AQ1300="2",BH1300,0)</f>
        <v>0</v>
      </c>
      <c r="AG1300" s="55">
        <f>IF(AQ1300="2",BI1300,0)</f>
        <v>0</v>
      </c>
      <c r="AH1300" s="55">
        <f>IF(AQ1300="0",BJ1300,0)</f>
        <v>0</v>
      </c>
      <c r="AI1300" s="34" t="s">
        <v>116</v>
      </c>
      <c r="AJ1300" s="55">
        <f>IF(AN1300=0,I1300,0)</f>
        <v>0</v>
      </c>
      <c r="AK1300" s="55">
        <f>IF(AN1300=12,I1300,0)</f>
        <v>0</v>
      </c>
      <c r="AL1300" s="55">
        <f>IF(AN1300=21,I1300,0)</f>
        <v>0</v>
      </c>
      <c r="AN1300" s="55">
        <v>21</v>
      </c>
      <c r="AO1300" s="55">
        <f>H1300*0</f>
        <v>0</v>
      </c>
      <c r="AP1300" s="55">
        <f>H1300*(1-0)</f>
        <v>0</v>
      </c>
      <c r="AQ1300" s="58" t="s">
        <v>120</v>
      </c>
      <c r="AV1300" s="55">
        <f>AW1300+AX1300</f>
        <v>0</v>
      </c>
      <c r="AW1300" s="55">
        <f>G1300*AO1300</f>
        <v>0</v>
      </c>
      <c r="AX1300" s="55">
        <f>G1300*AP1300</f>
        <v>0</v>
      </c>
      <c r="AY1300" s="58" t="s">
        <v>2425</v>
      </c>
      <c r="AZ1300" s="58" t="s">
        <v>2344</v>
      </c>
      <c r="BA1300" s="34" t="s">
        <v>128</v>
      </c>
      <c r="BB1300" s="67">
        <v>100020</v>
      </c>
      <c r="BC1300" s="55">
        <f>AW1300+AX1300</f>
        <v>0</v>
      </c>
      <c r="BD1300" s="55">
        <f>H1300/(100-BE1300)*100</f>
        <v>0</v>
      </c>
      <c r="BE1300" s="55">
        <v>0</v>
      </c>
      <c r="BF1300" s="55">
        <f>K1300</f>
        <v>6.356</v>
      </c>
      <c r="BH1300" s="55">
        <f>G1300*AO1300</f>
        <v>0</v>
      </c>
      <c r="BI1300" s="55">
        <f>G1300*AP1300</f>
        <v>0</v>
      </c>
      <c r="BJ1300" s="55">
        <f>G1300*H1300</f>
        <v>0</v>
      </c>
      <c r="BK1300" s="55"/>
      <c r="BL1300" s="55">
        <v>96</v>
      </c>
      <c r="BW1300" s="55">
        <v>21</v>
      </c>
    </row>
    <row r="1301" spans="1:12" ht="14.4">
      <c r="A1301" s="59"/>
      <c r="D1301" s="60" t="s">
        <v>2460</v>
      </c>
      <c r="E1301" s="60" t="s">
        <v>4</v>
      </c>
      <c r="G1301" s="68">
        <v>4.54</v>
      </c>
      <c r="L1301" s="69"/>
    </row>
    <row r="1302" spans="1:75" ht="13.5" customHeight="1">
      <c r="A1302" s="1" t="s">
        <v>2461</v>
      </c>
      <c r="B1302" s="2" t="s">
        <v>116</v>
      </c>
      <c r="C1302" s="2" t="s">
        <v>2462</v>
      </c>
      <c r="D1302" s="147" t="s">
        <v>2463</v>
      </c>
      <c r="E1302" s="148"/>
      <c r="F1302" s="2" t="s">
        <v>729</v>
      </c>
      <c r="G1302" s="55">
        <v>4.95</v>
      </c>
      <c r="H1302" s="56">
        <v>0</v>
      </c>
      <c r="I1302" s="55">
        <f>G1302*H1302</f>
        <v>0</v>
      </c>
      <c r="J1302" s="55">
        <v>0.04319</v>
      </c>
      <c r="K1302" s="55">
        <f>G1302*J1302</f>
        <v>0.2137905</v>
      </c>
      <c r="L1302" s="57" t="s">
        <v>785</v>
      </c>
      <c r="Z1302" s="55">
        <f>IF(AQ1302="5",BJ1302,0)</f>
        <v>0</v>
      </c>
      <c r="AB1302" s="55">
        <f>IF(AQ1302="1",BH1302,0)</f>
        <v>0</v>
      </c>
      <c r="AC1302" s="55">
        <f>IF(AQ1302="1",BI1302,0)</f>
        <v>0</v>
      </c>
      <c r="AD1302" s="55">
        <f>IF(AQ1302="7",BH1302,0)</f>
        <v>0</v>
      </c>
      <c r="AE1302" s="55">
        <f>IF(AQ1302="7",BI1302,0)</f>
        <v>0</v>
      </c>
      <c r="AF1302" s="55">
        <f>IF(AQ1302="2",BH1302,0)</f>
        <v>0</v>
      </c>
      <c r="AG1302" s="55">
        <f>IF(AQ1302="2",BI1302,0)</f>
        <v>0</v>
      </c>
      <c r="AH1302" s="55">
        <f>IF(AQ1302="0",BJ1302,0)</f>
        <v>0</v>
      </c>
      <c r="AI1302" s="34" t="s">
        <v>116</v>
      </c>
      <c r="AJ1302" s="55">
        <f>IF(AN1302=0,I1302,0)</f>
        <v>0</v>
      </c>
      <c r="AK1302" s="55">
        <f>IF(AN1302=12,I1302,0)</f>
        <v>0</v>
      </c>
      <c r="AL1302" s="55">
        <f>IF(AN1302=21,I1302,0)</f>
        <v>0</v>
      </c>
      <c r="AN1302" s="55">
        <v>21</v>
      </c>
      <c r="AO1302" s="55">
        <f>H1302*0.2095943</f>
        <v>0</v>
      </c>
      <c r="AP1302" s="55">
        <f>H1302*(1-0.2095943)</f>
        <v>0</v>
      </c>
      <c r="AQ1302" s="58" t="s">
        <v>120</v>
      </c>
      <c r="AV1302" s="55">
        <f>AW1302+AX1302</f>
        <v>0</v>
      </c>
      <c r="AW1302" s="55">
        <f>G1302*AO1302</f>
        <v>0</v>
      </c>
      <c r="AX1302" s="55">
        <f>G1302*AP1302</f>
        <v>0</v>
      </c>
      <c r="AY1302" s="58" t="s">
        <v>2425</v>
      </c>
      <c r="AZ1302" s="58" t="s">
        <v>2344</v>
      </c>
      <c r="BA1302" s="34" t="s">
        <v>128</v>
      </c>
      <c r="BB1302" s="67">
        <v>100020</v>
      </c>
      <c r="BC1302" s="55">
        <f>AW1302+AX1302</f>
        <v>0</v>
      </c>
      <c r="BD1302" s="55">
        <f>H1302/(100-BE1302)*100</f>
        <v>0</v>
      </c>
      <c r="BE1302" s="55">
        <v>0</v>
      </c>
      <c r="BF1302" s="55">
        <f>K1302</f>
        <v>0.2137905</v>
      </c>
      <c r="BH1302" s="55">
        <f>G1302*AO1302</f>
        <v>0</v>
      </c>
      <c r="BI1302" s="55">
        <f>G1302*AP1302</f>
        <v>0</v>
      </c>
      <c r="BJ1302" s="55">
        <f>G1302*H1302</f>
        <v>0</v>
      </c>
      <c r="BK1302" s="55"/>
      <c r="BL1302" s="55">
        <v>96</v>
      </c>
      <c r="BW1302" s="55">
        <v>21</v>
      </c>
    </row>
    <row r="1303" spans="1:12" ht="14.4">
      <c r="A1303" s="59"/>
      <c r="D1303" s="60" t="s">
        <v>2464</v>
      </c>
      <c r="E1303" s="60" t="s">
        <v>4</v>
      </c>
      <c r="G1303" s="68">
        <v>4.95</v>
      </c>
      <c r="L1303" s="69"/>
    </row>
    <row r="1304" spans="1:75" ht="13.5" customHeight="1">
      <c r="A1304" s="1" t="s">
        <v>2465</v>
      </c>
      <c r="B1304" s="2" t="s">
        <v>116</v>
      </c>
      <c r="C1304" s="2" t="s">
        <v>2466</v>
      </c>
      <c r="D1304" s="147" t="s">
        <v>2467</v>
      </c>
      <c r="E1304" s="148"/>
      <c r="F1304" s="2" t="s">
        <v>729</v>
      </c>
      <c r="G1304" s="55">
        <v>1.8</v>
      </c>
      <c r="H1304" s="56">
        <v>0</v>
      </c>
      <c r="I1304" s="55">
        <f>G1304*H1304</f>
        <v>0</v>
      </c>
      <c r="J1304" s="55">
        <v>0.07717</v>
      </c>
      <c r="K1304" s="55">
        <f>G1304*J1304</f>
        <v>0.138906</v>
      </c>
      <c r="L1304" s="57" t="s">
        <v>785</v>
      </c>
      <c r="Z1304" s="55">
        <f>IF(AQ1304="5",BJ1304,0)</f>
        <v>0</v>
      </c>
      <c r="AB1304" s="55">
        <f>IF(AQ1304="1",BH1304,0)</f>
        <v>0</v>
      </c>
      <c r="AC1304" s="55">
        <f>IF(AQ1304="1",BI1304,0)</f>
        <v>0</v>
      </c>
      <c r="AD1304" s="55">
        <f>IF(AQ1304="7",BH1304,0)</f>
        <v>0</v>
      </c>
      <c r="AE1304" s="55">
        <f>IF(AQ1304="7",BI1304,0)</f>
        <v>0</v>
      </c>
      <c r="AF1304" s="55">
        <f>IF(AQ1304="2",BH1304,0)</f>
        <v>0</v>
      </c>
      <c r="AG1304" s="55">
        <f>IF(AQ1304="2",BI1304,0)</f>
        <v>0</v>
      </c>
      <c r="AH1304" s="55">
        <f>IF(AQ1304="0",BJ1304,0)</f>
        <v>0</v>
      </c>
      <c r="AI1304" s="34" t="s">
        <v>116</v>
      </c>
      <c r="AJ1304" s="55">
        <f>IF(AN1304=0,I1304,0)</f>
        <v>0</v>
      </c>
      <c r="AK1304" s="55">
        <f>IF(AN1304=12,I1304,0)</f>
        <v>0</v>
      </c>
      <c r="AL1304" s="55">
        <f>IF(AN1304=21,I1304,0)</f>
        <v>0</v>
      </c>
      <c r="AN1304" s="55">
        <v>21</v>
      </c>
      <c r="AO1304" s="55">
        <f>H1304*0.074770241</f>
        <v>0</v>
      </c>
      <c r="AP1304" s="55">
        <f>H1304*(1-0.074770241)</f>
        <v>0</v>
      </c>
      <c r="AQ1304" s="58" t="s">
        <v>120</v>
      </c>
      <c r="AV1304" s="55">
        <f>AW1304+AX1304</f>
        <v>0</v>
      </c>
      <c r="AW1304" s="55">
        <f>G1304*AO1304</f>
        <v>0</v>
      </c>
      <c r="AX1304" s="55">
        <f>G1304*AP1304</f>
        <v>0</v>
      </c>
      <c r="AY1304" s="58" t="s">
        <v>2425</v>
      </c>
      <c r="AZ1304" s="58" t="s">
        <v>2344</v>
      </c>
      <c r="BA1304" s="34" t="s">
        <v>128</v>
      </c>
      <c r="BB1304" s="67">
        <v>100020</v>
      </c>
      <c r="BC1304" s="55">
        <f>AW1304+AX1304</f>
        <v>0</v>
      </c>
      <c r="BD1304" s="55">
        <f>H1304/(100-BE1304)*100</f>
        <v>0</v>
      </c>
      <c r="BE1304" s="55">
        <v>0</v>
      </c>
      <c r="BF1304" s="55">
        <f>K1304</f>
        <v>0.138906</v>
      </c>
      <c r="BH1304" s="55">
        <f>G1304*AO1304</f>
        <v>0</v>
      </c>
      <c r="BI1304" s="55">
        <f>G1304*AP1304</f>
        <v>0</v>
      </c>
      <c r="BJ1304" s="55">
        <f>G1304*H1304</f>
        <v>0</v>
      </c>
      <c r="BK1304" s="55"/>
      <c r="BL1304" s="55">
        <v>96</v>
      </c>
      <c r="BW1304" s="55">
        <v>21</v>
      </c>
    </row>
    <row r="1305" spans="1:12" ht="14.4">
      <c r="A1305" s="59"/>
      <c r="D1305" s="60" t="s">
        <v>2468</v>
      </c>
      <c r="E1305" s="60" t="s">
        <v>4</v>
      </c>
      <c r="G1305" s="68">
        <v>1.8</v>
      </c>
      <c r="L1305" s="69"/>
    </row>
    <row r="1306" spans="1:75" ht="13.5" customHeight="1">
      <c r="A1306" s="1" t="s">
        <v>2469</v>
      </c>
      <c r="B1306" s="2" t="s">
        <v>116</v>
      </c>
      <c r="C1306" s="2" t="s">
        <v>2470</v>
      </c>
      <c r="D1306" s="147" t="s">
        <v>2471</v>
      </c>
      <c r="E1306" s="148"/>
      <c r="F1306" s="2" t="s">
        <v>374</v>
      </c>
      <c r="G1306" s="55">
        <v>1</v>
      </c>
      <c r="H1306" s="56">
        <v>0</v>
      </c>
      <c r="I1306" s="55">
        <f>G1306*H1306</f>
        <v>0</v>
      </c>
      <c r="J1306" s="55">
        <v>0</v>
      </c>
      <c r="K1306" s="55">
        <f>G1306*J1306</f>
        <v>0</v>
      </c>
      <c r="L1306" s="57" t="s">
        <v>785</v>
      </c>
      <c r="Z1306" s="55">
        <f>IF(AQ1306="5",BJ1306,0)</f>
        <v>0</v>
      </c>
      <c r="AB1306" s="55">
        <f>IF(AQ1306="1",BH1306,0)</f>
        <v>0</v>
      </c>
      <c r="AC1306" s="55">
        <f>IF(AQ1306="1",BI1306,0)</f>
        <v>0</v>
      </c>
      <c r="AD1306" s="55">
        <f>IF(AQ1306="7",BH1306,0)</f>
        <v>0</v>
      </c>
      <c r="AE1306" s="55">
        <f>IF(AQ1306="7",BI1306,0)</f>
        <v>0</v>
      </c>
      <c r="AF1306" s="55">
        <f>IF(AQ1306="2",BH1306,0)</f>
        <v>0</v>
      </c>
      <c r="AG1306" s="55">
        <f>IF(AQ1306="2",BI1306,0)</f>
        <v>0</v>
      </c>
      <c r="AH1306" s="55">
        <f>IF(AQ1306="0",BJ1306,0)</f>
        <v>0</v>
      </c>
      <c r="AI1306" s="34" t="s">
        <v>116</v>
      </c>
      <c r="AJ1306" s="55">
        <f>IF(AN1306=0,I1306,0)</f>
        <v>0</v>
      </c>
      <c r="AK1306" s="55">
        <f>IF(AN1306=12,I1306,0)</f>
        <v>0</v>
      </c>
      <c r="AL1306" s="55">
        <f>IF(AN1306=21,I1306,0)</f>
        <v>0</v>
      </c>
      <c r="AN1306" s="55">
        <v>21</v>
      </c>
      <c r="AO1306" s="55">
        <f>H1306*0</f>
        <v>0</v>
      </c>
      <c r="AP1306" s="55">
        <f>H1306*(1-0)</f>
        <v>0</v>
      </c>
      <c r="AQ1306" s="58" t="s">
        <v>120</v>
      </c>
      <c r="AV1306" s="55">
        <f>AW1306+AX1306</f>
        <v>0</v>
      </c>
      <c r="AW1306" s="55">
        <f>G1306*AO1306</f>
        <v>0</v>
      </c>
      <c r="AX1306" s="55">
        <f>G1306*AP1306</f>
        <v>0</v>
      </c>
      <c r="AY1306" s="58" t="s">
        <v>2425</v>
      </c>
      <c r="AZ1306" s="58" t="s">
        <v>2344</v>
      </c>
      <c r="BA1306" s="34" t="s">
        <v>128</v>
      </c>
      <c r="BB1306" s="67">
        <v>100020</v>
      </c>
      <c r="BC1306" s="55">
        <f>AW1306+AX1306</f>
        <v>0</v>
      </c>
      <c r="BD1306" s="55">
        <f>H1306/(100-BE1306)*100</f>
        <v>0</v>
      </c>
      <c r="BE1306" s="55">
        <v>0</v>
      </c>
      <c r="BF1306" s="55">
        <f>K1306</f>
        <v>0</v>
      </c>
      <c r="BH1306" s="55">
        <f>G1306*AO1306</f>
        <v>0</v>
      </c>
      <c r="BI1306" s="55">
        <f>G1306*AP1306</f>
        <v>0</v>
      </c>
      <c r="BJ1306" s="55">
        <f>G1306*H1306</f>
        <v>0</v>
      </c>
      <c r="BK1306" s="55"/>
      <c r="BL1306" s="55">
        <v>96</v>
      </c>
      <c r="BW1306" s="55">
        <v>21</v>
      </c>
    </row>
    <row r="1307" spans="1:12" ht="14.4">
      <c r="A1307" s="59"/>
      <c r="D1307" s="60" t="s">
        <v>120</v>
      </c>
      <c r="E1307" s="60" t="s">
        <v>4</v>
      </c>
      <c r="G1307" s="68">
        <v>1</v>
      </c>
      <c r="L1307" s="69"/>
    </row>
    <row r="1308" spans="1:47" ht="14.4">
      <c r="A1308" s="50" t="s">
        <v>4</v>
      </c>
      <c r="B1308" s="51" t="s">
        <v>116</v>
      </c>
      <c r="C1308" s="51" t="s">
        <v>431</v>
      </c>
      <c r="D1308" s="222" t="s">
        <v>2472</v>
      </c>
      <c r="E1308" s="223"/>
      <c r="F1308" s="52" t="s">
        <v>79</v>
      </c>
      <c r="G1308" s="52" t="s">
        <v>79</v>
      </c>
      <c r="H1308" s="53" t="s">
        <v>79</v>
      </c>
      <c r="I1308" s="27">
        <f>SUM(I1309:I1322)</f>
        <v>0</v>
      </c>
      <c r="J1308" s="34" t="s">
        <v>4</v>
      </c>
      <c r="K1308" s="27">
        <f>SUM(K1309:K1322)</f>
        <v>0</v>
      </c>
      <c r="L1308" s="54" t="s">
        <v>4</v>
      </c>
      <c r="AI1308" s="34" t="s">
        <v>116</v>
      </c>
      <c r="AS1308" s="27">
        <f>SUM(AJ1309:AJ1322)</f>
        <v>0</v>
      </c>
      <c r="AT1308" s="27">
        <f>SUM(AK1309:AK1322)</f>
        <v>0</v>
      </c>
      <c r="AU1308" s="27">
        <f>SUM(AL1309:AL1322)</f>
        <v>0</v>
      </c>
    </row>
    <row r="1309" spans="1:75" ht="13.5" customHeight="1">
      <c r="A1309" s="1" t="s">
        <v>2473</v>
      </c>
      <c r="B1309" s="2" t="s">
        <v>116</v>
      </c>
      <c r="C1309" s="2" t="s">
        <v>2474</v>
      </c>
      <c r="D1309" s="147" t="s">
        <v>2475</v>
      </c>
      <c r="E1309" s="148"/>
      <c r="F1309" s="2" t="s">
        <v>792</v>
      </c>
      <c r="G1309" s="55">
        <v>10.64</v>
      </c>
      <c r="H1309" s="56">
        <v>0</v>
      </c>
      <c r="I1309" s="55">
        <f>G1309*H1309</f>
        <v>0</v>
      </c>
      <c r="J1309" s="55">
        <v>0</v>
      </c>
      <c r="K1309" s="55">
        <f>G1309*J1309</f>
        <v>0</v>
      </c>
      <c r="L1309" s="57" t="s">
        <v>124</v>
      </c>
      <c r="Z1309" s="55">
        <f>IF(AQ1309="5",BJ1309,0)</f>
        <v>0</v>
      </c>
      <c r="AB1309" s="55">
        <f>IF(AQ1309="1",BH1309,0)</f>
        <v>0</v>
      </c>
      <c r="AC1309" s="55">
        <f>IF(AQ1309="1",BI1309,0)</f>
        <v>0</v>
      </c>
      <c r="AD1309" s="55">
        <f>IF(AQ1309="7",BH1309,0)</f>
        <v>0</v>
      </c>
      <c r="AE1309" s="55">
        <f>IF(AQ1309="7",BI1309,0)</f>
        <v>0</v>
      </c>
      <c r="AF1309" s="55">
        <f>IF(AQ1309="2",BH1309,0)</f>
        <v>0</v>
      </c>
      <c r="AG1309" s="55">
        <f>IF(AQ1309="2",BI1309,0)</f>
        <v>0</v>
      </c>
      <c r="AH1309" s="55">
        <f>IF(AQ1309="0",BJ1309,0)</f>
        <v>0</v>
      </c>
      <c r="AI1309" s="34" t="s">
        <v>116</v>
      </c>
      <c r="AJ1309" s="55">
        <f>IF(AN1309=0,I1309,0)</f>
        <v>0</v>
      </c>
      <c r="AK1309" s="55">
        <f>IF(AN1309=12,I1309,0)</f>
        <v>0</v>
      </c>
      <c r="AL1309" s="55">
        <f>IF(AN1309=21,I1309,0)</f>
        <v>0</v>
      </c>
      <c r="AN1309" s="55">
        <v>21</v>
      </c>
      <c r="AO1309" s="55">
        <f>H1309*0</f>
        <v>0</v>
      </c>
      <c r="AP1309" s="55">
        <f>H1309*(1-0)</f>
        <v>0</v>
      </c>
      <c r="AQ1309" s="58" t="s">
        <v>120</v>
      </c>
      <c r="AV1309" s="55">
        <f>AW1309+AX1309</f>
        <v>0</v>
      </c>
      <c r="AW1309" s="55">
        <f>G1309*AO1309</f>
        <v>0</v>
      </c>
      <c r="AX1309" s="55">
        <f>G1309*AP1309</f>
        <v>0</v>
      </c>
      <c r="AY1309" s="58" t="s">
        <v>2476</v>
      </c>
      <c r="AZ1309" s="58" t="s">
        <v>2344</v>
      </c>
      <c r="BA1309" s="34" t="s">
        <v>128</v>
      </c>
      <c r="BC1309" s="55">
        <f>AW1309+AX1309</f>
        <v>0</v>
      </c>
      <c r="BD1309" s="55">
        <f>H1309/(100-BE1309)*100</f>
        <v>0</v>
      </c>
      <c r="BE1309" s="55">
        <v>0</v>
      </c>
      <c r="BF1309" s="55">
        <f>K1309</f>
        <v>0</v>
      </c>
      <c r="BH1309" s="55">
        <f>G1309*AO1309</f>
        <v>0</v>
      </c>
      <c r="BI1309" s="55">
        <f>G1309*AP1309</f>
        <v>0</v>
      </c>
      <c r="BJ1309" s="55">
        <f>G1309*H1309</f>
        <v>0</v>
      </c>
      <c r="BK1309" s="55"/>
      <c r="BL1309" s="55">
        <v>97</v>
      </c>
      <c r="BW1309" s="55">
        <v>21</v>
      </c>
    </row>
    <row r="1310" spans="1:12" ht="13.5" customHeight="1">
      <c r="A1310" s="59"/>
      <c r="D1310" s="218" t="s">
        <v>2477</v>
      </c>
      <c r="E1310" s="219"/>
      <c r="F1310" s="219"/>
      <c r="G1310" s="219"/>
      <c r="H1310" s="220"/>
      <c r="I1310" s="219"/>
      <c r="J1310" s="219"/>
      <c r="K1310" s="219"/>
      <c r="L1310" s="221"/>
    </row>
    <row r="1311" spans="1:12" ht="14.4">
      <c r="A1311" s="59"/>
      <c r="D1311" s="60" t="s">
        <v>2478</v>
      </c>
      <c r="E1311" s="60" t="s">
        <v>2479</v>
      </c>
      <c r="G1311" s="68">
        <v>10.64</v>
      </c>
      <c r="L1311" s="69"/>
    </row>
    <row r="1312" spans="1:75" ht="13.5" customHeight="1">
      <c r="A1312" s="1" t="s">
        <v>2480</v>
      </c>
      <c r="B1312" s="2" t="s">
        <v>116</v>
      </c>
      <c r="C1312" s="2" t="s">
        <v>2481</v>
      </c>
      <c r="D1312" s="147" t="s">
        <v>2482</v>
      </c>
      <c r="E1312" s="148"/>
      <c r="F1312" s="2" t="s">
        <v>993</v>
      </c>
      <c r="G1312" s="55">
        <v>1</v>
      </c>
      <c r="H1312" s="56">
        <v>0</v>
      </c>
      <c r="I1312" s="55">
        <f>G1312*H1312</f>
        <v>0</v>
      </c>
      <c r="J1312" s="55">
        <v>0</v>
      </c>
      <c r="K1312" s="55">
        <f>G1312*J1312</f>
        <v>0</v>
      </c>
      <c r="L1312" s="57" t="s">
        <v>124</v>
      </c>
      <c r="Z1312" s="55">
        <f>IF(AQ1312="5",BJ1312,0)</f>
        <v>0</v>
      </c>
      <c r="AB1312" s="55">
        <f>IF(AQ1312="1",BH1312,0)</f>
        <v>0</v>
      </c>
      <c r="AC1312" s="55">
        <f>IF(AQ1312="1",BI1312,0)</f>
        <v>0</v>
      </c>
      <c r="AD1312" s="55">
        <f>IF(AQ1312="7",BH1312,0)</f>
        <v>0</v>
      </c>
      <c r="AE1312" s="55">
        <f>IF(AQ1312="7",BI1312,0)</f>
        <v>0</v>
      </c>
      <c r="AF1312" s="55">
        <f>IF(AQ1312="2",BH1312,0)</f>
        <v>0</v>
      </c>
      <c r="AG1312" s="55">
        <f>IF(AQ1312="2",BI1312,0)</f>
        <v>0</v>
      </c>
      <c r="AH1312" s="55">
        <f>IF(AQ1312="0",BJ1312,0)</f>
        <v>0</v>
      </c>
      <c r="AI1312" s="34" t="s">
        <v>116</v>
      </c>
      <c r="AJ1312" s="55">
        <f>IF(AN1312=0,I1312,0)</f>
        <v>0</v>
      </c>
      <c r="AK1312" s="55">
        <f>IF(AN1312=12,I1312,0)</f>
        <v>0</v>
      </c>
      <c r="AL1312" s="55">
        <f>IF(AN1312=21,I1312,0)</f>
        <v>0</v>
      </c>
      <c r="AN1312" s="55">
        <v>21</v>
      </c>
      <c r="AO1312" s="55">
        <f>H1312*0</f>
        <v>0</v>
      </c>
      <c r="AP1312" s="55">
        <f>H1312*(1-0)</f>
        <v>0</v>
      </c>
      <c r="AQ1312" s="58" t="s">
        <v>120</v>
      </c>
      <c r="AV1312" s="55">
        <f>AW1312+AX1312</f>
        <v>0</v>
      </c>
      <c r="AW1312" s="55">
        <f>G1312*AO1312</f>
        <v>0</v>
      </c>
      <c r="AX1312" s="55">
        <f>G1312*AP1312</f>
        <v>0</v>
      </c>
      <c r="AY1312" s="58" t="s">
        <v>2476</v>
      </c>
      <c r="AZ1312" s="58" t="s">
        <v>2344</v>
      </c>
      <c r="BA1312" s="34" t="s">
        <v>128</v>
      </c>
      <c r="BC1312" s="55">
        <f>AW1312+AX1312</f>
        <v>0</v>
      </c>
      <c r="BD1312" s="55">
        <f>H1312/(100-BE1312)*100</f>
        <v>0</v>
      </c>
      <c r="BE1312" s="55">
        <v>0</v>
      </c>
      <c r="BF1312" s="55">
        <f>K1312</f>
        <v>0</v>
      </c>
      <c r="BH1312" s="55">
        <f>G1312*AO1312</f>
        <v>0</v>
      </c>
      <c r="BI1312" s="55">
        <f>G1312*AP1312</f>
        <v>0</v>
      </c>
      <c r="BJ1312" s="55">
        <f>G1312*H1312</f>
        <v>0</v>
      </c>
      <c r="BK1312" s="55"/>
      <c r="BL1312" s="55">
        <v>97</v>
      </c>
      <c r="BW1312" s="55">
        <v>21</v>
      </c>
    </row>
    <row r="1313" spans="1:12" ht="14.4">
      <c r="A1313" s="59"/>
      <c r="D1313" s="60" t="s">
        <v>120</v>
      </c>
      <c r="E1313" s="60" t="s">
        <v>4</v>
      </c>
      <c r="G1313" s="68">
        <v>1</v>
      </c>
      <c r="L1313" s="69"/>
    </row>
    <row r="1314" spans="1:75" ht="13.5" customHeight="1">
      <c r="A1314" s="1" t="s">
        <v>2359</v>
      </c>
      <c r="B1314" s="2" t="s">
        <v>116</v>
      </c>
      <c r="C1314" s="2" t="s">
        <v>2483</v>
      </c>
      <c r="D1314" s="147" t="s">
        <v>2484</v>
      </c>
      <c r="E1314" s="148"/>
      <c r="F1314" s="2" t="s">
        <v>993</v>
      </c>
      <c r="G1314" s="55">
        <v>1</v>
      </c>
      <c r="H1314" s="56">
        <v>0</v>
      </c>
      <c r="I1314" s="55">
        <f>G1314*H1314</f>
        <v>0</v>
      </c>
      <c r="J1314" s="55">
        <v>0</v>
      </c>
      <c r="K1314" s="55">
        <f>G1314*J1314</f>
        <v>0</v>
      </c>
      <c r="L1314" s="57" t="s">
        <v>124</v>
      </c>
      <c r="Z1314" s="55">
        <f>IF(AQ1314="5",BJ1314,0)</f>
        <v>0</v>
      </c>
      <c r="AB1314" s="55">
        <f>IF(AQ1314="1",BH1314,0)</f>
        <v>0</v>
      </c>
      <c r="AC1314" s="55">
        <f>IF(AQ1314="1",BI1314,0)</f>
        <v>0</v>
      </c>
      <c r="AD1314" s="55">
        <f>IF(AQ1314="7",BH1314,0)</f>
        <v>0</v>
      </c>
      <c r="AE1314" s="55">
        <f>IF(AQ1314="7",BI1314,0)</f>
        <v>0</v>
      </c>
      <c r="AF1314" s="55">
        <f>IF(AQ1314="2",BH1314,0)</f>
        <v>0</v>
      </c>
      <c r="AG1314" s="55">
        <f>IF(AQ1314="2",BI1314,0)</f>
        <v>0</v>
      </c>
      <c r="AH1314" s="55">
        <f>IF(AQ1314="0",BJ1314,0)</f>
        <v>0</v>
      </c>
      <c r="AI1314" s="34" t="s">
        <v>116</v>
      </c>
      <c r="AJ1314" s="55">
        <f>IF(AN1314=0,I1314,0)</f>
        <v>0</v>
      </c>
      <c r="AK1314" s="55">
        <f>IF(AN1314=12,I1314,0)</f>
        <v>0</v>
      </c>
      <c r="AL1314" s="55">
        <f>IF(AN1314=21,I1314,0)</f>
        <v>0</v>
      </c>
      <c r="AN1314" s="55">
        <v>21</v>
      </c>
      <c r="AO1314" s="55">
        <f>H1314*0</f>
        <v>0</v>
      </c>
      <c r="AP1314" s="55">
        <f>H1314*(1-0)</f>
        <v>0</v>
      </c>
      <c r="AQ1314" s="58" t="s">
        <v>120</v>
      </c>
      <c r="AV1314" s="55">
        <f>AW1314+AX1314</f>
        <v>0</v>
      </c>
      <c r="AW1314" s="55">
        <f>G1314*AO1314</f>
        <v>0</v>
      </c>
      <c r="AX1314" s="55">
        <f>G1314*AP1314</f>
        <v>0</v>
      </c>
      <c r="AY1314" s="58" t="s">
        <v>2476</v>
      </c>
      <c r="AZ1314" s="58" t="s">
        <v>2344</v>
      </c>
      <c r="BA1314" s="34" t="s">
        <v>128</v>
      </c>
      <c r="BC1314" s="55">
        <f>AW1314+AX1314</f>
        <v>0</v>
      </c>
      <c r="BD1314" s="55">
        <f>H1314/(100-BE1314)*100</f>
        <v>0</v>
      </c>
      <c r="BE1314" s="55">
        <v>0</v>
      </c>
      <c r="BF1314" s="55">
        <f>K1314</f>
        <v>0</v>
      </c>
      <c r="BH1314" s="55">
        <f>G1314*AO1314</f>
        <v>0</v>
      </c>
      <c r="BI1314" s="55">
        <f>G1314*AP1314</f>
        <v>0</v>
      </c>
      <c r="BJ1314" s="55">
        <f>G1314*H1314</f>
        <v>0</v>
      </c>
      <c r="BK1314" s="55"/>
      <c r="BL1314" s="55">
        <v>97</v>
      </c>
      <c r="BW1314" s="55">
        <v>21</v>
      </c>
    </row>
    <row r="1315" spans="1:12" ht="14.4">
      <c r="A1315" s="59"/>
      <c r="D1315" s="60" t="s">
        <v>120</v>
      </c>
      <c r="E1315" s="60" t="s">
        <v>4</v>
      </c>
      <c r="G1315" s="68">
        <v>1</v>
      </c>
      <c r="L1315" s="69"/>
    </row>
    <row r="1316" spans="1:75" ht="13.5" customHeight="1">
      <c r="A1316" s="1" t="s">
        <v>2485</v>
      </c>
      <c r="B1316" s="2" t="s">
        <v>116</v>
      </c>
      <c r="C1316" s="2" t="s">
        <v>2486</v>
      </c>
      <c r="D1316" s="147" t="s">
        <v>2487</v>
      </c>
      <c r="E1316" s="148"/>
      <c r="F1316" s="2" t="s">
        <v>939</v>
      </c>
      <c r="G1316" s="55">
        <v>64.54</v>
      </c>
      <c r="H1316" s="56">
        <v>0</v>
      </c>
      <c r="I1316" s="55">
        <f>G1316*H1316</f>
        <v>0</v>
      </c>
      <c r="J1316" s="55">
        <v>0</v>
      </c>
      <c r="K1316" s="55">
        <f>G1316*J1316</f>
        <v>0</v>
      </c>
      <c r="L1316" s="57" t="s">
        <v>785</v>
      </c>
      <c r="Z1316" s="55">
        <f>IF(AQ1316="5",BJ1316,0)</f>
        <v>0</v>
      </c>
      <c r="AB1316" s="55">
        <f>IF(AQ1316="1",BH1316,0)</f>
        <v>0</v>
      </c>
      <c r="AC1316" s="55">
        <f>IF(AQ1316="1",BI1316,0)</f>
        <v>0</v>
      </c>
      <c r="AD1316" s="55">
        <f>IF(AQ1316="7",BH1316,0)</f>
        <v>0</v>
      </c>
      <c r="AE1316" s="55">
        <f>IF(AQ1316="7",BI1316,0)</f>
        <v>0</v>
      </c>
      <c r="AF1316" s="55">
        <f>IF(AQ1316="2",BH1316,0)</f>
        <v>0</v>
      </c>
      <c r="AG1316" s="55">
        <f>IF(AQ1316="2",BI1316,0)</f>
        <v>0</v>
      </c>
      <c r="AH1316" s="55">
        <f>IF(AQ1316="0",BJ1316,0)</f>
        <v>0</v>
      </c>
      <c r="AI1316" s="34" t="s">
        <v>116</v>
      </c>
      <c r="AJ1316" s="55">
        <f>IF(AN1316=0,I1316,0)</f>
        <v>0</v>
      </c>
      <c r="AK1316" s="55">
        <f>IF(AN1316=12,I1316,0)</f>
        <v>0</v>
      </c>
      <c r="AL1316" s="55">
        <f>IF(AN1316=21,I1316,0)</f>
        <v>0</v>
      </c>
      <c r="AN1316" s="55">
        <v>21</v>
      </c>
      <c r="AO1316" s="55">
        <f>H1316*0</f>
        <v>0</v>
      </c>
      <c r="AP1316" s="55">
        <f>H1316*(1-0)</f>
        <v>0</v>
      </c>
      <c r="AQ1316" s="58" t="s">
        <v>120</v>
      </c>
      <c r="AV1316" s="55">
        <f>AW1316+AX1316</f>
        <v>0</v>
      </c>
      <c r="AW1316" s="55">
        <f>G1316*AO1316</f>
        <v>0</v>
      </c>
      <c r="AX1316" s="55">
        <f>G1316*AP1316</f>
        <v>0</v>
      </c>
      <c r="AY1316" s="58" t="s">
        <v>2476</v>
      </c>
      <c r="AZ1316" s="58" t="s">
        <v>2344</v>
      </c>
      <c r="BA1316" s="34" t="s">
        <v>128</v>
      </c>
      <c r="BC1316" s="55">
        <f>AW1316+AX1316</f>
        <v>0</v>
      </c>
      <c r="BD1316" s="55">
        <f>H1316/(100-BE1316)*100</f>
        <v>0</v>
      </c>
      <c r="BE1316" s="55">
        <v>0</v>
      </c>
      <c r="BF1316" s="55">
        <f>K1316</f>
        <v>0</v>
      </c>
      <c r="BH1316" s="55">
        <f>G1316*AO1316</f>
        <v>0</v>
      </c>
      <c r="BI1316" s="55">
        <f>G1316*AP1316</f>
        <v>0</v>
      </c>
      <c r="BJ1316" s="55">
        <f>G1316*H1316</f>
        <v>0</v>
      </c>
      <c r="BK1316" s="55"/>
      <c r="BL1316" s="55">
        <v>97</v>
      </c>
      <c r="BW1316" s="55">
        <v>21</v>
      </c>
    </row>
    <row r="1317" spans="1:12" ht="14.4">
      <c r="A1317" s="59"/>
      <c r="D1317" s="60" t="s">
        <v>2488</v>
      </c>
      <c r="E1317" s="60" t="s">
        <v>2489</v>
      </c>
      <c r="G1317" s="68">
        <v>64.54</v>
      </c>
      <c r="L1317" s="69"/>
    </row>
    <row r="1318" spans="1:75" ht="13.5" customHeight="1">
      <c r="A1318" s="1" t="s">
        <v>2490</v>
      </c>
      <c r="B1318" s="2" t="s">
        <v>116</v>
      </c>
      <c r="C1318" s="2" t="s">
        <v>2491</v>
      </c>
      <c r="D1318" s="147" t="s">
        <v>2492</v>
      </c>
      <c r="E1318" s="148"/>
      <c r="F1318" s="2" t="s">
        <v>939</v>
      </c>
      <c r="G1318" s="55">
        <v>64.54</v>
      </c>
      <c r="H1318" s="56">
        <v>0</v>
      </c>
      <c r="I1318" s="55">
        <f>G1318*H1318</f>
        <v>0</v>
      </c>
      <c r="J1318" s="55">
        <v>0</v>
      </c>
      <c r="K1318" s="55">
        <f>G1318*J1318</f>
        <v>0</v>
      </c>
      <c r="L1318" s="57" t="s">
        <v>785</v>
      </c>
      <c r="Z1318" s="55">
        <f>IF(AQ1318="5",BJ1318,0)</f>
        <v>0</v>
      </c>
      <c r="AB1318" s="55">
        <f>IF(AQ1318="1",BH1318,0)</f>
        <v>0</v>
      </c>
      <c r="AC1318" s="55">
        <f>IF(AQ1318="1",BI1318,0)</f>
        <v>0</v>
      </c>
      <c r="AD1318" s="55">
        <f>IF(AQ1318="7",BH1318,0)</f>
        <v>0</v>
      </c>
      <c r="AE1318" s="55">
        <f>IF(AQ1318="7",BI1318,0)</f>
        <v>0</v>
      </c>
      <c r="AF1318" s="55">
        <f>IF(AQ1318="2",BH1318,0)</f>
        <v>0</v>
      </c>
      <c r="AG1318" s="55">
        <f>IF(AQ1318="2",BI1318,0)</f>
        <v>0</v>
      </c>
      <c r="AH1318" s="55">
        <f>IF(AQ1318="0",BJ1318,0)</f>
        <v>0</v>
      </c>
      <c r="AI1318" s="34" t="s">
        <v>116</v>
      </c>
      <c r="AJ1318" s="55">
        <f>IF(AN1318=0,I1318,0)</f>
        <v>0</v>
      </c>
      <c r="AK1318" s="55">
        <f>IF(AN1318=12,I1318,0)</f>
        <v>0</v>
      </c>
      <c r="AL1318" s="55">
        <f>IF(AN1318=21,I1318,0)</f>
        <v>0</v>
      </c>
      <c r="AN1318" s="55">
        <v>21</v>
      </c>
      <c r="AO1318" s="55">
        <f>H1318*0</f>
        <v>0</v>
      </c>
      <c r="AP1318" s="55">
        <f>H1318*(1-0)</f>
        <v>0</v>
      </c>
      <c r="AQ1318" s="58" t="s">
        <v>120</v>
      </c>
      <c r="AV1318" s="55">
        <f>AW1318+AX1318</f>
        <v>0</v>
      </c>
      <c r="AW1318" s="55">
        <f>G1318*AO1318</f>
        <v>0</v>
      </c>
      <c r="AX1318" s="55">
        <f>G1318*AP1318</f>
        <v>0</v>
      </c>
      <c r="AY1318" s="58" t="s">
        <v>2476</v>
      </c>
      <c r="AZ1318" s="58" t="s">
        <v>2344</v>
      </c>
      <c r="BA1318" s="34" t="s">
        <v>128</v>
      </c>
      <c r="BC1318" s="55">
        <f>AW1318+AX1318</f>
        <v>0</v>
      </c>
      <c r="BD1318" s="55">
        <f>H1318/(100-BE1318)*100</f>
        <v>0</v>
      </c>
      <c r="BE1318" s="55">
        <v>0</v>
      </c>
      <c r="BF1318" s="55">
        <f>K1318</f>
        <v>0</v>
      </c>
      <c r="BH1318" s="55">
        <f>G1318*AO1318</f>
        <v>0</v>
      </c>
      <c r="BI1318" s="55">
        <f>G1318*AP1318</f>
        <v>0</v>
      </c>
      <c r="BJ1318" s="55">
        <f>G1318*H1318</f>
        <v>0</v>
      </c>
      <c r="BK1318" s="55"/>
      <c r="BL1318" s="55">
        <v>97</v>
      </c>
      <c r="BW1318" s="55">
        <v>21</v>
      </c>
    </row>
    <row r="1319" spans="1:12" ht="14.4">
      <c r="A1319" s="59"/>
      <c r="D1319" s="60" t="s">
        <v>2488</v>
      </c>
      <c r="E1319" s="60" t="s">
        <v>2489</v>
      </c>
      <c r="G1319" s="68">
        <v>64.54</v>
      </c>
      <c r="L1319" s="69"/>
    </row>
    <row r="1320" spans="1:75" ht="13.5" customHeight="1">
      <c r="A1320" s="1" t="s">
        <v>2493</v>
      </c>
      <c r="B1320" s="2" t="s">
        <v>116</v>
      </c>
      <c r="C1320" s="2" t="s">
        <v>2494</v>
      </c>
      <c r="D1320" s="147" t="s">
        <v>2495</v>
      </c>
      <c r="E1320" s="148"/>
      <c r="F1320" s="2" t="s">
        <v>939</v>
      </c>
      <c r="G1320" s="55">
        <v>64.54</v>
      </c>
      <c r="H1320" s="56">
        <v>0</v>
      </c>
      <c r="I1320" s="55">
        <f>G1320*H1320</f>
        <v>0</v>
      </c>
      <c r="J1320" s="55">
        <v>0</v>
      </c>
      <c r="K1320" s="55">
        <f>G1320*J1320</f>
        <v>0</v>
      </c>
      <c r="L1320" s="57" t="s">
        <v>785</v>
      </c>
      <c r="Z1320" s="55">
        <f>IF(AQ1320="5",BJ1320,0)</f>
        <v>0</v>
      </c>
      <c r="AB1320" s="55">
        <f>IF(AQ1320="1",BH1320,0)</f>
        <v>0</v>
      </c>
      <c r="AC1320" s="55">
        <f>IF(AQ1320="1",BI1320,0)</f>
        <v>0</v>
      </c>
      <c r="AD1320" s="55">
        <f>IF(AQ1320="7",BH1320,0)</f>
        <v>0</v>
      </c>
      <c r="AE1320" s="55">
        <f>IF(AQ1320="7",BI1320,0)</f>
        <v>0</v>
      </c>
      <c r="AF1320" s="55">
        <f>IF(AQ1320="2",BH1320,0)</f>
        <v>0</v>
      </c>
      <c r="AG1320" s="55">
        <f>IF(AQ1320="2",BI1320,0)</f>
        <v>0</v>
      </c>
      <c r="AH1320" s="55">
        <f>IF(AQ1320="0",BJ1320,0)</f>
        <v>0</v>
      </c>
      <c r="AI1320" s="34" t="s">
        <v>116</v>
      </c>
      <c r="AJ1320" s="55">
        <f>IF(AN1320=0,I1320,0)</f>
        <v>0</v>
      </c>
      <c r="AK1320" s="55">
        <f>IF(AN1320=12,I1320,0)</f>
        <v>0</v>
      </c>
      <c r="AL1320" s="55">
        <f>IF(AN1320=21,I1320,0)</f>
        <v>0</v>
      </c>
      <c r="AN1320" s="55">
        <v>21</v>
      </c>
      <c r="AO1320" s="55">
        <f>H1320*0</f>
        <v>0</v>
      </c>
      <c r="AP1320" s="55">
        <f>H1320*(1-0)</f>
        <v>0</v>
      </c>
      <c r="AQ1320" s="58" t="s">
        <v>120</v>
      </c>
      <c r="AV1320" s="55">
        <f>AW1320+AX1320</f>
        <v>0</v>
      </c>
      <c r="AW1320" s="55">
        <f>G1320*AO1320</f>
        <v>0</v>
      </c>
      <c r="AX1320" s="55">
        <f>G1320*AP1320</f>
        <v>0</v>
      </c>
      <c r="AY1320" s="58" t="s">
        <v>2476</v>
      </c>
      <c r="AZ1320" s="58" t="s">
        <v>2344</v>
      </c>
      <c r="BA1320" s="34" t="s">
        <v>128</v>
      </c>
      <c r="BC1320" s="55">
        <f>AW1320+AX1320</f>
        <v>0</v>
      </c>
      <c r="BD1320" s="55">
        <f>H1320/(100-BE1320)*100</f>
        <v>0</v>
      </c>
      <c r="BE1320" s="55">
        <v>0</v>
      </c>
      <c r="BF1320" s="55">
        <f>K1320</f>
        <v>0</v>
      </c>
      <c r="BH1320" s="55">
        <f>G1320*AO1320</f>
        <v>0</v>
      </c>
      <c r="BI1320" s="55">
        <f>G1320*AP1320</f>
        <v>0</v>
      </c>
      <c r="BJ1320" s="55">
        <f>G1320*H1320</f>
        <v>0</v>
      </c>
      <c r="BK1320" s="55"/>
      <c r="BL1320" s="55">
        <v>97</v>
      </c>
      <c r="BW1320" s="55">
        <v>21</v>
      </c>
    </row>
    <row r="1321" spans="1:12" ht="14.4">
      <c r="A1321" s="59"/>
      <c r="D1321" s="60" t="s">
        <v>2496</v>
      </c>
      <c r="E1321" s="60" t="s">
        <v>4</v>
      </c>
      <c r="G1321" s="68">
        <v>64.54</v>
      </c>
      <c r="L1321" s="69"/>
    </row>
    <row r="1322" spans="1:75" ht="13.5" customHeight="1">
      <c r="A1322" s="1" t="s">
        <v>2497</v>
      </c>
      <c r="B1322" s="2" t="s">
        <v>116</v>
      </c>
      <c r="C1322" s="2" t="s">
        <v>2378</v>
      </c>
      <c r="D1322" s="147" t="s">
        <v>2498</v>
      </c>
      <c r="E1322" s="148"/>
      <c r="F1322" s="2" t="s">
        <v>1791</v>
      </c>
      <c r="G1322" s="55">
        <v>40</v>
      </c>
      <c r="H1322" s="56">
        <v>0</v>
      </c>
      <c r="I1322" s="55">
        <f>G1322*H1322</f>
        <v>0</v>
      </c>
      <c r="J1322" s="55">
        <v>0</v>
      </c>
      <c r="K1322" s="55">
        <f>G1322*J1322</f>
        <v>0</v>
      </c>
      <c r="L1322" s="57" t="s">
        <v>785</v>
      </c>
      <c r="Z1322" s="55">
        <f>IF(AQ1322="5",BJ1322,0)</f>
        <v>0</v>
      </c>
      <c r="AB1322" s="55">
        <f>IF(AQ1322="1",BH1322,0)</f>
        <v>0</v>
      </c>
      <c r="AC1322" s="55">
        <f>IF(AQ1322="1",BI1322,0)</f>
        <v>0</v>
      </c>
      <c r="AD1322" s="55">
        <f>IF(AQ1322="7",BH1322,0)</f>
        <v>0</v>
      </c>
      <c r="AE1322" s="55">
        <f>IF(AQ1322="7",BI1322,0)</f>
        <v>0</v>
      </c>
      <c r="AF1322" s="55">
        <f>IF(AQ1322="2",BH1322,0)</f>
        <v>0</v>
      </c>
      <c r="AG1322" s="55">
        <f>IF(AQ1322="2",BI1322,0)</f>
        <v>0</v>
      </c>
      <c r="AH1322" s="55">
        <f>IF(AQ1322="0",BJ1322,0)</f>
        <v>0</v>
      </c>
      <c r="AI1322" s="34" t="s">
        <v>116</v>
      </c>
      <c r="AJ1322" s="55">
        <f>IF(AN1322=0,I1322,0)</f>
        <v>0</v>
      </c>
      <c r="AK1322" s="55">
        <f>IF(AN1322=12,I1322,0)</f>
        <v>0</v>
      </c>
      <c r="AL1322" s="55">
        <f>IF(AN1322=21,I1322,0)</f>
        <v>0</v>
      </c>
      <c r="AN1322" s="55">
        <v>21</v>
      </c>
      <c r="AO1322" s="55">
        <f>H1322*0</f>
        <v>0</v>
      </c>
      <c r="AP1322" s="55">
        <f>H1322*(1-0)</f>
        <v>0</v>
      </c>
      <c r="AQ1322" s="58" t="s">
        <v>120</v>
      </c>
      <c r="AV1322" s="55">
        <f>AW1322+AX1322</f>
        <v>0</v>
      </c>
      <c r="AW1322" s="55">
        <f>G1322*AO1322</f>
        <v>0</v>
      </c>
      <c r="AX1322" s="55">
        <f>G1322*AP1322</f>
        <v>0</v>
      </c>
      <c r="AY1322" s="58" t="s">
        <v>2476</v>
      </c>
      <c r="AZ1322" s="58" t="s">
        <v>2344</v>
      </c>
      <c r="BA1322" s="34" t="s">
        <v>128</v>
      </c>
      <c r="BB1322" s="67">
        <v>100016</v>
      </c>
      <c r="BC1322" s="55">
        <f>AW1322+AX1322</f>
        <v>0</v>
      </c>
      <c r="BD1322" s="55">
        <f>H1322/(100-BE1322)*100</f>
        <v>0</v>
      </c>
      <c r="BE1322" s="55">
        <v>0</v>
      </c>
      <c r="BF1322" s="55">
        <f>K1322</f>
        <v>0</v>
      </c>
      <c r="BH1322" s="55">
        <f>G1322*AO1322</f>
        <v>0</v>
      </c>
      <c r="BI1322" s="55">
        <f>G1322*AP1322</f>
        <v>0</v>
      </c>
      <c r="BJ1322" s="55">
        <f>G1322*H1322</f>
        <v>0</v>
      </c>
      <c r="BK1322" s="55"/>
      <c r="BL1322" s="55">
        <v>97</v>
      </c>
      <c r="BW1322" s="55">
        <v>21</v>
      </c>
    </row>
    <row r="1323" spans="1:12" ht="14.4">
      <c r="A1323" s="59"/>
      <c r="D1323" s="60" t="s">
        <v>244</v>
      </c>
      <c r="E1323" s="60" t="s">
        <v>4</v>
      </c>
      <c r="G1323" s="68">
        <v>40</v>
      </c>
      <c r="L1323" s="69"/>
    </row>
    <row r="1324" spans="1:47" ht="14.4">
      <c r="A1324" s="50" t="s">
        <v>4</v>
      </c>
      <c r="B1324" s="51" t="s">
        <v>116</v>
      </c>
      <c r="C1324" s="51" t="s">
        <v>2499</v>
      </c>
      <c r="D1324" s="222" t="s">
        <v>2500</v>
      </c>
      <c r="E1324" s="223"/>
      <c r="F1324" s="52" t="s">
        <v>79</v>
      </c>
      <c r="G1324" s="52" t="s">
        <v>79</v>
      </c>
      <c r="H1324" s="53" t="s">
        <v>79</v>
      </c>
      <c r="I1324" s="27">
        <f>SUM(I1325:I1325)</f>
        <v>0</v>
      </c>
      <c r="J1324" s="34" t="s">
        <v>4</v>
      </c>
      <c r="K1324" s="27">
        <f>SUM(K1325:K1325)</f>
        <v>0</v>
      </c>
      <c r="L1324" s="54" t="s">
        <v>4</v>
      </c>
      <c r="AI1324" s="34" t="s">
        <v>116</v>
      </c>
      <c r="AS1324" s="27">
        <f>SUM(AJ1325:AJ1325)</f>
        <v>0</v>
      </c>
      <c r="AT1324" s="27">
        <f>SUM(AK1325:AK1325)</f>
        <v>0</v>
      </c>
      <c r="AU1324" s="27">
        <f>SUM(AL1325:AL1325)</f>
        <v>0</v>
      </c>
    </row>
    <row r="1325" spans="1:75" ht="13.5" customHeight="1">
      <c r="A1325" s="1" t="s">
        <v>2501</v>
      </c>
      <c r="B1325" s="2" t="s">
        <v>116</v>
      </c>
      <c r="C1325" s="2" t="s">
        <v>2502</v>
      </c>
      <c r="D1325" s="147" t="s">
        <v>2503</v>
      </c>
      <c r="E1325" s="148"/>
      <c r="F1325" s="2" t="s">
        <v>939</v>
      </c>
      <c r="G1325" s="55">
        <v>92.3</v>
      </c>
      <c r="H1325" s="56">
        <v>0</v>
      </c>
      <c r="I1325" s="55">
        <f>G1325*H1325</f>
        <v>0</v>
      </c>
      <c r="J1325" s="55">
        <v>0</v>
      </c>
      <c r="K1325" s="55">
        <f>G1325*J1325</f>
        <v>0</v>
      </c>
      <c r="L1325" s="57" t="s">
        <v>785</v>
      </c>
      <c r="Z1325" s="55">
        <f>IF(AQ1325="5",BJ1325,0)</f>
        <v>0</v>
      </c>
      <c r="AB1325" s="55">
        <f>IF(AQ1325="1",BH1325,0)</f>
        <v>0</v>
      </c>
      <c r="AC1325" s="55">
        <f>IF(AQ1325="1",BI1325,0)</f>
        <v>0</v>
      </c>
      <c r="AD1325" s="55">
        <f>IF(AQ1325="7",BH1325,0)</f>
        <v>0</v>
      </c>
      <c r="AE1325" s="55">
        <f>IF(AQ1325="7",BI1325,0)</f>
        <v>0</v>
      </c>
      <c r="AF1325" s="55">
        <f>IF(AQ1325="2",BH1325,0)</f>
        <v>0</v>
      </c>
      <c r="AG1325" s="55">
        <f>IF(AQ1325="2",BI1325,0)</f>
        <v>0</v>
      </c>
      <c r="AH1325" s="55">
        <f>IF(AQ1325="0",BJ1325,0)</f>
        <v>0</v>
      </c>
      <c r="AI1325" s="34" t="s">
        <v>116</v>
      </c>
      <c r="AJ1325" s="55">
        <f>IF(AN1325=0,I1325,0)</f>
        <v>0</v>
      </c>
      <c r="AK1325" s="55">
        <f>IF(AN1325=12,I1325,0)</f>
        <v>0</v>
      </c>
      <c r="AL1325" s="55">
        <f>IF(AN1325=21,I1325,0)</f>
        <v>0</v>
      </c>
      <c r="AN1325" s="55">
        <v>21</v>
      </c>
      <c r="AO1325" s="55">
        <f>H1325*0</f>
        <v>0</v>
      </c>
      <c r="AP1325" s="55">
        <f>H1325*(1-0)</f>
        <v>0</v>
      </c>
      <c r="AQ1325" s="58" t="s">
        <v>139</v>
      </c>
      <c r="AV1325" s="55">
        <f>AW1325+AX1325</f>
        <v>0</v>
      </c>
      <c r="AW1325" s="55">
        <f>G1325*AO1325</f>
        <v>0</v>
      </c>
      <c r="AX1325" s="55">
        <f>G1325*AP1325</f>
        <v>0</v>
      </c>
      <c r="AY1325" s="58" t="s">
        <v>2504</v>
      </c>
      <c r="AZ1325" s="58" t="s">
        <v>2344</v>
      </c>
      <c r="BA1325" s="34" t="s">
        <v>128</v>
      </c>
      <c r="BC1325" s="55">
        <f>AW1325+AX1325</f>
        <v>0</v>
      </c>
      <c r="BD1325" s="55">
        <f>H1325/(100-BE1325)*100</f>
        <v>0</v>
      </c>
      <c r="BE1325" s="55">
        <v>0</v>
      </c>
      <c r="BF1325" s="55">
        <f>K1325</f>
        <v>0</v>
      </c>
      <c r="BH1325" s="55">
        <f>G1325*AO1325</f>
        <v>0</v>
      </c>
      <c r="BI1325" s="55">
        <f>G1325*AP1325</f>
        <v>0</v>
      </c>
      <c r="BJ1325" s="55">
        <f>G1325*H1325</f>
        <v>0</v>
      </c>
      <c r="BK1325" s="55"/>
      <c r="BL1325" s="55"/>
      <c r="BW1325" s="55">
        <v>21</v>
      </c>
    </row>
    <row r="1326" spans="1:12" ht="14.4">
      <c r="A1326" s="59"/>
      <c r="D1326" s="60" t="s">
        <v>2505</v>
      </c>
      <c r="E1326" s="60" t="s">
        <v>4</v>
      </c>
      <c r="G1326" s="68">
        <v>92.3</v>
      </c>
      <c r="L1326" s="69"/>
    </row>
    <row r="1327" spans="1:47" ht="14.4">
      <c r="A1327" s="50" t="s">
        <v>4</v>
      </c>
      <c r="B1327" s="51" t="s">
        <v>116</v>
      </c>
      <c r="C1327" s="51" t="s">
        <v>2506</v>
      </c>
      <c r="D1327" s="222" t="s">
        <v>2507</v>
      </c>
      <c r="E1327" s="223"/>
      <c r="F1327" s="52" t="s">
        <v>79</v>
      </c>
      <c r="G1327" s="52" t="s">
        <v>79</v>
      </c>
      <c r="H1327" s="53" t="s">
        <v>79</v>
      </c>
      <c r="I1327" s="27">
        <f>SUM(I1328:I1329)</f>
        <v>0</v>
      </c>
      <c r="J1327" s="34" t="s">
        <v>4</v>
      </c>
      <c r="K1327" s="27">
        <f>SUM(K1328:K1329)</f>
        <v>0</v>
      </c>
      <c r="L1327" s="54" t="s">
        <v>4</v>
      </c>
      <c r="AI1327" s="34" t="s">
        <v>116</v>
      </c>
      <c r="AS1327" s="27">
        <f>SUM(AJ1328:AJ1329)</f>
        <v>0</v>
      </c>
      <c r="AT1327" s="27">
        <f>SUM(AK1328:AK1329)</f>
        <v>0</v>
      </c>
      <c r="AU1327" s="27">
        <f>SUM(AL1328:AL1329)</f>
        <v>0</v>
      </c>
    </row>
    <row r="1328" spans="1:75" ht="13.5" customHeight="1">
      <c r="A1328" s="1" t="s">
        <v>2508</v>
      </c>
      <c r="B1328" s="2" t="s">
        <v>116</v>
      </c>
      <c r="C1328" s="2" t="s">
        <v>2509</v>
      </c>
      <c r="D1328" s="147" t="s">
        <v>2510</v>
      </c>
      <c r="E1328" s="148"/>
      <c r="F1328" s="2" t="s">
        <v>250</v>
      </c>
      <c r="G1328" s="55">
        <v>1</v>
      </c>
      <c r="H1328" s="56">
        <v>0</v>
      </c>
      <c r="I1328" s="55">
        <f>G1328*H1328</f>
        <v>0</v>
      </c>
      <c r="J1328" s="55">
        <v>0</v>
      </c>
      <c r="K1328" s="55">
        <f>G1328*J1328</f>
        <v>0</v>
      </c>
      <c r="L1328" s="57" t="s">
        <v>124</v>
      </c>
      <c r="Z1328" s="55">
        <f>IF(AQ1328="5",BJ1328,0)</f>
        <v>0</v>
      </c>
      <c r="AB1328" s="55">
        <f>IF(AQ1328="1",BH1328,0)</f>
        <v>0</v>
      </c>
      <c r="AC1328" s="55">
        <f>IF(AQ1328="1",BI1328,0)</f>
        <v>0</v>
      </c>
      <c r="AD1328" s="55">
        <f>IF(AQ1328="7",BH1328,0)</f>
        <v>0</v>
      </c>
      <c r="AE1328" s="55">
        <f>IF(AQ1328="7",BI1328,0)</f>
        <v>0</v>
      </c>
      <c r="AF1328" s="55">
        <f>IF(AQ1328="2",BH1328,0)</f>
        <v>0</v>
      </c>
      <c r="AG1328" s="55">
        <f>IF(AQ1328="2",BI1328,0)</f>
        <v>0</v>
      </c>
      <c r="AH1328" s="55">
        <f>IF(AQ1328="0",BJ1328,0)</f>
        <v>0</v>
      </c>
      <c r="AI1328" s="34" t="s">
        <v>116</v>
      </c>
      <c r="AJ1328" s="55">
        <f>IF(AN1328=0,I1328,0)</f>
        <v>0</v>
      </c>
      <c r="AK1328" s="55">
        <f>IF(AN1328=12,I1328,0)</f>
        <v>0</v>
      </c>
      <c r="AL1328" s="55">
        <f>IF(AN1328=21,I1328,0)</f>
        <v>0</v>
      </c>
      <c r="AN1328" s="55">
        <v>21</v>
      </c>
      <c r="AO1328" s="55">
        <f>H1328*0</f>
        <v>0</v>
      </c>
      <c r="AP1328" s="55">
        <f>H1328*(1-0)</f>
        <v>0</v>
      </c>
      <c r="AQ1328" s="58" t="s">
        <v>130</v>
      </c>
      <c r="AV1328" s="55">
        <f>AW1328+AX1328</f>
        <v>0</v>
      </c>
      <c r="AW1328" s="55">
        <f>G1328*AO1328</f>
        <v>0</v>
      </c>
      <c r="AX1328" s="55">
        <f>G1328*AP1328</f>
        <v>0</v>
      </c>
      <c r="AY1328" s="58" t="s">
        <v>2511</v>
      </c>
      <c r="AZ1328" s="58" t="s">
        <v>2344</v>
      </c>
      <c r="BA1328" s="34" t="s">
        <v>128</v>
      </c>
      <c r="BC1328" s="55">
        <f>AW1328+AX1328</f>
        <v>0</v>
      </c>
      <c r="BD1328" s="55">
        <f>H1328/(100-BE1328)*100</f>
        <v>0</v>
      </c>
      <c r="BE1328" s="55">
        <v>0</v>
      </c>
      <c r="BF1328" s="55">
        <f>K1328</f>
        <v>0</v>
      </c>
      <c r="BH1328" s="55">
        <f>G1328*AO1328</f>
        <v>0</v>
      </c>
      <c r="BI1328" s="55">
        <f>G1328*AP1328</f>
        <v>0</v>
      </c>
      <c r="BJ1328" s="55">
        <f>G1328*H1328</f>
        <v>0</v>
      </c>
      <c r="BK1328" s="55"/>
      <c r="BL1328" s="55"/>
      <c r="BW1328" s="55">
        <v>21</v>
      </c>
    </row>
    <row r="1329" spans="1:75" ht="13.5" customHeight="1">
      <c r="A1329" s="1" t="s">
        <v>2512</v>
      </c>
      <c r="B1329" s="2" t="s">
        <v>116</v>
      </c>
      <c r="C1329" s="2" t="s">
        <v>2513</v>
      </c>
      <c r="D1329" s="147" t="s">
        <v>2514</v>
      </c>
      <c r="E1329" s="148"/>
      <c r="F1329" s="2" t="s">
        <v>250</v>
      </c>
      <c r="G1329" s="55">
        <v>1</v>
      </c>
      <c r="H1329" s="56">
        <v>0</v>
      </c>
      <c r="I1329" s="55">
        <f>G1329*H1329</f>
        <v>0</v>
      </c>
      <c r="J1329" s="55">
        <v>0</v>
      </c>
      <c r="K1329" s="55">
        <f>G1329*J1329</f>
        <v>0</v>
      </c>
      <c r="L1329" s="57" t="s">
        <v>124</v>
      </c>
      <c r="Z1329" s="55">
        <f>IF(AQ1329="5",BJ1329,0)</f>
        <v>0</v>
      </c>
      <c r="AB1329" s="55">
        <f>IF(AQ1329="1",BH1329,0)</f>
        <v>0</v>
      </c>
      <c r="AC1329" s="55">
        <f>IF(AQ1329="1",BI1329,0)</f>
        <v>0</v>
      </c>
      <c r="AD1329" s="55">
        <f>IF(AQ1329="7",BH1329,0)</f>
        <v>0</v>
      </c>
      <c r="AE1329" s="55">
        <f>IF(AQ1329="7",BI1329,0)</f>
        <v>0</v>
      </c>
      <c r="AF1329" s="55">
        <f>IF(AQ1329="2",BH1329,0)</f>
        <v>0</v>
      </c>
      <c r="AG1329" s="55">
        <f>IF(AQ1329="2",BI1329,0)</f>
        <v>0</v>
      </c>
      <c r="AH1329" s="55">
        <f>IF(AQ1329="0",BJ1329,0)</f>
        <v>0</v>
      </c>
      <c r="AI1329" s="34" t="s">
        <v>116</v>
      </c>
      <c r="AJ1329" s="55">
        <f>IF(AN1329=0,I1329,0)</f>
        <v>0</v>
      </c>
      <c r="AK1329" s="55">
        <f>IF(AN1329=12,I1329,0)</f>
        <v>0</v>
      </c>
      <c r="AL1329" s="55">
        <f>IF(AN1329=21,I1329,0)</f>
        <v>0</v>
      </c>
      <c r="AN1329" s="55">
        <v>21</v>
      </c>
      <c r="AO1329" s="55">
        <f>H1329*0</f>
        <v>0</v>
      </c>
      <c r="AP1329" s="55">
        <f>H1329*(1-0)</f>
        <v>0</v>
      </c>
      <c r="AQ1329" s="58" t="s">
        <v>130</v>
      </c>
      <c r="AV1329" s="55">
        <f>AW1329+AX1329</f>
        <v>0</v>
      </c>
      <c r="AW1329" s="55">
        <f>G1329*AO1329</f>
        <v>0</v>
      </c>
      <c r="AX1329" s="55">
        <f>G1329*AP1329</f>
        <v>0</v>
      </c>
      <c r="AY1329" s="58" t="s">
        <v>2511</v>
      </c>
      <c r="AZ1329" s="58" t="s">
        <v>2344</v>
      </c>
      <c r="BA1329" s="34" t="s">
        <v>128</v>
      </c>
      <c r="BC1329" s="55">
        <f>AW1329+AX1329</f>
        <v>0</v>
      </c>
      <c r="BD1329" s="55">
        <f>H1329/(100-BE1329)*100</f>
        <v>0</v>
      </c>
      <c r="BE1329" s="55">
        <v>0</v>
      </c>
      <c r="BF1329" s="55">
        <f>K1329</f>
        <v>0</v>
      </c>
      <c r="BH1329" s="55">
        <f>G1329*AO1329</f>
        <v>0</v>
      </c>
      <c r="BI1329" s="55">
        <f>G1329*AP1329</f>
        <v>0</v>
      </c>
      <c r="BJ1329" s="55">
        <f>G1329*H1329</f>
        <v>0</v>
      </c>
      <c r="BK1329" s="55"/>
      <c r="BL1329" s="55"/>
      <c r="BW1329" s="55">
        <v>21</v>
      </c>
    </row>
    <row r="1330" spans="1:47" ht="14.4">
      <c r="A1330" s="50" t="s">
        <v>4</v>
      </c>
      <c r="B1330" s="51" t="s">
        <v>116</v>
      </c>
      <c r="C1330" s="51" t="s">
        <v>2515</v>
      </c>
      <c r="D1330" s="222" t="s">
        <v>2516</v>
      </c>
      <c r="E1330" s="223"/>
      <c r="F1330" s="52" t="s">
        <v>79</v>
      </c>
      <c r="G1330" s="52" t="s">
        <v>79</v>
      </c>
      <c r="H1330" s="53" t="s">
        <v>79</v>
      </c>
      <c r="I1330" s="27">
        <f>SUM(I1331:I1331)</f>
        <v>0</v>
      </c>
      <c r="J1330" s="34" t="s">
        <v>4</v>
      </c>
      <c r="K1330" s="27">
        <f>SUM(K1331:K1331)</f>
        <v>0.059669999999999994</v>
      </c>
      <c r="L1330" s="54" t="s">
        <v>4</v>
      </c>
      <c r="AI1330" s="34" t="s">
        <v>116</v>
      </c>
      <c r="AS1330" s="27">
        <f>SUM(AJ1331:AJ1331)</f>
        <v>0</v>
      </c>
      <c r="AT1330" s="27">
        <f>SUM(AK1331:AK1331)</f>
        <v>0</v>
      </c>
      <c r="AU1330" s="27">
        <f>SUM(AL1331:AL1331)</f>
        <v>0</v>
      </c>
    </row>
    <row r="1331" spans="1:75" ht="13.5" customHeight="1">
      <c r="A1331" s="1" t="s">
        <v>2517</v>
      </c>
      <c r="B1331" s="2" t="s">
        <v>116</v>
      </c>
      <c r="C1331" s="2" t="s">
        <v>2518</v>
      </c>
      <c r="D1331" s="147" t="s">
        <v>2519</v>
      </c>
      <c r="E1331" s="148"/>
      <c r="F1331" s="2" t="s">
        <v>729</v>
      </c>
      <c r="G1331" s="55">
        <v>19.5</v>
      </c>
      <c r="H1331" s="56">
        <v>0</v>
      </c>
      <c r="I1331" s="55">
        <f>G1331*H1331</f>
        <v>0</v>
      </c>
      <c r="J1331" s="55">
        <v>0.00306</v>
      </c>
      <c r="K1331" s="55">
        <f>G1331*J1331</f>
        <v>0.059669999999999994</v>
      </c>
      <c r="L1331" s="57" t="s">
        <v>785</v>
      </c>
      <c r="Z1331" s="55">
        <f>IF(AQ1331="5",BJ1331,0)</f>
        <v>0</v>
      </c>
      <c r="AB1331" s="55">
        <f>IF(AQ1331="1",BH1331,0)</f>
        <v>0</v>
      </c>
      <c r="AC1331" s="55">
        <f>IF(AQ1331="1",BI1331,0)</f>
        <v>0</v>
      </c>
      <c r="AD1331" s="55">
        <f>IF(AQ1331="7",BH1331,0)</f>
        <v>0</v>
      </c>
      <c r="AE1331" s="55">
        <f>IF(AQ1331="7",BI1331,0)</f>
        <v>0</v>
      </c>
      <c r="AF1331" s="55">
        <f>IF(AQ1331="2",BH1331,0)</f>
        <v>0</v>
      </c>
      <c r="AG1331" s="55">
        <f>IF(AQ1331="2",BI1331,0)</f>
        <v>0</v>
      </c>
      <c r="AH1331" s="55">
        <f>IF(AQ1331="0",BJ1331,0)</f>
        <v>0</v>
      </c>
      <c r="AI1331" s="34" t="s">
        <v>116</v>
      </c>
      <c r="AJ1331" s="55">
        <f>IF(AN1331=0,I1331,0)</f>
        <v>0</v>
      </c>
      <c r="AK1331" s="55">
        <f>IF(AN1331=12,I1331,0)</f>
        <v>0</v>
      </c>
      <c r="AL1331" s="55">
        <f>IF(AN1331=21,I1331,0)</f>
        <v>0</v>
      </c>
      <c r="AN1331" s="55">
        <v>21</v>
      </c>
      <c r="AO1331" s="55">
        <f>H1331*0.784826203</f>
        <v>0</v>
      </c>
      <c r="AP1331" s="55">
        <f>H1331*(1-0.784826203)</f>
        <v>0</v>
      </c>
      <c r="AQ1331" s="58" t="s">
        <v>125</v>
      </c>
      <c r="AV1331" s="55">
        <f>AW1331+AX1331</f>
        <v>0</v>
      </c>
      <c r="AW1331" s="55">
        <f>G1331*AO1331</f>
        <v>0</v>
      </c>
      <c r="AX1331" s="55">
        <f>G1331*AP1331</f>
        <v>0</v>
      </c>
      <c r="AY1331" s="58" t="s">
        <v>2520</v>
      </c>
      <c r="AZ1331" s="58" t="s">
        <v>1669</v>
      </c>
      <c r="BA1331" s="34" t="s">
        <v>128</v>
      </c>
      <c r="BB1331" s="67">
        <v>100012</v>
      </c>
      <c r="BC1331" s="55">
        <f>AW1331+AX1331</f>
        <v>0</v>
      </c>
      <c r="BD1331" s="55">
        <f>H1331/(100-BE1331)*100</f>
        <v>0</v>
      </c>
      <c r="BE1331" s="55">
        <v>0</v>
      </c>
      <c r="BF1331" s="55">
        <f>K1331</f>
        <v>0.059669999999999994</v>
      </c>
      <c r="BH1331" s="55">
        <f>G1331*AO1331</f>
        <v>0</v>
      </c>
      <c r="BI1331" s="55">
        <f>G1331*AP1331</f>
        <v>0</v>
      </c>
      <c r="BJ1331" s="55">
        <f>G1331*H1331</f>
        <v>0</v>
      </c>
      <c r="BK1331" s="55"/>
      <c r="BL1331" s="55">
        <v>765</v>
      </c>
      <c r="BW1331" s="55">
        <v>21</v>
      </c>
    </row>
    <row r="1332" spans="1:12" ht="14.4">
      <c r="A1332" s="59"/>
      <c r="D1332" s="60" t="s">
        <v>2521</v>
      </c>
      <c r="E1332" s="60" t="s">
        <v>4</v>
      </c>
      <c r="G1332" s="68">
        <v>19.5</v>
      </c>
      <c r="L1332" s="69"/>
    </row>
    <row r="1333" spans="1:47" ht="14.4">
      <c r="A1333" s="50" t="s">
        <v>4</v>
      </c>
      <c r="B1333" s="51" t="s">
        <v>116</v>
      </c>
      <c r="C1333" s="51" t="s">
        <v>2522</v>
      </c>
      <c r="D1333" s="222" t="s">
        <v>2523</v>
      </c>
      <c r="E1333" s="223"/>
      <c r="F1333" s="52" t="s">
        <v>79</v>
      </c>
      <c r="G1333" s="52" t="s">
        <v>79</v>
      </c>
      <c r="H1333" s="53" t="s">
        <v>79</v>
      </c>
      <c r="I1333" s="27">
        <f>SUM(I1334:I1334)</f>
        <v>0</v>
      </c>
      <c r="J1333" s="34" t="s">
        <v>4</v>
      </c>
      <c r="K1333" s="27">
        <f>SUM(K1334:K1334)</f>
        <v>0.7</v>
      </c>
      <c r="L1333" s="54" t="s">
        <v>4</v>
      </c>
      <c r="AI1333" s="34" t="s">
        <v>116</v>
      </c>
      <c r="AS1333" s="27">
        <f>SUM(AJ1334:AJ1334)</f>
        <v>0</v>
      </c>
      <c r="AT1333" s="27">
        <f>SUM(AK1334:AK1334)</f>
        <v>0</v>
      </c>
      <c r="AU1333" s="27">
        <f>SUM(AL1334:AL1334)</f>
        <v>0</v>
      </c>
    </row>
    <row r="1334" spans="1:75" ht="13.5" customHeight="1">
      <c r="A1334" s="1" t="s">
        <v>2524</v>
      </c>
      <c r="B1334" s="2" t="s">
        <v>116</v>
      </c>
      <c r="C1334" s="2" t="s">
        <v>2525</v>
      </c>
      <c r="D1334" s="147" t="s">
        <v>2526</v>
      </c>
      <c r="E1334" s="148"/>
      <c r="F1334" s="2" t="s">
        <v>374</v>
      </c>
      <c r="G1334" s="55">
        <v>1</v>
      </c>
      <c r="H1334" s="56">
        <v>0</v>
      </c>
      <c r="I1334" s="55">
        <f>G1334*H1334</f>
        <v>0</v>
      </c>
      <c r="J1334" s="55">
        <v>0.7</v>
      </c>
      <c r="K1334" s="55">
        <f>G1334*J1334</f>
        <v>0.7</v>
      </c>
      <c r="L1334" s="57" t="s">
        <v>124</v>
      </c>
      <c r="Z1334" s="55">
        <f>IF(AQ1334="5",BJ1334,0)</f>
        <v>0</v>
      </c>
      <c r="AB1334" s="55">
        <f>IF(AQ1334="1",BH1334,0)</f>
        <v>0</v>
      </c>
      <c r="AC1334" s="55">
        <f>IF(AQ1334="1",BI1334,0)</f>
        <v>0</v>
      </c>
      <c r="AD1334" s="55">
        <f>IF(AQ1334="7",BH1334,0)</f>
        <v>0</v>
      </c>
      <c r="AE1334" s="55">
        <f>IF(AQ1334="7",BI1334,0)</f>
        <v>0</v>
      </c>
      <c r="AF1334" s="55">
        <f>IF(AQ1334="2",BH1334,0)</f>
        <v>0</v>
      </c>
      <c r="AG1334" s="55">
        <f>IF(AQ1334="2",BI1334,0)</f>
        <v>0</v>
      </c>
      <c r="AH1334" s="55">
        <f>IF(AQ1334="0",BJ1334,0)</f>
        <v>0</v>
      </c>
      <c r="AI1334" s="34" t="s">
        <v>116</v>
      </c>
      <c r="AJ1334" s="55">
        <f>IF(AN1334=0,I1334,0)</f>
        <v>0</v>
      </c>
      <c r="AK1334" s="55">
        <f>IF(AN1334=12,I1334,0)</f>
        <v>0</v>
      </c>
      <c r="AL1334" s="55">
        <f>IF(AN1334=21,I1334,0)</f>
        <v>0</v>
      </c>
      <c r="AN1334" s="55">
        <v>21</v>
      </c>
      <c r="AO1334" s="55">
        <f>H1334*0.904365904</f>
        <v>0</v>
      </c>
      <c r="AP1334" s="55">
        <f>H1334*(1-0.904365904)</f>
        <v>0</v>
      </c>
      <c r="AQ1334" s="58" t="s">
        <v>130</v>
      </c>
      <c r="AV1334" s="55">
        <f>AW1334+AX1334</f>
        <v>0</v>
      </c>
      <c r="AW1334" s="55">
        <f>G1334*AO1334</f>
        <v>0</v>
      </c>
      <c r="AX1334" s="55">
        <f>G1334*AP1334</f>
        <v>0</v>
      </c>
      <c r="AY1334" s="58" t="s">
        <v>2527</v>
      </c>
      <c r="AZ1334" s="58" t="s">
        <v>2344</v>
      </c>
      <c r="BA1334" s="34" t="s">
        <v>128</v>
      </c>
      <c r="BB1334" s="67">
        <v>100026</v>
      </c>
      <c r="BC1334" s="55">
        <f>AW1334+AX1334</f>
        <v>0</v>
      </c>
      <c r="BD1334" s="55">
        <f>H1334/(100-BE1334)*100</f>
        <v>0</v>
      </c>
      <c r="BE1334" s="55">
        <v>0</v>
      </c>
      <c r="BF1334" s="55">
        <f>K1334</f>
        <v>0.7</v>
      </c>
      <c r="BH1334" s="55">
        <f>G1334*AO1334</f>
        <v>0</v>
      </c>
      <c r="BI1334" s="55">
        <f>G1334*AP1334</f>
        <v>0</v>
      </c>
      <c r="BJ1334" s="55">
        <f>G1334*H1334</f>
        <v>0</v>
      </c>
      <c r="BK1334" s="55"/>
      <c r="BL1334" s="55"/>
      <c r="BW1334" s="55">
        <v>21</v>
      </c>
    </row>
    <row r="1335" spans="1:12" ht="40.5" customHeight="1">
      <c r="A1335" s="59"/>
      <c r="D1335" s="218" t="s">
        <v>2528</v>
      </c>
      <c r="E1335" s="219"/>
      <c r="F1335" s="219"/>
      <c r="G1335" s="219"/>
      <c r="H1335" s="220"/>
      <c r="I1335" s="219"/>
      <c r="J1335" s="219"/>
      <c r="K1335" s="219"/>
      <c r="L1335" s="221"/>
    </row>
    <row r="1336" spans="1:12" ht="14.4">
      <c r="A1336" s="59"/>
      <c r="D1336" s="60" t="s">
        <v>120</v>
      </c>
      <c r="E1336" s="60" t="s">
        <v>4</v>
      </c>
      <c r="G1336" s="68">
        <v>1</v>
      </c>
      <c r="L1336" s="69"/>
    </row>
    <row r="1337" spans="1:47" ht="14.4">
      <c r="A1337" s="50" t="s">
        <v>4</v>
      </c>
      <c r="B1337" s="51" t="s">
        <v>116</v>
      </c>
      <c r="C1337" s="51" t="s">
        <v>2529</v>
      </c>
      <c r="D1337" s="222" t="s">
        <v>2530</v>
      </c>
      <c r="E1337" s="223"/>
      <c r="F1337" s="52" t="s">
        <v>79</v>
      </c>
      <c r="G1337" s="52" t="s">
        <v>79</v>
      </c>
      <c r="H1337" s="53" t="s">
        <v>79</v>
      </c>
      <c r="I1337" s="27">
        <f>SUM(I1338:I1358)</f>
        <v>0</v>
      </c>
      <c r="J1337" s="34" t="s">
        <v>4</v>
      </c>
      <c r="K1337" s="27">
        <f>SUM(K1338:K1358)</f>
        <v>0.05</v>
      </c>
      <c r="L1337" s="54" t="s">
        <v>4</v>
      </c>
      <c r="AI1337" s="34" t="s">
        <v>116</v>
      </c>
      <c r="AS1337" s="27">
        <f>SUM(AJ1338:AJ1358)</f>
        <v>0</v>
      </c>
      <c r="AT1337" s="27">
        <f>SUM(AK1338:AK1358)</f>
        <v>0</v>
      </c>
      <c r="AU1337" s="27">
        <f>SUM(AL1338:AL1358)</f>
        <v>0</v>
      </c>
    </row>
    <row r="1338" spans="1:75" ht="13.5" customHeight="1">
      <c r="A1338" s="1" t="s">
        <v>2531</v>
      </c>
      <c r="B1338" s="2" t="s">
        <v>116</v>
      </c>
      <c r="C1338" s="2" t="s">
        <v>2532</v>
      </c>
      <c r="D1338" s="147" t="s">
        <v>2533</v>
      </c>
      <c r="E1338" s="148"/>
      <c r="F1338" s="2" t="s">
        <v>400</v>
      </c>
      <c r="G1338" s="55">
        <v>1</v>
      </c>
      <c r="H1338" s="56">
        <v>0</v>
      </c>
      <c r="I1338" s="55">
        <f>G1338*H1338</f>
        <v>0</v>
      </c>
      <c r="J1338" s="55">
        <v>0</v>
      </c>
      <c r="K1338" s="55">
        <f>G1338*J1338</f>
        <v>0</v>
      </c>
      <c r="L1338" s="57" t="s">
        <v>124</v>
      </c>
      <c r="Z1338" s="55">
        <f>IF(AQ1338="5",BJ1338,0)</f>
        <v>0</v>
      </c>
      <c r="AB1338" s="55">
        <f>IF(AQ1338="1",BH1338,0)</f>
        <v>0</v>
      </c>
      <c r="AC1338" s="55">
        <f>IF(AQ1338="1",BI1338,0)</f>
        <v>0</v>
      </c>
      <c r="AD1338" s="55">
        <f>IF(AQ1338="7",BH1338,0)</f>
        <v>0</v>
      </c>
      <c r="AE1338" s="55">
        <f>IF(AQ1338="7",BI1338,0)</f>
        <v>0</v>
      </c>
      <c r="AF1338" s="55">
        <f>IF(AQ1338="2",BH1338,0)</f>
        <v>0</v>
      </c>
      <c r="AG1338" s="55">
        <f>IF(AQ1338="2",BI1338,0)</f>
        <v>0</v>
      </c>
      <c r="AH1338" s="55">
        <f>IF(AQ1338="0",BJ1338,0)</f>
        <v>0</v>
      </c>
      <c r="AI1338" s="34" t="s">
        <v>116</v>
      </c>
      <c r="AJ1338" s="55">
        <f>IF(AN1338=0,I1338,0)</f>
        <v>0</v>
      </c>
      <c r="AK1338" s="55">
        <f>IF(AN1338=12,I1338,0)</f>
        <v>0</v>
      </c>
      <c r="AL1338" s="55">
        <f>IF(AN1338=21,I1338,0)</f>
        <v>0</v>
      </c>
      <c r="AN1338" s="55">
        <v>21</v>
      </c>
      <c r="AO1338" s="55">
        <f>H1338*0</f>
        <v>0</v>
      </c>
      <c r="AP1338" s="55">
        <f>H1338*(1-0)</f>
        <v>0</v>
      </c>
      <c r="AQ1338" s="58" t="s">
        <v>130</v>
      </c>
      <c r="AV1338" s="55">
        <f>AW1338+AX1338</f>
        <v>0</v>
      </c>
      <c r="AW1338" s="55">
        <f>G1338*AO1338</f>
        <v>0</v>
      </c>
      <c r="AX1338" s="55">
        <f>G1338*AP1338</f>
        <v>0</v>
      </c>
      <c r="AY1338" s="58" t="s">
        <v>2534</v>
      </c>
      <c r="AZ1338" s="58" t="s">
        <v>2344</v>
      </c>
      <c r="BA1338" s="34" t="s">
        <v>128</v>
      </c>
      <c r="BB1338" s="67">
        <v>100025</v>
      </c>
      <c r="BC1338" s="55">
        <f>AW1338+AX1338</f>
        <v>0</v>
      </c>
      <c r="BD1338" s="55">
        <f>H1338/(100-BE1338)*100</f>
        <v>0</v>
      </c>
      <c r="BE1338" s="55">
        <v>0</v>
      </c>
      <c r="BF1338" s="55">
        <f>K1338</f>
        <v>0</v>
      </c>
      <c r="BH1338" s="55">
        <f>G1338*AO1338</f>
        <v>0</v>
      </c>
      <c r="BI1338" s="55">
        <f>G1338*AP1338</f>
        <v>0</v>
      </c>
      <c r="BJ1338" s="55">
        <f>G1338*H1338</f>
        <v>0</v>
      </c>
      <c r="BK1338" s="55"/>
      <c r="BL1338" s="55"/>
      <c r="BW1338" s="55">
        <v>21</v>
      </c>
    </row>
    <row r="1339" spans="1:12" ht="14.4">
      <c r="A1339" s="59"/>
      <c r="D1339" s="60" t="s">
        <v>120</v>
      </c>
      <c r="E1339" s="60" t="s">
        <v>4</v>
      </c>
      <c r="G1339" s="68">
        <v>1</v>
      </c>
      <c r="L1339" s="69"/>
    </row>
    <row r="1340" spans="1:75" ht="13.5" customHeight="1">
      <c r="A1340" s="1" t="s">
        <v>2535</v>
      </c>
      <c r="B1340" s="2" t="s">
        <v>116</v>
      </c>
      <c r="C1340" s="2" t="s">
        <v>2536</v>
      </c>
      <c r="D1340" s="147" t="s">
        <v>2537</v>
      </c>
      <c r="E1340" s="148"/>
      <c r="F1340" s="2" t="s">
        <v>400</v>
      </c>
      <c r="G1340" s="55">
        <v>1</v>
      </c>
      <c r="H1340" s="56">
        <v>0</v>
      </c>
      <c r="I1340" s="55">
        <f>G1340*H1340</f>
        <v>0</v>
      </c>
      <c r="J1340" s="55">
        <v>0</v>
      </c>
      <c r="K1340" s="55">
        <f>G1340*J1340</f>
        <v>0</v>
      </c>
      <c r="L1340" s="57" t="s">
        <v>124</v>
      </c>
      <c r="Z1340" s="55">
        <f>IF(AQ1340="5",BJ1340,0)</f>
        <v>0</v>
      </c>
      <c r="AB1340" s="55">
        <f>IF(AQ1340="1",BH1340,0)</f>
        <v>0</v>
      </c>
      <c r="AC1340" s="55">
        <f>IF(AQ1340="1",BI1340,0)</f>
        <v>0</v>
      </c>
      <c r="AD1340" s="55">
        <f>IF(AQ1340="7",BH1340,0)</f>
        <v>0</v>
      </c>
      <c r="AE1340" s="55">
        <f>IF(AQ1340="7",BI1340,0)</f>
        <v>0</v>
      </c>
      <c r="AF1340" s="55">
        <f>IF(AQ1340="2",BH1340,0)</f>
        <v>0</v>
      </c>
      <c r="AG1340" s="55">
        <f>IF(AQ1340="2",BI1340,0)</f>
        <v>0</v>
      </c>
      <c r="AH1340" s="55">
        <f>IF(AQ1340="0",BJ1340,0)</f>
        <v>0</v>
      </c>
      <c r="AI1340" s="34" t="s">
        <v>116</v>
      </c>
      <c r="AJ1340" s="55">
        <f>IF(AN1340=0,I1340,0)</f>
        <v>0</v>
      </c>
      <c r="AK1340" s="55">
        <f>IF(AN1340=12,I1340,0)</f>
        <v>0</v>
      </c>
      <c r="AL1340" s="55">
        <f>IF(AN1340=21,I1340,0)</f>
        <v>0</v>
      </c>
      <c r="AN1340" s="55">
        <v>21</v>
      </c>
      <c r="AO1340" s="55">
        <f>H1340*0</f>
        <v>0</v>
      </c>
      <c r="AP1340" s="55">
        <f>H1340*(1-0)</f>
        <v>0</v>
      </c>
      <c r="AQ1340" s="58" t="s">
        <v>120</v>
      </c>
      <c r="AV1340" s="55">
        <f>AW1340+AX1340</f>
        <v>0</v>
      </c>
      <c r="AW1340" s="55">
        <f>G1340*AO1340</f>
        <v>0</v>
      </c>
      <c r="AX1340" s="55">
        <f>G1340*AP1340</f>
        <v>0</v>
      </c>
      <c r="AY1340" s="58" t="s">
        <v>2534</v>
      </c>
      <c r="AZ1340" s="58" t="s">
        <v>2344</v>
      </c>
      <c r="BA1340" s="34" t="s">
        <v>128</v>
      </c>
      <c r="BB1340" s="67">
        <v>100025</v>
      </c>
      <c r="BC1340" s="55">
        <f>AW1340+AX1340</f>
        <v>0</v>
      </c>
      <c r="BD1340" s="55">
        <f>H1340/(100-BE1340)*100</f>
        <v>0</v>
      </c>
      <c r="BE1340" s="55">
        <v>0</v>
      </c>
      <c r="BF1340" s="55">
        <f>K1340</f>
        <v>0</v>
      </c>
      <c r="BH1340" s="55">
        <f>G1340*AO1340</f>
        <v>0</v>
      </c>
      <c r="BI1340" s="55">
        <f>G1340*AP1340</f>
        <v>0</v>
      </c>
      <c r="BJ1340" s="55">
        <f>G1340*H1340</f>
        <v>0</v>
      </c>
      <c r="BK1340" s="55"/>
      <c r="BL1340" s="55"/>
      <c r="BW1340" s="55">
        <v>21</v>
      </c>
    </row>
    <row r="1341" spans="1:12" ht="14.4">
      <c r="A1341" s="59"/>
      <c r="D1341" s="60" t="s">
        <v>120</v>
      </c>
      <c r="E1341" s="60" t="s">
        <v>4</v>
      </c>
      <c r="G1341" s="68">
        <v>1</v>
      </c>
      <c r="L1341" s="69"/>
    </row>
    <row r="1342" spans="1:75" ht="13.5" customHeight="1">
      <c r="A1342" s="1" t="s">
        <v>2538</v>
      </c>
      <c r="B1342" s="2" t="s">
        <v>116</v>
      </c>
      <c r="C1342" s="2" t="s">
        <v>2539</v>
      </c>
      <c r="D1342" s="147" t="s">
        <v>2540</v>
      </c>
      <c r="E1342" s="148"/>
      <c r="F1342" s="2" t="s">
        <v>729</v>
      </c>
      <c r="G1342" s="55">
        <v>14.7</v>
      </c>
      <c r="H1342" s="56">
        <v>0</v>
      </c>
      <c r="I1342" s="55">
        <f>G1342*H1342</f>
        <v>0</v>
      </c>
      <c r="J1342" s="55">
        <v>0</v>
      </c>
      <c r="K1342" s="55">
        <f>G1342*J1342</f>
        <v>0</v>
      </c>
      <c r="L1342" s="57" t="s">
        <v>124</v>
      </c>
      <c r="Z1342" s="55">
        <f>IF(AQ1342="5",BJ1342,0)</f>
        <v>0</v>
      </c>
      <c r="AB1342" s="55">
        <f>IF(AQ1342="1",BH1342,0)</f>
        <v>0</v>
      </c>
      <c r="AC1342" s="55">
        <f>IF(AQ1342="1",BI1342,0)</f>
        <v>0</v>
      </c>
      <c r="AD1342" s="55">
        <f>IF(AQ1342="7",BH1342,0)</f>
        <v>0</v>
      </c>
      <c r="AE1342" s="55">
        <f>IF(AQ1342="7",BI1342,0)</f>
        <v>0</v>
      </c>
      <c r="AF1342" s="55">
        <f>IF(AQ1342="2",BH1342,0)</f>
        <v>0</v>
      </c>
      <c r="AG1342" s="55">
        <f>IF(AQ1342="2",BI1342,0)</f>
        <v>0</v>
      </c>
      <c r="AH1342" s="55">
        <f>IF(AQ1342="0",BJ1342,0)</f>
        <v>0</v>
      </c>
      <c r="AI1342" s="34" t="s">
        <v>116</v>
      </c>
      <c r="AJ1342" s="55">
        <f>IF(AN1342=0,I1342,0)</f>
        <v>0</v>
      </c>
      <c r="AK1342" s="55">
        <f>IF(AN1342=12,I1342,0)</f>
        <v>0</v>
      </c>
      <c r="AL1342" s="55">
        <f>IF(AN1342=21,I1342,0)</f>
        <v>0</v>
      </c>
      <c r="AN1342" s="55">
        <v>21</v>
      </c>
      <c r="AO1342" s="55">
        <f>H1342*0</f>
        <v>0</v>
      </c>
      <c r="AP1342" s="55">
        <f>H1342*(1-0)</f>
        <v>0</v>
      </c>
      <c r="AQ1342" s="58" t="s">
        <v>130</v>
      </c>
      <c r="AV1342" s="55">
        <f>AW1342+AX1342</f>
        <v>0</v>
      </c>
      <c r="AW1342" s="55">
        <f>G1342*AO1342</f>
        <v>0</v>
      </c>
      <c r="AX1342" s="55">
        <f>G1342*AP1342</f>
        <v>0</v>
      </c>
      <c r="AY1342" s="58" t="s">
        <v>2534</v>
      </c>
      <c r="AZ1342" s="58" t="s">
        <v>2344</v>
      </c>
      <c r="BA1342" s="34" t="s">
        <v>128</v>
      </c>
      <c r="BB1342" s="67">
        <v>100025</v>
      </c>
      <c r="BC1342" s="55">
        <f>AW1342+AX1342</f>
        <v>0</v>
      </c>
      <c r="BD1342" s="55">
        <f>H1342/(100-BE1342)*100</f>
        <v>0</v>
      </c>
      <c r="BE1342" s="55">
        <v>0</v>
      </c>
      <c r="BF1342" s="55">
        <f>K1342</f>
        <v>0</v>
      </c>
      <c r="BH1342" s="55">
        <f>G1342*AO1342</f>
        <v>0</v>
      </c>
      <c r="BI1342" s="55">
        <f>G1342*AP1342</f>
        <v>0</v>
      </c>
      <c r="BJ1342" s="55">
        <f>G1342*H1342</f>
        <v>0</v>
      </c>
      <c r="BK1342" s="55"/>
      <c r="BL1342" s="55"/>
      <c r="BW1342" s="55">
        <v>21</v>
      </c>
    </row>
    <row r="1343" spans="1:12" ht="14.4">
      <c r="A1343" s="59"/>
      <c r="D1343" s="60" t="s">
        <v>2541</v>
      </c>
      <c r="E1343" s="60" t="s">
        <v>4</v>
      </c>
      <c r="G1343" s="68">
        <v>14.7</v>
      </c>
      <c r="L1343" s="69"/>
    </row>
    <row r="1344" spans="1:75" ht="13.5" customHeight="1">
      <c r="A1344" s="61" t="s">
        <v>2542</v>
      </c>
      <c r="B1344" s="62" t="s">
        <v>116</v>
      </c>
      <c r="C1344" s="62" t="s">
        <v>2543</v>
      </c>
      <c r="D1344" s="224" t="s">
        <v>2544</v>
      </c>
      <c r="E1344" s="225"/>
      <c r="F1344" s="62" t="s">
        <v>939</v>
      </c>
      <c r="G1344" s="63">
        <v>0.05</v>
      </c>
      <c r="H1344" s="64">
        <v>0</v>
      </c>
      <c r="I1344" s="63">
        <f>G1344*H1344</f>
        <v>0</v>
      </c>
      <c r="J1344" s="63">
        <v>1</v>
      </c>
      <c r="K1344" s="63">
        <f>G1344*J1344</f>
        <v>0.05</v>
      </c>
      <c r="L1344" s="65" t="s">
        <v>785</v>
      </c>
      <c r="Z1344" s="55">
        <f>IF(AQ1344="5",BJ1344,0)</f>
        <v>0</v>
      </c>
      <c r="AB1344" s="55">
        <f>IF(AQ1344="1",BH1344,0)</f>
        <v>0</v>
      </c>
      <c r="AC1344" s="55">
        <f>IF(AQ1344="1",BI1344,0)</f>
        <v>0</v>
      </c>
      <c r="AD1344" s="55">
        <f>IF(AQ1344="7",BH1344,0)</f>
        <v>0</v>
      </c>
      <c r="AE1344" s="55">
        <f>IF(AQ1344="7",BI1344,0)</f>
        <v>0</v>
      </c>
      <c r="AF1344" s="55">
        <f>IF(AQ1344="2",BH1344,0)</f>
        <v>0</v>
      </c>
      <c r="AG1344" s="55">
        <f>IF(AQ1344="2",BI1344,0)</f>
        <v>0</v>
      </c>
      <c r="AH1344" s="55">
        <f>IF(AQ1344="0",BJ1344,0)</f>
        <v>0</v>
      </c>
      <c r="AI1344" s="34" t="s">
        <v>116</v>
      </c>
      <c r="AJ1344" s="63">
        <f>IF(AN1344=0,I1344,0)</f>
        <v>0</v>
      </c>
      <c r="AK1344" s="63">
        <f>IF(AN1344=12,I1344,0)</f>
        <v>0</v>
      </c>
      <c r="AL1344" s="63">
        <f>IF(AN1344=21,I1344,0)</f>
        <v>0</v>
      </c>
      <c r="AN1344" s="55">
        <v>21</v>
      </c>
      <c r="AO1344" s="55">
        <f>H1344*1</f>
        <v>0</v>
      </c>
      <c r="AP1344" s="55">
        <f>H1344*(1-1)</f>
        <v>0</v>
      </c>
      <c r="AQ1344" s="66" t="s">
        <v>120</v>
      </c>
      <c r="AV1344" s="55">
        <f>AW1344+AX1344</f>
        <v>0</v>
      </c>
      <c r="AW1344" s="55">
        <f>G1344*AO1344</f>
        <v>0</v>
      </c>
      <c r="AX1344" s="55">
        <f>G1344*AP1344</f>
        <v>0</v>
      </c>
      <c r="AY1344" s="58" t="s">
        <v>2534</v>
      </c>
      <c r="AZ1344" s="58" t="s">
        <v>2344</v>
      </c>
      <c r="BA1344" s="34" t="s">
        <v>128</v>
      </c>
      <c r="BC1344" s="55">
        <f>AW1344+AX1344</f>
        <v>0</v>
      </c>
      <c r="BD1344" s="55">
        <f>H1344/(100-BE1344)*100</f>
        <v>0</v>
      </c>
      <c r="BE1344" s="55">
        <v>0</v>
      </c>
      <c r="BF1344" s="55">
        <f>K1344</f>
        <v>0.05</v>
      </c>
      <c r="BH1344" s="63">
        <f>G1344*AO1344</f>
        <v>0</v>
      </c>
      <c r="BI1344" s="63">
        <f>G1344*AP1344</f>
        <v>0</v>
      </c>
      <c r="BJ1344" s="63">
        <f>G1344*H1344</f>
        <v>0</v>
      </c>
      <c r="BK1344" s="63"/>
      <c r="BL1344" s="55"/>
      <c r="BW1344" s="55">
        <v>21</v>
      </c>
    </row>
    <row r="1345" spans="1:12" ht="14.4">
      <c r="A1345" s="59"/>
      <c r="D1345" s="60" t="s">
        <v>2545</v>
      </c>
      <c r="E1345" s="60" t="s">
        <v>4</v>
      </c>
      <c r="G1345" s="68">
        <v>0.05</v>
      </c>
      <c r="L1345" s="69"/>
    </row>
    <row r="1346" spans="1:75" ht="27" customHeight="1">
      <c r="A1346" s="1" t="s">
        <v>2546</v>
      </c>
      <c r="B1346" s="2" t="s">
        <v>116</v>
      </c>
      <c r="C1346" s="2" t="s">
        <v>2547</v>
      </c>
      <c r="D1346" s="147" t="s">
        <v>2548</v>
      </c>
      <c r="E1346" s="148"/>
      <c r="F1346" s="2" t="s">
        <v>1731</v>
      </c>
      <c r="G1346" s="55">
        <v>1863.2</v>
      </c>
      <c r="H1346" s="56">
        <v>0</v>
      </c>
      <c r="I1346" s="55">
        <f>G1346*H1346</f>
        <v>0</v>
      </c>
      <c r="J1346" s="55">
        <v>0</v>
      </c>
      <c r="K1346" s="55">
        <f>G1346*J1346</f>
        <v>0</v>
      </c>
      <c r="L1346" s="57" t="s">
        <v>124</v>
      </c>
      <c r="Z1346" s="55">
        <f>IF(AQ1346="5",BJ1346,0)</f>
        <v>0</v>
      </c>
      <c r="AB1346" s="55">
        <f>IF(AQ1346="1",BH1346,0)</f>
        <v>0</v>
      </c>
      <c r="AC1346" s="55">
        <f>IF(AQ1346="1",BI1346,0)</f>
        <v>0</v>
      </c>
      <c r="AD1346" s="55">
        <f>IF(AQ1346="7",BH1346,0)</f>
        <v>0</v>
      </c>
      <c r="AE1346" s="55">
        <f>IF(AQ1346="7",BI1346,0)</f>
        <v>0</v>
      </c>
      <c r="AF1346" s="55">
        <f>IF(AQ1346="2",BH1346,0)</f>
        <v>0</v>
      </c>
      <c r="AG1346" s="55">
        <f>IF(AQ1346="2",BI1346,0)</f>
        <v>0</v>
      </c>
      <c r="AH1346" s="55">
        <f>IF(AQ1346="0",BJ1346,0)</f>
        <v>0</v>
      </c>
      <c r="AI1346" s="34" t="s">
        <v>116</v>
      </c>
      <c r="AJ1346" s="55">
        <f>IF(AN1346=0,I1346,0)</f>
        <v>0</v>
      </c>
      <c r="AK1346" s="55">
        <f>IF(AN1346=12,I1346,0)</f>
        <v>0</v>
      </c>
      <c r="AL1346" s="55">
        <f>IF(AN1346=21,I1346,0)</f>
        <v>0</v>
      </c>
      <c r="AN1346" s="55">
        <v>21</v>
      </c>
      <c r="AO1346" s="55">
        <f>H1346*0.581081081</f>
        <v>0</v>
      </c>
      <c r="AP1346" s="55">
        <f>H1346*(1-0.581081081)</f>
        <v>0</v>
      </c>
      <c r="AQ1346" s="58" t="s">
        <v>130</v>
      </c>
      <c r="AV1346" s="55">
        <f>AW1346+AX1346</f>
        <v>0</v>
      </c>
      <c r="AW1346" s="55">
        <f>G1346*AO1346</f>
        <v>0</v>
      </c>
      <c r="AX1346" s="55">
        <f>G1346*AP1346</f>
        <v>0</v>
      </c>
      <c r="AY1346" s="58" t="s">
        <v>2534</v>
      </c>
      <c r="AZ1346" s="58" t="s">
        <v>2344</v>
      </c>
      <c r="BA1346" s="34" t="s">
        <v>128</v>
      </c>
      <c r="BB1346" s="67">
        <v>100025</v>
      </c>
      <c r="BC1346" s="55">
        <f>AW1346+AX1346</f>
        <v>0</v>
      </c>
      <c r="BD1346" s="55">
        <f>H1346/(100-BE1346)*100</f>
        <v>0</v>
      </c>
      <c r="BE1346" s="55">
        <v>0</v>
      </c>
      <c r="BF1346" s="55">
        <f>K1346</f>
        <v>0</v>
      </c>
      <c r="BH1346" s="55">
        <f>G1346*AO1346</f>
        <v>0</v>
      </c>
      <c r="BI1346" s="55">
        <f>G1346*AP1346</f>
        <v>0</v>
      </c>
      <c r="BJ1346" s="55">
        <f>G1346*H1346</f>
        <v>0</v>
      </c>
      <c r="BK1346" s="55"/>
      <c r="BL1346" s="55"/>
      <c r="BW1346" s="55">
        <v>21</v>
      </c>
    </row>
    <row r="1347" spans="1:12" ht="54" customHeight="1">
      <c r="A1347" s="59"/>
      <c r="D1347" s="218" t="s">
        <v>2549</v>
      </c>
      <c r="E1347" s="219"/>
      <c r="F1347" s="219"/>
      <c r="G1347" s="219"/>
      <c r="H1347" s="220"/>
      <c r="I1347" s="219"/>
      <c r="J1347" s="219"/>
      <c r="K1347" s="219"/>
      <c r="L1347" s="221"/>
    </row>
    <row r="1348" spans="1:12" ht="14.4">
      <c r="A1348" s="59"/>
      <c r="D1348" s="60" t="s">
        <v>2550</v>
      </c>
      <c r="E1348" s="60" t="s">
        <v>4</v>
      </c>
      <c r="G1348" s="68">
        <v>1863.2</v>
      </c>
      <c r="L1348" s="69"/>
    </row>
    <row r="1349" spans="1:75" ht="13.5" customHeight="1">
      <c r="A1349" s="1" t="s">
        <v>2551</v>
      </c>
      <c r="B1349" s="2" t="s">
        <v>116</v>
      </c>
      <c r="C1349" s="2" t="s">
        <v>2552</v>
      </c>
      <c r="D1349" s="147" t="s">
        <v>2553</v>
      </c>
      <c r="E1349" s="148"/>
      <c r="F1349" s="2" t="s">
        <v>1731</v>
      </c>
      <c r="G1349" s="55">
        <v>983.24</v>
      </c>
      <c r="H1349" s="56">
        <v>0</v>
      </c>
      <c r="I1349" s="55">
        <f>G1349*H1349</f>
        <v>0</v>
      </c>
      <c r="J1349" s="55">
        <v>0</v>
      </c>
      <c r="K1349" s="55">
        <f>G1349*J1349</f>
        <v>0</v>
      </c>
      <c r="L1349" s="57" t="s">
        <v>124</v>
      </c>
      <c r="Z1349" s="55">
        <f>IF(AQ1349="5",BJ1349,0)</f>
        <v>0</v>
      </c>
      <c r="AB1349" s="55">
        <f>IF(AQ1349="1",BH1349,0)</f>
        <v>0</v>
      </c>
      <c r="AC1349" s="55">
        <f>IF(AQ1349="1",BI1349,0)</f>
        <v>0</v>
      </c>
      <c r="AD1349" s="55">
        <f>IF(AQ1349="7",BH1349,0)</f>
        <v>0</v>
      </c>
      <c r="AE1349" s="55">
        <f>IF(AQ1349="7",BI1349,0)</f>
        <v>0</v>
      </c>
      <c r="AF1349" s="55">
        <f>IF(AQ1349="2",BH1349,0)</f>
        <v>0</v>
      </c>
      <c r="AG1349" s="55">
        <f>IF(AQ1349="2",BI1349,0)</f>
        <v>0</v>
      </c>
      <c r="AH1349" s="55">
        <f>IF(AQ1349="0",BJ1349,0)</f>
        <v>0</v>
      </c>
      <c r="AI1349" s="34" t="s">
        <v>116</v>
      </c>
      <c r="AJ1349" s="55">
        <f>IF(AN1349=0,I1349,0)</f>
        <v>0</v>
      </c>
      <c r="AK1349" s="55">
        <f>IF(AN1349=12,I1349,0)</f>
        <v>0</v>
      </c>
      <c r="AL1349" s="55">
        <f>IF(AN1349=21,I1349,0)</f>
        <v>0</v>
      </c>
      <c r="AN1349" s="55">
        <v>21</v>
      </c>
      <c r="AO1349" s="55">
        <f>H1349*0.036981592</f>
        <v>0</v>
      </c>
      <c r="AP1349" s="55">
        <f>H1349*(1-0.036981592)</f>
        <v>0</v>
      </c>
      <c r="AQ1349" s="58" t="s">
        <v>130</v>
      </c>
      <c r="AV1349" s="55">
        <f>AW1349+AX1349</f>
        <v>0</v>
      </c>
      <c r="AW1349" s="55">
        <f>G1349*AO1349</f>
        <v>0</v>
      </c>
      <c r="AX1349" s="55">
        <f>G1349*AP1349</f>
        <v>0</v>
      </c>
      <c r="AY1349" s="58" t="s">
        <v>2534</v>
      </c>
      <c r="AZ1349" s="58" t="s">
        <v>2344</v>
      </c>
      <c r="BA1349" s="34" t="s">
        <v>128</v>
      </c>
      <c r="BB1349" s="67">
        <v>100025</v>
      </c>
      <c r="BC1349" s="55">
        <f>AW1349+AX1349</f>
        <v>0</v>
      </c>
      <c r="BD1349" s="55">
        <f>H1349/(100-BE1349)*100</f>
        <v>0</v>
      </c>
      <c r="BE1349" s="55">
        <v>0</v>
      </c>
      <c r="BF1349" s="55">
        <f>K1349</f>
        <v>0</v>
      </c>
      <c r="BH1349" s="55">
        <f>G1349*AO1349</f>
        <v>0</v>
      </c>
      <c r="BI1349" s="55">
        <f>G1349*AP1349</f>
        <v>0</v>
      </c>
      <c r="BJ1349" s="55">
        <f>G1349*H1349</f>
        <v>0</v>
      </c>
      <c r="BK1349" s="55"/>
      <c r="BL1349" s="55"/>
      <c r="BW1349" s="55">
        <v>21</v>
      </c>
    </row>
    <row r="1350" spans="1:12" ht="14.4">
      <c r="A1350" s="59"/>
      <c r="D1350" s="60" t="s">
        <v>2554</v>
      </c>
      <c r="E1350" s="60" t="s">
        <v>2555</v>
      </c>
      <c r="G1350" s="68">
        <v>983.24</v>
      </c>
      <c r="L1350" s="69"/>
    </row>
    <row r="1351" spans="1:75" ht="13.5" customHeight="1">
      <c r="A1351" s="1" t="s">
        <v>2556</v>
      </c>
      <c r="B1351" s="2" t="s">
        <v>116</v>
      </c>
      <c r="C1351" s="2" t="s">
        <v>2557</v>
      </c>
      <c r="D1351" s="147" t="s">
        <v>2558</v>
      </c>
      <c r="E1351" s="148"/>
      <c r="F1351" s="2" t="s">
        <v>1731</v>
      </c>
      <c r="G1351" s="55">
        <v>2846.44</v>
      </c>
      <c r="H1351" s="56">
        <v>0</v>
      </c>
      <c r="I1351" s="55">
        <f>G1351*H1351</f>
        <v>0</v>
      </c>
      <c r="J1351" s="55">
        <v>0</v>
      </c>
      <c r="K1351" s="55">
        <f>G1351*J1351</f>
        <v>0</v>
      </c>
      <c r="L1351" s="57" t="s">
        <v>124</v>
      </c>
      <c r="Z1351" s="55">
        <f>IF(AQ1351="5",BJ1351,0)</f>
        <v>0</v>
      </c>
      <c r="AB1351" s="55">
        <f>IF(AQ1351="1",BH1351,0)</f>
        <v>0</v>
      </c>
      <c r="AC1351" s="55">
        <f>IF(AQ1351="1",BI1351,0)</f>
        <v>0</v>
      </c>
      <c r="AD1351" s="55">
        <f>IF(AQ1351="7",BH1351,0)</f>
        <v>0</v>
      </c>
      <c r="AE1351" s="55">
        <f>IF(AQ1351="7",BI1351,0)</f>
        <v>0</v>
      </c>
      <c r="AF1351" s="55">
        <f>IF(AQ1351="2",BH1351,0)</f>
        <v>0</v>
      </c>
      <c r="AG1351" s="55">
        <f>IF(AQ1351="2",BI1351,0)</f>
        <v>0</v>
      </c>
      <c r="AH1351" s="55">
        <f>IF(AQ1351="0",BJ1351,0)</f>
        <v>0</v>
      </c>
      <c r="AI1351" s="34" t="s">
        <v>116</v>
      </c>
      <c r="AJ1351" s="55">
        <f>IF(AN1351=0,I1351,0)</f>
        <v>0</v>
      </c>
      <c r="AK1351" s="55">
        <f>IF(AN1351=12,I1351,0)</f>
        <v>0</v>
      </c>
      <c r="AL1351" s="55">
        <f>IF(AN1351=21,I1351,0)</f>
        <v>0</v>
      </c>
      <c r="AN1351" s="55">
        <v>21</v>
      </c>
      <c r="AO1351" s="55">
        <f>H1351*0.036981486</f>
        <v>0</v>
      </c>
      <c r="AP1351" s="55">
        <f>H1351*(1-0.036981486)</f>
        <v>0</v>
      </c>
      <c r="AQ1351" s="58" t="s">
        <v>130</v>
      </c>
      <c r="AV1351" s="55">
        <f>AW1351+AX1351</f>
        <v>0</v>
      </c>
      <c r="AW1351" s="55">
        <f>G1351*AO1351</f>
        <v>0</v>
      </c>
      <c r="AX1351" s="55">
        <f>G1351*AP1351</f>
        <v>0</v>
      </c>
      <c r="AY1351" s="58" t="s">
        <v>2534</v>
      </c>
      <c r="AZ1351" s="58" t="s">
        <v>2344</v>
      </c>
      <c r="BA1351" s="34" t="s">
        <v>128</v>
      </c>
      <c r="BB1351" s="67">
        <v>100025</v>
      </c>
      <c r="BC1351" s="55">
        <f>AW1351+AX1351</f>
        <v>0</v>
      </c>
      <c r="BD1351" s="55">
        <f>H1351/(100-BE1351)*100</f>
        <v>0</v>
      </c>
      <c r="BE1351" s="55">
        <v>0</v>
      </c>
      <c r="BF1351" s="55">
        <f>K1351</f>
        <v>0</v>
      </c>
      <c r="BH1351" s="55">
        <f>G1351*AO1351</f>
        <v>0</v>
      </c>
      <c r="BI1351" s="55">
        <f>G1351*AP1351</f>
        <v>0</v>
      </c>
      <c r="BJ1351" s="55">
        <f>G1351*H1351</f>
        <v>0</v>
      </c>
      <c r="BK1351" s="55"/>
      <c r="BL1351" s="55"/>
      <c r="BW1351" s="55">
        <v>21</v>
      </c>
    </row>
    <row r="1352" spans="1:12" ht="13.5" customHeight="1">
      <c r="A1352" s="59"/>
      <c r="D1352" s="218" t="s">
        <v>2559</v>
      </c>
      <c r="E1352" s="219"/>
      <c r="F1352" s="219"/>
      <c r="G1352" s="219"/>
      <c r="H1352" s="220"/>
      <c r="I1352" s="219"/>
      <c r="J1352" s="219"/>
      <c r="K1352" s="219"/>
      <c r="L1352" s="221"/>
    </row>
    <row r="1353" spans="1:12" ht="14.4">
      <c r="A1353" s="59"/>
      <c r="D1353" s="60" t="s">
        <v>2560</v>
      </c>
      <c r="E1353" s="60" t="s">
        <v>2561</v>
      </c>
      <c r="G1353" s="68">
        <v>1863.2</v>
      </c>
      <c r="L1353" s="69"/>
    </row>
    <row r="1354" spans="1:12" ht="14.4">
      <c r="A1354" s="59"/>
      <c r="D1354" s="60" t="s">
        <v>2554</v>
      </c>
      <c r="E1354" s="60" t="s">
        <v>2555</v>
      </c>
      <c r="G1354" s="68">
        <v>983.24</v>
      </c>
      <c r="L1354" s="69"/>
    </row>
    <row r="1355" spans="1:75" ht="13.5" customHeight="1">
      <c r="A1355" s="1" t="s">
        <v>2562</v>
      </c>
      <c r="B1355" s="2" t="s">
        <v>116</v>
      </c>
      <c r="C1355" s="2" t="s">
        <v>2563</v>
      </c>
      <c r="D1355" s="147" t="s">
        <v>2564</v>
      </c>
      <c r="E1355" s="148"/>
      <c r="F1355" s="2" t="s">
        <v>1731</v>
      </c>
      <c r="G1355" s="55">
        <v>800</v>
      </c>
      <c r="H1355" s="56">
        <v>0</v>
      </c>
      <c r="I1355" s="55">
        <f>G1355*H1355</f>
        <v>0</v>
      </c>
      <c r="J1355" s="55">
        <v>0</v>
      </c>
      <c r="K1355" s="55">
        <f>G1355*J1355</f>
        <v>0</v>
      </c>
      <c r="L1355" s="57" t="s">
        <v>124</v>
      </c>
      <c r="Z1355" s="55">
        <f>IF(AQ1355="5",BJ1355,0)</f>
        <v>0</v>
      </c>
      <c r="AB1355" s="55">
        <f>IF(AQ1355="1",BH1355,0)</f>
        <v>0</v>
      </c>
      <c r="AC1355" s="55">
        <f>IF(AQ1355="1",BI1355,0)</f>
        <v>0</v>
      </c>
      <c r="AD1355" s="55">
        <f>IF(AQ1355="7",BH1355,0)</f>
        <v>0</v>
      </c>
      <c r="AE1355" s="55">
        <f>IF(AQ1355="7",BI1355,0)</f>
        <v>0</v>
      </c>
      <c r="AF1355" s="55">
        <f>IF(AQ1355="2",BH1355,0)</f>
        <v>0</v>
      </c>
      <c r="AG1355" s="55">
        <f>IF(AQ1355="2",BI1355,0)</f>
        <v>0</v>
      </c>
      <c r="AH1355" s="55">
        <f>IF(AQ1355="0",BJ1355,0)</f>
        <v>0</v>
      </c>
      <c r="AI1355" s="34" t="s">
        <v>116</v>
      </c>
      <c r="AJ1355" s="55">
        <f>IF(AN1355=0,I1355,0)</f>
        <v>0</v>
      </c>
      <c r="AK1355" s="55">
        <f>IF(AN1355=12,I1355,0)</f>
        <v>0</v>
      </c>
      <c r="AL1355" s="55">
        <f>IF(AN1355=21,I1355,0)</f>
        <v>0</v>
      </c>
      <c r="AN1355" s="55">
        <v>21</v>
      </c>
      <c r="AO1355" s="55">
        <f>H1355*0.465517241</f>
        <v>0</v>
      </c>
      <c r="AP1355" s="55">
        <f>H1355*(1-0.465517241)</f>
        <v>0</v>
      </c>
      <c r="AQ1355" s="58" t="s">
        <v>130</v>
      </c>
      <c r="AV1355" s="55">
        <f>AW1355+AX1355</f>
        <v>0</v>
      </c>
      <c r="AW1355" s="55">
        <f>G1355*AO1355</f>
        <v>0</v>
      </c>
      <c r="AX1355" s="55">
        <f>G1355*AP1355</f>
        <v>0</v>
      </c>
      <c r="AY1355" s="58" t="s">
        <v>2534</v>
      </c>
      <c r="AZ1355" s="58" t="s">
        <v>2344</v>
      </c>
      <c r="BA1355" s="34" t="s">
        <v>128</v>
      </c>
      <c r="BB1355" s="67">
        <v>100025</v>
      </c>
      <c r="BC1355" s="55">
        <f>AW1355+AX1355</f>
        <v>0</v>
      </c>
      <c r="BD1355" s="55">
        <f>H1355/(100-BE1355)*100</f>
        <v>0</v>
      </c>
      <c r="BE1355" s="55">
        <v>0</v>
      </c>
      <c r="BF1355" s="55">
        <f>K1355</f>
        <v>0</v>
      </c>
      <c r="BH1355" s="55">
        <f>G1355*AO1355</f>
        <v>0</v>
      </c>
      <c r="BI1355" s="55">
        <f>G1355*AP1355</f>
        <v>0</v>
      </c>
      <c r="BJ1355" s="55">
        <f>G1355*H1355</f>
        <v>0</v>
      </c>
      <c r="BK1355" s="55"/>
      <c r="BL1355" s="55"/>
      <c r="BW1355" s="55">
        <v>21</v>
      </c>
    </row>
    <row r="1356" spans="1:12" ht="40.5" customHeight="1">
      <c r="A1356" s="59"/>
      <c r="D1356" s="218" t="s">
        <v>2565</v>
      </c>
      <c r="E1356" s="219"/>
      <c r="F1356" s="219"/>
      <c r="G1356" s="219"/>
      <c r="H1356" s="220"/>
      <c r="I1356" s="219"/>
      <c r="J1356" s="219"/>
      <c r="K1356" s="219"/>
      <c r="L1356" s="221"/>
    </row>
    <row r="1357" spans="1:12" ht="14.4">
      <c r="A1357" s="59"/>
      <c r="D1357" s="60" t="s">
        <v>2566</v>
      </c>
      <c r="E1357" s="60" t="s">
        <v>4</v>
      </c>
      <c r="G1357" s="68">
        <v>800</v>
      </c>
      <c r="L1357" s="69"/>
    </row>
    <row r="1358" spans="1:75" ht="13.5" customHeight="1">
      <c r="A1358" s="1" t="s">
        <v>2567</v>
      </c>
      <c r="B1358" s="2" t="s">
        <v>116</v>
      </c>
      <c r="C1358" s="2" t="s">
        <v>2568</v>
      </c>
      <c r="D1358" s="147" t="s">
        <v>2569</v>
      </c>
      <c r="E1358" s="148"/>
      <c r="F1358" s="2" t="s">
        <v>1731</v>
      </c>
      <c r="G1358" s="55">
        <v>800</v>
      </c>
      <c r="H1358" s="56">
        <v>0</v>
      </c>
      <c r="I1358" s="55">
        <f>G1358*H1358</f>
        <v>0</v>
      </c>
      <c r="J1358" s="55">
        <v>0</v>
      </c>
      <c r="K1358" s="55">
        <f>G1358*J1358</f>
        <v>0</v>
      </c>
      <c r="L1358" s="57" t="s">
        <v>124</v>
      </c>
      <c r="Z1358" s="55">
        <f>IF(AQ1358="5",BJ1358,0)</f>
        <v>0</v>
      </c>
      <c r="AB1358" s="55">
        <f>IF(AQ1358="1",BH1358,0)</f>
        <v>0</v>
      </c>
      <c r="AC1358" s="55">
        <f>IF(AQ1358="1",BI1358,0)</f>
        <v>0</v>
      </c>
      <c r="AD1358" s="55">
        <f>IF(AQ1358="7",BH1358,0)</f>
        <v>0</v>
      </c>
      <c r="AE1358" s="55">
        <f>IF(AQ1358="7",BI1358,0)</f>
        <v>0</v>
      </c>
      <c r="AF1358" s="55">
        <f>IF(AQ1358="2",BH1358,0)</f>
        <v>0</v>
      </c>
      <c r="AG1358" s="55">
        <f>IF(AQ1358="2",BI1358,0)</f>
        <v>0</v>
      </c>
      <c r="AH1358" s="55">
        <f>IF(AQ1358="0",BJ1358,0)</f>
        <v>0</v>
      </c>
      <c r="AI1358" s="34" t="s">
        <v>116</v>
      </c>
      <c r="AJ1358" s="55">
        <f>IF(AN1358=0,I1358,0)</f>
        <v>0</v>
      </c>
      <c r="AK1358" s="55">
        <f>IF(AN1358=12,I1358,0)</f>
        <v>0</v>
      </c>
      <c r="AL1358" s="55">
        <f>IF(AN1358=21,I1358,0)</f>
        <v>0</v>
      </c>
      <c r="AN1358" s="55">
        <v>21</v>
      </c>
      <c r="AO1358" s="55">
        <f>H1358*0.036981509</f>
        <v>0</v>
      </c>
      <c r="AP1358" s="55">
        <f>H1358*(1-0.036981509)</f>
        <v>0</v>
      </c>
      <c r="AQ1358" s="58" t="s">
        <v>130</v>
      </c>
      <c r="AV1358" s="55">
        <f>AW1358+AX1358</f>
        <v>0</v>
      </c>
      <c r="AW1358" s="55">
        <f>G1358*AO1358</f>
        <v>0</v>
      </c>
      <c r="AX1358" s="55">
        <f>G1358*AP1358</f>
        <v>0</v>
      </c>
      <c r="AY1358" s="58" t="s">
        <v>2534</v>
      </c>
      <c r="AZ1358" s="58" t="s">
        <v>2344</v>
      </c>
      <c r="BA1358" s="34" t="s">
        <v>128</v>
      </c>
      <c r="BB1358" s="67">
        <v>100025</v>
      </c>
      <c r="BC1358" s="55">
        <f>AW1358+AX1358</f>
        <v>0</v>
      </c>
      <c r="BD1358" s="55">
        <f>H1358/(100-BE1358)*100</f>
        <v>0</v>
      </c>
      <c r="BE1358" s="55">
        <v>0</v>
      </c>
      <c r="BF1358" s="55">
        <f>K1358</f>
        <v>0</v>
      </c>
      <c r="BH1358" s="55">
        <f>G1358*AO1358</f>
        <v>0</v>
      </c>
      <c r="BI1358" s="55">
        <f>G1358*AP1358</f>
        <v>0</v>
      </c>
      <c r="BJ1358" s="55">
        <f>G1358*H1358</f>
        <v>0</v>
      </c>
      <c r="BK1358" s="55"/>
      <c r="BL1358" s="55"/>
      <c r="BW1358" s="55">
        <v>21</v>
      </c>
    </row>
    <row r="1359" spans="1:12" ht="13.5" customHeight="1">
      <c r="A1359" s="59"/>
      <c r="D1359" s="218" t="s">
        <v>2570</v>
      </c>
      <c r="E1359" s="219"/>
      <c r="F1359" s="219"/>
      <c r="G1359" s="219"/>
      <c r="H1359" s="220"/>
      <c r="I1359" s="219"/>
      <c r="J1359" s="219"/>
      <c r="K1359" s="219"/>
      <c r="L1359" s="221"/>
    </row>
    <row r="1360" spans="1:12" ht="14.4">
      <c r="A1360" s="59"/>
      <c r="D1360" s="60" t="s">
        <v>2566</v>
      </c>
      <c r="E1360" s="60" t="s">
        <v>4</v>
      </c>
      <c r="G1360" s="68">
        <v>800</v>
      </c>
      <c r="L1360" s="69"/>
    </row>
    <row r="1361" spans="1:47" ht="14.4">
      <c r="A1361" s="50" t="s">
        <v>4</v>
      </c>
      <c r="B1361" s="51" t="s">
        <v>116</v>
      </c>
      <c r="C1361" s="51" t="s">
        <v>2571</v>
      </c>
      <c r="D1361" s="222" t="s">
        <v>2572</v>
      </c>
      <c r="E1361" s="223"/>
      <c r="F1361" s="52" t="s">
        <v>79</v>
      </c>
      <c r="G1361" s="52" t="s">
        <v>79</v>
      </c>
      <c r="H1361" s="53" t="s">
        <v>79</v>
      </c>
      <c r="I1361" s="27">
        <f>SUM(I1362:I1388)</f>
        <v>0</v>
      </c>
      <c r="J1361" s="34" t="s">
        <v>4</v>
      </c>
      <c r="K1361" s="27">
        <f>SUM(K1362:K1388)</f>
        <v>0</v>
      </c>
      <c r="L1361" s="54" t="s">
        <v>4</v>
      </c>
      <c r="AI1361" s="34" t="s">
        <v>116</v>
      </c>
      <c r="AS1361" s="27">
        <f>SUM(AJ1362:AJ1388)</f>
        <v>0</v>
      </c>
      <c r="AT1361" s="27">
        <f>SUM(AK1362:AK1388)</f>
        <v>0</v>
      </c>
      <c r="AU1361" s="27">
        <f>SUM(AL1362:AL1388)</f>
        <v>0</v>
      </c>
    </row>
    <row r="1362" spans="1:75" ht="13.5" customHeight="1">
      <c r="A1362" s="1" t="s">
        <v>2573</v>
      </c>
      <c r="B1362" s="2" t="s">
        <v>116</v>
      </c>
      <c r="C1362" s="2" t="s">
        <v>2574</v>
      </c>
      <c r="D1362" s="147" t="s">
        <v>2575</v>
      </c>
      <c r="E1362" s="148"/>
      <c r="F1362" s="2" t="s">
        <v>939</v>
      </c>
      <c r="G1362" s="55">
        <v>87.39</v>
      </c>
      <c r="H1362" s="56">
        <v>0</v>
      </c>
      <c r="I1362" s="55">
        <f>G1362*H1362</f>
        <v>0</v>
      </c>
      <c r="J1362" s="55">
        <v>0</v>
      </c>
      <c r="K1362" s="55">
        <f>G1362*J1362</f>
        <v>0</v>
      </c>
      <c r="L1362" s="57" t="s">
        <v>785</v>
      </c>
      <c r="Z1362" s="55">
        <f>IF(AQ1362="5",BJ1362,0)</f>
        <v>0</v>
      </c>
      <c r="AB1362" s="55">
        <f>IF(AQ1362="1",BH1362,0)</f>
        <v>0</v>
      </c>
      <c r="AC1362" s="55">
        <f>IF(AQ1362="1",BI1362,0)</f>
        <v>0</v>
      </c>
      <c r="AD1362" s="55">
        <f>IF(AQ1362="7",BH1362,0)</f>
        <v>0</v>
      </c>
      <c r="AE1362" s="55">
        <f>IF(AQ1362="7",BI1362,0)</f>
        <v>0</v>
      </c>
      <c r="AF1362" s="55">
        <f>IF(AQ1362="2",BH1362,0)</f>
        <v>0</v>
      </c>
      <c r="AG1362" s="55">
        <f>IF(AQ1362="2",BI1362,0)</f>
        <v>0</v>
      </c>
      <c r="AH1362" s="55">
        <f>IF(AQ1362="0",BJ1362,0)</f>
        <v>0</v>
      </c>
      <c r="AI1362" s="34" t="s">
        <v>116</v>
      </c>
      <c r="AJ1362" s="55">
        <f>IF(AN1362=0,I1362,0)</f>
        <v>0</v>
      </c>
      <c r="AK1362" s="55">
        <f>IF(AN1362=12,I1362,0)</f>
        <v>0</v>
      </c>
      <c r="AL1362" s="55">
        <f>IF(AN1362=21,I1362,0)</f>
        <v>0</v>
      </c>
      <c r="AN1362" s="55">
        <v>21</v>
      </c>
      <c r="AO1362" s="55">
        <f>H1362*0</f>
        <v>0</v>
      </c>
      <c r="AP1362" s="55">
        <f>H1362*(1-0)</f>
        <v>0</v>
      </c>
      <c r="AQ1362" s="58" t="s">
        <v>139</v>
      </c>
      <c r="AV1362" s="55">
        <f>AW1362+AX1362</f>
        <v>0</v>
      </c>
      <c r="AW1362" s="55">
        <f>G1362*AO1362</f>
        <v>0</v>
      </c>
      <c r="AX1362" s="55">
        <f>G1362*AP1362</f>
        <v>0</v>
      </c>
      <c r="AY1362" s="58" t="s">
        <v>2576</v>
      </c>
      <c r="AZ1362" s="58" t="s">
        <v>2344</v>
      </c>
      <c r="BA1362" s="34" t="s">
        <v>128</v>
      </c>
      <c r="BC1362" s="55">
        <f>AW1362+AX1362</f>
        <v>0</v>
      </c>
      <c r="BD1362" s="55">
        <f>H1362/(100-BE1362)*100</f>
        <v>0</v>
      </c>
      <c r="BE1362" s="55">
        <v>0</v>
      </c>
      <c r="BF1362" s="55">
        <f>K1362</f>
        <v>0</v>
      </c>
      <c r="BH1362" s="55">
        <f>G1362*AO1362</f>
        <v>0</v>
      </c>
      <c r="BI1362" s="55">
        <f>G1362*AP1362</f>
        <v>0</v>
      </c>
      <c r="BJ1362" s="55">
        <f>G1362*H1362</f>
        <v>0</v>
      </c>
      <c r="BK1362" s="55"/>
      <c r="BL1362" s="55"/>
      <c r="BW1362" s="55">
        <v>21</v>
      </c>
    </row>
    <row r="1363" spans="1:12" ht="14.4">
      <c r="A1363" s="59"/>
      <c r="D1363" s="60" t="s">
        <v>2577</v>
      </c>
      <c r="E1363" s="60" t="s">
        <v>4</v>
      </c>
      <c r="G1363" s="68">
        <v>87.39</v>
      </c>
      <c r="L1363" s="69"/>
    </row>
    <row r="1364" spans="1:75" ht="13.5" customHeight="1">
      <c r="A1364" s="1" t="s">
        <v>2578</v>
      </c>
      <c r="B1364" s="2" t="s">
        <v>116</v>
      </c>
      <c r="C1364" s="2" t="s">
        <v>2579</v>
      </c>
      <c r="D1364" s="147" t="s">
        <v>2580</v>
      </c>
      <c r="E1364" s="148"/>
      <c r="F1364" s="2" t="s">
        <v>374</v>
      </c>
      <c r="G1364" s="55">
        <v>2</v>
      </c>
      <c r="H1364" s="56">
        <v>0</v>
      </c>
      <c r="I1364" s="55">
        <f>G1364*H1364</f>
        <v>0</v>
      </c>
      <c r="J1364" s="55">
        <v>0</v>
      </c>
      <c r="K1364" s="55">
        <f>G1364*J1364</f>
        <v>0</v>
      </c>
      <c r="L1364" s="57" t="s">
        <v>785</v>
      </c>
      <c r="Z1364" s="55">
        <f>IF(AQ1364="5",BJ1364,0)</f>
        <v>0</v>
      </c>
      <c r="AB1364" s="55">
        <f>IF(AQ1364="1",BH1364,0)</f>
        <v>0</v>
      </c>
      <c r="AC1364" s="55">
        <f>IF(AQ1364="1",BI1364,0)</f>
        <v>0</v>
      </c>
      <c r="AD1364" s="55">
        <f>IF(AQ1364="7",BH1364,0)</f>
        <v>0</v>
      </c>
      <c r="AE1364" s="55">
        <f>IF(AQ1364="7",BI1364,0)</f>
        <v>0</v>
      </c>
      <c r="AF1364" s="55">
        <f>IF(AQ1364="2",BH1364,0)</f>
        <v>0</v>
      </c>
      <c r="AG1364" s="55">
        <f>IF(AQ1364="2",BI1364,0)</f>
        <v>0</v>
      </c>
      <c r="AH1364" s="55">
        <f>IF(AQ1364="0",BJ1364,0)</f>
        <v>0</v>
      </c>
      <c r="AI1364" s="34" t="s">
        <v>116</v>
      </c>
      <c r="AJ1364" s="55">
        <f>IF(AN1364=0,I1364,0)</f>
        <v>0</v>
      </c>
      <c r="AK1364" s="55">
        <f>IF(AN1364=12,I1364,0)</f>
        <v>0</v>
      </c>
      <c r="AL1364" s="55">
        <f>IF(AN1364=21,I1364,0)</f>
        <v>0</v>
      </c>
      <c r="AN1364" s="55">
        <v>21</v>
      </c>
      <c r="AO1364" s="55">
        <f>H1364*0</f>
        <v>0</v>
      </c>
      <c r="AP1364" s="55">
        <f>H1364*(1-0)</f>
        <v>0</v>
      </c>
      <c r="AQ1364" s="58" t="s">
        <v>120</v>
      </c>
      <c r="AV1364" s="55">
        <f>AW1364+AX1364</f>
        <v>0</v>
      </c>
      <c r="AW1364" s="55">
        <f>G1364*AO1364</f>
        <v>0</v>
      </c>
      <c r="AX1364" s="55">
        <f>G1364*AP1364</f>
        <v>0</v>
      </c>
      <c r="AY1364" s="58" t="s">
        <v>2576</v>
      </c>
      <c r="AZ1364" s="58" t="s">
        <v>2344</v>
      </c>
      <c r="BA1364" s="34" t="s">
        <v>128</v>
      </c>
      <c r="BC1364" s="55">
        <f>AW1364+AX1364</f>
        <v>0</v>
      </c>
      <c r="BD1364" s="55">
        <f>H1364/(100-BE1364)*100</f>
        <v>0</v>
      </c>
      <c r="BE1364" s="55">
        <v>0</v>
      </c>
      <c r="BF1364" s="55">
        <f>K1364</f>
        <v>0</v>
      </c>
      <c r="BH1364" s="55">
        <f>G1364*AO1364</f>
        <v>0</v>
      </c>
      <c r="BI1364" s="55">
        <f>G1364*AP1364</f>
        <v>0</v>
      </c>
      <c r="BJ1364" s="55">
        <f>G1364*H1364</f>
        <v>0</v>
      </c>
      <c r="BK1364" s="55"/>
      <c r="BL1364" s="55"/>
      <c r="BW1364" s="55">
        <v>21</v>
      </c>
    </row>
    <row r="1365" spans="1:12" ht="14.4">
      <c r="A1365" s="59"/>
      <c r="D1365" s="60" t="s">
        <v>130</v>
      </c>
      <c r="E1365" s="60" t="s">
        <v>4</v>
      </c>
      <c r="G1365" s="68">
        <v>2</v>
      </c>
      <c r="L1365" s="69"/>
    </row>
    <row r="1366" spans="1:75" ht="13.5" customHeight="1">
      <c r="A1366" s="1" t="s">
        <v>2581</v>
      </c>
      <c r="B1366" s="2" t="s">
        <v>116</v>
      </c>
      <c r="C1366" s="2" t="s">
        <v>2582</v>
      </c>
      <c r="D1366" s="147" t="s">
        <v>2583</v>
      </c>
      <c r="E1366" s="148"/>
      <c r="F1366" s="2" t="s">
        <v>2584</v>
      </c>
      <c r="G1366" s="55">
        <v>4</v>
      </c>
      <c r="H1366" s="56">
        <v>0</v>
      </c>
      <c r="I1366" s="55">
        <f>G1366*H1366</f>
        <v>0</v>
      </c>
      <c r="J1366" s="55">
        <v>0</v>
      </c>
      <c r="K1366" s="55">
        <f>G1366*J1366</f>
        <v>0</v>
      </c>
      <c r="L1366" s="57" t="s">
        <v>785</v>
      </c>
      <c r="Z1366" s="55">
        <f>IF(AQ1366="5",BJ1366,0)</f>
        <v>0</v>
      </c>
      <c r="AB1366" s="55">
        <f>IF(AQ1366="1",BH1366,0)</f>
        <v>0</v>
      </c>
      <c r="AC1366" s="55">
        <f>IF(AQ1366="1",BI1366,0)</f>
        <v>0</v>
      </c>
      <c r="AD1366" s="55">
        <f>IF(AQ1366="7",BH1366,0)</f>
        <v>0</v>
      </c>
      <c r="AE1366" s="55">
        <f>IF(AQ1366="7",BI1366,0)</f>
        <v>0</v>
      </c>
      <c r="AF1366" s="55">
        <f>IF(AQ1366="2",BH1366,0)</f>
        <v>0</v>
      </c>
      <c r="AG1366" s="55">
        <f>IF(AQ1366="2",BI1366,0)</f>
        <v>0</v>
      </c>
      <c r="AH1366" s="55">
        <f>IF(AQ1366="0",BJ1366,0)</f>
        <v>0</v>
      </c>
      <c r="AI1366" s="34" t="s">
        <v>116</v>
      </c>
      <c r="AJ1366" s="55">
        <f>IF(AN1366=0,I1366,0)</f>
        <v>0</v>
      </c>
      <c r="AK1366" s="55">
        <f>IF(AN1366=12,I1366,0)</f>
        <v>0</v>
      </c>
      <c r="AL1366" s="55">
        <f>IF(AN1366=21,I1366,0)</f>
        <v>0</v>
      </c>
      <c r="AN1366" s="55">
        <v>21</v>
      </c>
      <c r="AO1366" s="55">
        <f>H1366*0</f>
        <v>0</v>
      </c>
      <c r="AP1366" s="55">
        <f>H1366*(1-0)</f>
        <v>0</v>
      </c>
      <c r="AQ1366" s="58" t="s">
        <v>120</v>
      </c>
      <c r="AV1366" s="55">
        <f>AW1366+AX1366</f>
        <v>0</v>
      </c>
      <c r="AW1366" s="55">
        <f>G1366*AO1366</f>
        <v>0</v>
      </c>
      <c r="AX1366" s="55">
        <f>G1366*AP1366</f>
        <v>0</v>
      </c>
      <c r="AY1366" s="58" t="s">
        <v>2576</v>
      </c>
      <c r="AZ1366" s="58" t="s">
        <v>2344</v>
      </c>
      <c r="BA1366" s="34" t="s">
        <v>128</v>
      </c>
      <c r="BC1366" s="55">
        <f>AW1366+AX1366</f>
        <v>0</v>
      </c>
      <c r="BD1366" s="55">
        <f>H1366/(100-BE1366)*100</f>
        <v>0</v>
      </c>
      <c r="BE1366" s="55">
        <v>0</v>
      </c>
      <c r="BF1366" s="55">
        <f>K1366</f>
        <v>0</v>
      </c>
      <c r="BH1366" s="55">
        <f>G1366*AO1366</f>
        <v>0</v>
      </c>
      <c r="BI1366" s="55">
        <f>G1366*AP1366</f>
        <v>0</v>
      </c>
      <c r="BJ1366" s="55">
        <f>G1366*H1366</f>
        <v>0</v>
      </c>
      <c r="BK1366" s="55"/>
      <c r="BL1366" s="55"/>
      <c r="BW1366" s="55">
        <v>21</v>
      </c>
    </row>
    <row r="1367" spans="1:12" ht="14.4">
      <c r="A1367" s="59"/>
      <c r="D1367" s="60" t="s">
        <v>2585</v>
      </c>
      <c r="E1367" s="60" t="s">
        <v>4</v>
      </c>
      <c r="G1367" s="68">
        <v>4</v>
      </c>
      <c r="L1367" s="69"/>
    </row>
    <row r="1368" spans="1:75" ht="13.5" customHeight="1">
      <c r="A1368" s="1" t="s">
        <v>2586</v>
      </c>
      <c r="B1368" s="2" t="s">
        <v>116</v>
      </c>
      <c r="C1368" s="2" t="s">
        <v>2587</v>
      </c>
      <c r="D1368" s="147" t="s">
        <v>2588</v>
      </c>
      <c r="E1368" s="148"/>
      <c r="F1368" s="2" t="s">
        <v>939</v>
      </c>
      <c r="G1368" s="55">
        <v>7.98</v>
      </c>
      <c r="H1368" s="56">
        <v>0</v>
      </c>
      <c r="I1368" s="55">
        <f>G1368*H1368</f>
        <v>0</v>
      </c>
      <c r="J1368" s="55">
        <v>0</v>
      </c>
      <c r="K1368" s="55">
        <f>G1368*J1368</f>
        <v>0</v>
      </c>
      <c r="L1368" s="57" t="s">
        <v>785</v>
      </c>
      <c r="Z1368" s="55">
        <f>IF(AQ1368="5",BJ1368,0)</f>
        <v>0</v>
      </c>
      <c r="AB1368" s="55">
        <f>IF(AQ1368="1",BH1368,0)</f>
        <v>0</v>
      </c>
      <c r="AC1368" s="55">
        <f>IF(AQ1368="1",BI1368,0)</f>
        <v>0</v>
      </c>
      <c r="AD1368" s="55">
        <f>IF(AQ1368="7",BH1368,0)</f>
        <v>0</v>
      </c>
      <c r="AE1368" s="55">
        <f>IF(AQ1368="7",BI1368,0)</f>
        <v>0</v>
      </c>
      <c r="AF1368" s="55">
        <f>IF(AQ1368="2",BH1368,0)</f>
        <v>0</v>
      </c>
      <c r="AG1368" s="55">
        <f>IF(AQ1368="2",BI1368,0)</f>
        <v>0</v>
      </c>
      <c r="AH1368" s="55">
        <f>IF(AQ1368="0",BJ1368,0)</f>
        <v>0</v>
      </c>
      <c r="AI1368" s="34" t="s">
        <v>116</v>
      </c>
      <c r="AJ1368" s="55">
        <f>IF(AN1368=0,I1368,0)</f>
        <v>0</v>
      </c>
      <c r="AK1368" s="55">
        <f>IF(AN1368=12,I1368,0)</f>
        <v>0</v>
      </c>
      <c r="AL1368" s="55">
        <f>IF(AN1368=21,I1368,0)</f>
        <v>0</v>
      </c>
      <c r="AN1368" s="55">
        <v>21</v>
      </c>
      <c r="AO1368" s="55">
        <f>H1368*0</f>
        <v>0</v>
      </c>
      <c r="AP1368" s="55">
        <f>H1368*(1-0)</f>
        <v>0</v>
      </c>
      <c r="AQ1368" s="58" t="s">
        <v>139</v>
      </c>
      <c r="AV1368" s="55">
        <f>AW1368+AX1368</f>
        <v>0</v>
      </c>
      <c r="AW1368" s="55">
        <f>G1368*AO1368</f>
        <v>0</v>
      </c>
      <c r="AX1368" s="55">
        <f>G1368*AP1368</f>
        <v>0</v>
      </c>
      <c r="AY1368" s="58" t="s">
        <v>2576</v>
      </c>
      <c r="AZ1368" s="58" t="s">
        <v>2344</v>
      </c>
      <c r="BA1368" s="34" t="s">
        <v>128</v>
      </c>
      <c r="BC1368" s="55">
        <f>AW1368+AX1368</f>
        <v>0</v>
      </c>
      <c r="BD1368" s="55">
        <f>H1368/(100-BE1368)*100</f>
        <v>0</v>
      </c>
      <c r="BE1368" s="55">
        <v>0</v>
      </c>
      <c r="BF1368" s="55">
        <f>K1368</f>
        <v>0</v>
      </c>
      <c r="BH1368" s="55">
        <f>G1368*AO1368</f>
        <v>0</v>
      </c>
      <c r="BI1368" s="55">
        <f>G1368*AP1368</f>
        <v>0</v>
      </c>
      <c r="BJ1368" s="55">
        <f>G1368*H1368</f>
        <v>0</v>
      </c>
      <c r="BK1368" s="55"/>
      <c r="BL1368" s="55"/>
      <c r="BW1368" s="55">
        <v>21</v>
      </c>
    </row>
    <row r="1369" spans="1:12" ht="14.4">
      <c r="A1369" s="59"/>
      <c r="D1369" s="60" t="s">
        <v>2589</v>
      </c>
      <c r="E1369" s="60" t="s">
        <v>2590</v>
      </c>
      <c r="G1369" s="68">
        <v>7.98</v>
      </c>
      <c r="L1369" s="69"/>
    </row>
    <row r="1370" spans="1:75" ht="13.5" customHeight="1">
      <c r="A1370" s="1" t="s">
        <v>2591</v>
      </c>
      <c r="B1370" s="2" t="s">
        <v>116</v>
      </c>
      <c r="C1370" s="2" t="s">
        <v>2592</v>
      </c>
      <c r="D1370" s="147" t="s">
        <v>2593</v>
      </c>
      <c r="E1370" s="148"/>
      <c r="F1370" s="2" t="s">
        <v>939</v>
      </c>
      <c r="G1370" s="55">
        <v>31.92</v>
      </c>
      <c r="H1370" s="56">
        <v>0</v>
      </c>
      <c r="I1370" s="55">
        <f>G1370*H1370</f>
        <v>0</v>
      </c>
      <c r="J1370" s="55">
        <v>0</v>
      </c>
      <c r="K1370" s="55">
        <f>G1370*J1370</f>
        <v>0</v>
      </c>
      <c r="L1370" s="57" t="s">
        <v>785</v>
      </c>
      <c r="Z1370" s="55">
        <f>IF(AQ1370="5",BJ1370,0)</f>
        <v>0</v>
      </c>
      <c r="AB1370" s="55">
        <f>IF(AQ1370="1",BH1370,0)</f>
        <v>0</v>
      </c>
      <c r="AC1370" s="55">
        <f>IF(AQ1370="1",BI1370,0)</f>
        <v>0</v>
      </c>
      <c r="AD1370" s="55">
        <f>IF(AQ1370="7",BH1370,0)</f>
        <v>0</v>
      </c>
      <c r="AE1370" s="55">
        <f>IF(AQ1370="7",BI1370,0)</f>
        <v>0</v>
      </c>
      <c r="AF1370" s="55">
        <f>IF(AQ1370="2",BH1370,0)</f>
        <v>0</v>
      </c>
      <c r="AG1370" s="55">
        <f>IF(AQ1370="2",BI1370,0)</f>
        <v>0</v>
      </c>
      <c r="AH1370" s="55">
        <f>IF(AQ1370="0",BJ1370,0)</f>
        <v>0</v>
      </c>
      <c r="AI1370" s="34" t="s">
        <v>116</v>
      </c>
      <c r="AJ1370" s="55">
        <f>IF(AN1370=0,I1370,0)</f>
        <v>0</v>
      </c>
      <c r="AK1370" s="55">
        <f>IF(AN1370=12,I1370,0)</f>
        <v>0</v>
      </c>
      <c r="AL1370" s="55">
        <f>IF(AN1370=21,I1370,0)</f>
        <v>0</v>
      </c>
      <c r="AN1370" s="55">
        <v>21</v>
      </c>
      <c r="AO1370" s="55">
        <f>H1370*0</f>
        <v>0</v>
      </c>
      <c r="AP1370" s="55">
        <f>H1370*(1-0)</f>
        <v>0</v>
      </c>
      <c r="AQ1370" s="58" t="s">
        <v>139</v>
      </c>
      <c r="AV1370" s="55">
        <f>AW1370+AX1370</f>
        <v>0</v>
      </c>
      <c r="AW1370" s="55">
        <f>G1370*AO1370</f>
        <v>0</v>
      </c>
      <c r="AX1370" s="55">
        <f>G1370*AP1370</f>
        <v>0</v>
      </c>
      <c r="AY1370" s="58" t="s">
        <v>2576</v>
      </c>
      <c r="AZ1370" s="58" t="s">
        <v>2344</v>
      </c>
      <c r="BA1370" s="34" t="s">
        <v>128</v>
      </c>
      <c r="BC1370" s="55">
        <f>AW1370+AX1370</f>
        <v>0</v>
      </c>
      <c r="BD1370" s="55">
        <f>H1370/(100-BE1370)*100</f>
        <v>0</v>
      </c>
      <c r="BE1370" s="55">
        <v>0</v>
      </c>
      <c r="BF1370" s="55">
        <f>K1370</f>
        <v>0</v>
      </c>
      <c r="BH1370" s="55">
        <f>G1370*AO1370</f>
        <v>0</v>
      </c>
      <c r="BI1370" s="55">
        <f>G1370*AP1370</f>
        <v>0</v>
      </c>
      <c r="BJ1370" s="55">
        <f>G1370*H1370</f>
        <v>0</v>
      </c>
      <c r="BK1370" s="55"/>
      <c r="BL1370" s="55"/>
      <c r="BW1370" s="55">
        <v>21</v>
      </c>
    </row>
    <row r="1371" spans="1:12" ht="13.5" customHeight="1">
      <c r="A1371" s="59"/>
      <c r="D1371" s="218" t="s">
        <v>2594</v>
      </c>
      <c r="E1371" s="219"/>
      <c r="F1371" s="219"/>
      <c r="G1371" s="219"/>
      <c r="H1371" s="220"/>
      <c r="I1371" s="219"/>
      <c r="J1371" s="219"/>
      <c r="K1371" s="219"/>
      <c r="L1371" s="221"/>
    </row>
    <row r="1372" spans="1:12" ht="14.4">
      <c r="A1372" s="59"/>
      <c r="D1372" s="60" t="s">
        <v>2595</v>
      </c>
      <c r="E1372" s="60" t="s">
        <v>4</v>
      </c>
      <c r="G1372" s="68">
        <v>31.92</v>
      </c>
      <c r="L1372" s="69"/>
    </row>
    <row r="1373" spans="1:75" ht="13.5" customHeight="1">
      <c r="A1373" s="1" t="s">
        <v>2596</v>
      </c>
      <c r="B1373" s="2" t="s">
        <v>116</v>
      </c>
      <c r="C1373" s="2" t="s">
        <v>2597</v>
      </c>
      <c r="D1373" s="147" t="s">
        <v>2598</v>
      </c>
      <c r="E1373" s="148"/>
      <c r="F1373" s="2" t="s">
        <v>939</v>
      </c>
      <c r="G1373" s="55">
        <v>24.45</v>
      </c>
      <c r="H1373" s="56">
        <v>0</v>
      </c>
      <c r="I1373" s="55">
        <f>G1373*H1373</f>
        <v>0</v>
      </c>
      <c r="J1373" s="55">
        <v>0</v>
      </c>
      <c r="K1373" s="55">
        <f>G1373*J1373</f>
        <v>0</v>
      </c>
      <c r="L1373" s="57" t="s">
        <v>785</v>
      </c>
      <c r="Z1373" s="55">
        <f>IF(AQ1373="5",BJ1373,0)</f>
        <v>0</v>
      </c>
      <c r="AB1373" s="55">
        <f>IF(AQ1373="1",BH1373,0)</f>
        <v>0</v>
      </c>
      <c r="AC1373" s="55">
        <f>IF(AQ1373="1",BI1373,0)</f>
        <v>0</v>
      </c>
      <c r="AD1373" s="55">
        <f>IF(AQ1373="7",BH1373,0)</f>
        <v>0</v>
      </c>
      <c r="AE1373" s="55">
        <f>IF(AQ1373="7",BI1373,0)</f>
        <v>0</v>
      </c>
      <c r="AF1373" s="55">
        <f>IF(AQ1373="2",BH1373,0)</f>
        <v>0</v>
      </c>
      <c r="AG1373" s="55">
        <f>IF(AQ1373="2",BI1373,0)</f>
        <v>0</v>
      </c>
      <c r="AH1373" s="55">
        <f>IF(AQ1373="0",BJ1373,0)</f>
        <v>0</v>
      </c>
      <c r="AI1373" s="34" t="s">
        <v>116</v>
      </c>
      <c r="AJ1373" s="55">
        <f>IF(AN1373=0,I1373,0)</f>
        <v>0</v>
      </c>
      <c r="AK1373" s="55">
        <f>IF(AN1373=12,I1373,0)</f>
        <v>0</v>
      </c>
      <c r="AL1373" s="55">
        <f>IF(AN1373=21,I1373,0)</f>
        <v>0</v>
      </c>
      <c r="AN1373" s="55">
        <v>21</v>
      </c>
      <c r="AO1373" s="55">
        <f>H1373*0</f>
        <v>0</v>
      </c>
      <c r="AP1373" s="55">
        <f>H1373*(1-0)</f>
        <v>0</v>
      </c>
      <c r="AQ1373" s="58" t="s">
        <v>139</v>
      </c>
      <c r="AV1373" s="55">
        <f>AW1373+AX1373</f>
        <v>0</v>
      </c>
      <c r="AW1373" s="55">
        <f>G1373*AO1373</f>
        <v>0</v>
      </c>
      <c r="AX1373" s="55">
        <f>G1373*AP1373</f>
        <v>0</v>
      </c>
      <c r="AY1373" s="58" t="s">
        <v>2576</v>
      </c>
      <c r="AZ1373" s="58" t="s">
        <v>2344</v>
      </c>
      <c r="BA1373" s="34" t="s">
        <v>128</v>
      </c>
      <c r="BC1373" s="55">
        <f>AW1373+AX1373</f>
        <v>0</v>
      </c>
      <c r="BD1373" s="55">
        <f>H1373/(100-BE1373)*100</f>
        <v>0</v>
      </c>
      <c r="BE1373" s="55">
        <v>0</v>
      </c>
      <c r="BF1373" s="55">
        <f>K1373</f>
        <v>0</v>
      </c>
      <c r="BH1373" s="55">
        <f>G1373*AO1373</f>
        <v>0</v>
      </c>
      <c r="BI1373" s="55">
        <f>G1373*AP1373</f>
        <v>0</v>
      </c>
      <c r="BJ1373" s="55">
        <f>G1373*H1373</f>
        <v>0</v>
      </c>
      <c r="BK1373" s="55"/>
      <c r="BL1373" s="55"/>
      <c r="BW1373" s="55">
        <v>21</v>
      </c>
    </row>
    <row r="1374" spans="1:12" ht="13.5" customHeight="1">
      <c r="A1374" s="59"/>
      <c r="D1374" s="218" t="s">
        <v>2599</v>
      </c>
      <c r="E1374" s="219"/>
      <c r="F1374" s="219"/>
      <c r="G1374" s="219"/>
      <c r="H1374" s="220"/>
      <c r="I1374" s="219"/>
      <c r="J1374" s="219"/>
      <c r="K1374" s="219"/>
      <c r="L1374" s="221"/>
    </row>
    <row r="1375" spans="1:12" ht="14.4">
      <c r="A1375" s="59"/>
      <c r="D1375" s="60" t="s">
        <v>2600</v>
      </c>
      <c r="E1375" s="60" t="s">
        <v>2601</v>
      </c>
      <c r="G1375" s="68">
        <v>1.6</v>
      </c>
      <c r="L1375" s="69"/>
    </row>
    <row r="1376" spans="1:12" ht="14.4">
      <c r="A1376" s="59"/>
      <c r="D1376" s="60" t="s">
        <v>2602</v>
      </c>
      <c r="E1376" s="60" t="s">
        <v>2603</v>
      </c>
      <c r="G1376" s="68">
        <v>6.71</v>
      </c>
      <c r="L1376" s="69"/>
    </row>
    <row r="1377" spans="1:12" ht="14.4">
      <c r="A1377" s="59"/>
      <c r="D1377" s="60" t="s">
        <v>2604</v>
      </c>
      <c r="E1377" s="60" t="s">
        <v>2605</v>
      </c>
      <c r="G1377" s="68">
        <v>16.14</v>
      </c>
      <c r="L1377" s="69"/>
    </row>
    <row r="1378" spans="1:75" ht="13.5" customHeight="1">
      <c r="A1378" s="1" t="s">
        <v>2606</v>
      </c>
      <c r="B1378" s="2" t="s">
        <v>116</v>
      </c>
      <c r="C1378" s="2" t="s">
        <v>2607</v>
      </c>
      <c r="D1378" s="147" t="s">
        <v>2608</v>
      </c>
      <c r="E1378" s="148"/>
      <c r="F1378" s="2" t="s">
        <v>939</v>
      </c>
      <c r="G1378" s="55">
        <v>122.25</v>
      </c>
      <c r="H1378" s="56">
        <v>0</v>
      </c>
      <c r="I1378" s="55">
        <f>G1378*H1378</f>
        <v>0</v>
      </c>
      <c r="J1378" s="55">
        <v>0</v>
      </c>
      <c r="K1378" s="55">
        <f>G1378*J1378</f>
        <v>0</v>
      </c>
      <c r="L1378" s="57" t="s">
        <v>785</v>
      </c>
      <c r="Z1378" s="55">
        <f>IF(AQ1378="5",BJ1378,0)</f>
        <v>0</v>
      </c>
      <c r="AB1378" s="55">
        <f>IF(AQ1378="1",BH1378,0)</f>
        <v>0</v>
      </c>
      <c r="AC1378" s="55">
        <f>IF(AQ1378="1",BI1378,0)</f>
        <v>0</v>
      </c>
      <c r="AD1378" s="55">
        <f>IF(AQ1378="7",BH1378,0)</f>
        <v>0</v>
      </c>
      <c r="AE1378" s="55">
        <f>IF(AQ1378="7",BI1378,0)</f>
        <v>0</v>
      </c>
      <c r="AF1378" s="55">
        <f>IF(AQ1378="2",BH1378,0)</f>
        <v>0</v>
      </c>
      <c r="AG1378" s="55">
        <f>IF(AQ1378="2",BI1378,0)</f>
        <v>0</v>
      </c>
      <c r="AH1378" s="55">
        <f>IF(AQ1378="0",BJ1378,0)</f>
        <v>0</v>
      </c>
      <c r="AI1378" s="34" t="s">
        <v>116</v>
      </c>
      <c r="AJ1378" s="55">
        <f>IF(AN1378=0,I1378,0)</f>
        <v>0</v>
      </c>
      <c r="AK1378" s="55">
        <f>IF(AN1378=12,I1378,0)</f>
        <v>0</v>
      </c>
      <c r="AL1378" s="55">
        <f>IF(AN1378=21,I1378,0)</f>
        <v>0</v>
      </c>
      <c r="AN1378" s="55">
        <v>21</v>
      </c>
      <c r="AO1378" s="55">
        <f>H1378*0</f>
        <v>0</v>
      </c>
      <c r="AP1378" s="55">
        <f>H1378*(1-0)</f>
        <v>0</v>
      </c>
      <c r="AQ1378" s="58" t="s">
        <v>139</v>
      </c>
      <c r="AV1378" s="55">
        <f>AW1378+AX1378</f>
        <v>0</v>
      </c>
      <c r="AW1378" s="55">
        <f>G1378*AO1378</f>
        <v>0</v>
      </c>
      <c r="AX1378" s="55">
        <f>G1378*AP1378</f>
        <v>0</v>
      </c>
      <c r="AY1378" s="58" t="s">
        <v>2576</v>
      </c>
      <c r="AZ1378" s="58" t="s">
        <v>2344</v>
      </c>
      <c r="BA1378" s="34" t="s">
        <v>128</v>
      </c>
      <c r="BC1378" s="55">
        <f>AW1378+AX1378</f>
        <v>0</v>
      </c>
      <c r="BD1378" s="55">
        <f>H1378/(100-BE1378)*100</f>
        <v>0</v>
      </c>
      <c r="BE1378" s="55">
        <v>0</v>
      </c>
      <c r="BF1378" s="55">
        <f>K1378</f>
        <v>0</v>
      </c>
      <c r="BH1378" s="55">
        <f>G1378*AO1378</f>
        <v>0</v>
      </c>
      <c r="BI1378" s="55">
        <f>G1378*AP1378</f>
        <v>0</v>
      </c>
      <c r="BJ1378" s="55">
        <f>G1378*H1378</f>
        <v>0</v>
      </c>
      <c r="BK1378" s="55"/>
      <c r="BL1378" s="55"/>
      <c r="BW1378" s="55">
        <v>21</v>
      </c>
    </row>
    <row r="1379" spans="1:12" ht="14.4">
      <c r="A1379" s="59"/>
      <c r="D1379" s="60" t="s">
        <v>2609</v>
      </c>
      <c r="E1379" s="60" t="s">
        <v>4</v>
      </c>
      <c r="G1379" s="68">
        <v>122.25</v>
      </c>
      <c r="L1379" s="69"/>
    </row>
    <row r="1380" spans="1:75" ht="13.5" customHeight="1">
      <c r="A1380" s="1" t="s">
        <v>2610</v>
      </c>
      <c r="B1380" s="2" t="s">
        <v>116</v>
      </c>
      <c r="C1380" s="2" t="s">
        <v>2611</v>
      </c>
      <c r="D1380" s="147" t="s">
        <v>2612</v>
      </c>
      <c r="E1380" s="148"/>
      <c r="F1380" s="2" t="s">
        <v>939</v>
      </c>
      <c r="G1380" s="55">
        <v>95.37</v>
      </c>
      <c r="H1380" s="56">
        <v>0</v>
      </c>
      <c r="I1380" s="55">
        <f>G1380*H1380</f>
        <v>0</v>
      </c>
      <c r="J1380" s="55">
        <v>0</v>
      </c>
      <c r="K1380" s="55">
        <f>G1380*J1380</f>
        <v>0</v>
      </c>
      <c r="L1380" s="57" t="s">
        <v>785</v>
      </c>
      <c r="Z1380" s="55">
        <f>IF(AQ1380="5",BJ1380,0)</f>
        <v>0</v>
      </c>
      <c r="AB1380" s="55">
        <f>IF(AQ1380="1",BH1380,0)</f>
        <v>0</v>
      </c>
      <c r="AC1380" s="55">
        <f>IF(AQ1380="1",BI1380,0)</f>
        <v>0</v>
      </c>
      <c r="AD1380" s="55">
        <f>IF(AQ1380="7",BH1380,0)</f>
        <v>0</v>
      </c>
      <c r="AE1380" s="55">
        <f>IF(AQ1380="7",BI1380,0)</f>
        <v>0</v>
      </c>
      <c r="AF1380" s="55">
        <f>IF(AQ1380="2",BH1380,0)</f>
        <v>0</v>
      </c>
      <c r="AG1380" s="55">
        <f>IF(AQ1380="2",BI1380,0)</f>
        <v>0</v>
      </c>
      <c r="AH1380" s="55">
        <f>IF(AQ1380="0",BJ1380,0)</f>
        <v>0</v>
      </c>
      <c r="AI1380" s="34" t="s">
        <v>116</v>
      </c>
      <c r="AJ1380" s="55">
        <f>IF(AN1380=0,I1380,0)</f>
        <v>0</v>
      </c>
      <c r="AK1380" s="55">
        <f>IF(AN1380=12,I1380,0)</f>
        <v>0</v>
      </c>
      <c r="AL1380" s="55">
        <f>IF(AN1380=21,I1380,0)</f>
        <v>0</v>
      </c>
      <c r="AN1380" s="55">
        <v>21</v>
      </c>
      <c r="AO1380" s="55">
        <f>H1380*0</f>
        <v>0</v>
      </c>
      <c r="AP1380" s="55">
        <f>H1380*(1-0)</f>
        <v>0</v>
      </c>
      <c r="AQ1380" s="58" t="s">
        <v>139</v>
      </c>
      <c r="AV1380" s="55">
        <f>AW1380+AX1380</f>
        <v>0</v>
      </c>
      <c r="AW1380" s="55">
        <f>G1380*AO1380</f>
        <v>0</v>
      </c>
      <c r="AX1380" s="55">
        <f>G1380*AP1380</f>
        <v>0</v>
      </c>
      <c r="AY1380" s="58" t="s">
        <v>2576</v>
      </c>
      <c r="AZ1380" s="58" t="s">
        <v>2344</v>
      </c>
      <c r="BA1380" s="34" t="s">
        <v>128</v>
      </c>
      <c r="BC1380" s="55">
        <f>AW1380+AX1380</f>
        <v>0</v>
      </c>
      <c r="BD1380" s="55">
        <f>H1380/(100-BE1380)*100</f>
        <v>0</v>
      </c>
      <c r="BE1380" s="55">
        <v>0</v>
      </c>
      <c r="BF1380" s="55">
        <f>K1380</f>
        <v>0</v>
      </c>
      <c r="BH1380" s="55">
        <f>G1380*AO1380</f>
        <v>0</v>
      </c>
      <c r="BI1380" s="55">
        <f>G1380*AP1380</f>
        <v>0</v>
      </c>
      <c r="BJ1380" s="55">
        <f>G1380*H1380</f>
        <v>0</v>
      </c>
      <c r="BK1380" s="55"/>
      <c r="BL1380" s="55"/>
      <c r="BW1380" s="55">
        <v>21</v>
      </c>
    </row>
    <row r="1381" spans="1:12" ht="14.4">
      <c r="A1381" s="59"/>
      <c r="D1381" s="60" t="s">
        <v>2613</v>
      </c>
      <c r="E1381" s="60" t="s">
        <v>4</v>
      </c>
      <c r="G1381" s="68">
        <v>95.37</v>
      </c>
      <c r="L1381" s="69"/>
    </row>
    <row r="1382" spans="1:75" ht="13.5" customHeight="1">
      <c r="A1382" s="1" t="s">
        <v>2614</v>
      </c>
      <c r="B1382" s="2" t="s">
        <v>116</v>
      </c>
      <c r="C1382" s="2" t="s">
        <v>2615</v>
      </c>
      <c r="D1382" s="147" t="s">
        <v>2616</v>
      </c>
      <c r="E1382" s="148"/>
      <c r="F1382" s="2" t="s">
        <v>939</v>
      </c>
      <c r="G1382" s="55">
        <v>286.11</v>
      </c>
      <c r="H1382" s="56">
        <v>0</v>
      </c>
      <c r="I1382" s="55">
        <f>G1382*H1382</f>
        <v>0</v>
      </c>
      <c r="J1382" s="55">
        <v>0</v>
      </c>
      <c r="K1382" s="55">
        <f>G1382*J1382</f>
        <v>0</v>
      </c>
      <c r="L1382" s="57" t="s">
        <v>785</v>
      </c>
      <c r="Z1382" s="55">
        <f>IF(AQ1382="5",BJ1382,0)</f>
        <v>0</v>
      </c>
      <c r="AB1382" s="55">
        <f>IF(AQ1382="1",BH1382,0)</f>
        <v>0</v>
      </c>
      <c r="AC1382" s="55">
        <f>IF(AQ1382="1",BI1382,0)</f>
        <v>0</v>
      </c>
      <c r="AD1382" s="55">
        <f>IF(AQ1382="7",BH1382,0)</f>
        <v>0</v>
      </c>
      <c r="AE1382" s="55">
        <f>IF(AQ1382="7",BI1382,0)</f>
        <v>0</v>
      </c>
      <c r="AF1382" s="55">
        <f>IF(AQ1382="2",BH1382,0)</f>
        <v>0</v>
      </c>
      <c r="AG1382" s="55">
        <f>IF(AQ1382="2",BI1382,0)</f>
        <v>0</v>
      </c>
      <c r="AH1382" s="55">
        <f>IF(AQ1382="0",BJ1382,0)</f>
        <v>0</v>
      </c>
      <c r="AI1382" s="34" t="s">
        <v>116</v>
      </c>
      <c r="AJ1382" s="55">
        <f>IF(AN1382=0,I1382,0)</f>
        <v>0</v>
      </c>
      <c r="AK1382" s="55">
        <f>IF(AN1382=12,I1382,0)</f>
        <v>0</v>
      </c>
      <c r="AL1382" s="55">
        <f>IF(AN1382=21,I1382,0)</f>
        <v>0</v>
      </c>
      <c r="AN1382" s="55">
        <v>21</v>
      </c>
      <c r="AO1382" s="55">
        <f>H1382*0</f>
        <v>0</v>
      </c>
      <c r="AP1382" s="55">
        <f>H1382*(1-0)</f>
        <v>0</v>
      </c>
      <c r="AQ1382" s="58" t="s">
        <v>139</v>
      </c>
      <c r="AV1382" s="55">
        <f>AW1382+AX1382</f>
        <v>0</v>
      </c>
      <c r="AW1382" s="55">
        <f>G1382*AO1382</f>
        <v>0</v>
      </c>
      <c r="AX1382" s="55">
        <f>G1382*AP1382</f>
        <v>0</v>
      </c>
      <c r="AY1382" s="58" t="s">
        <v>2576</v>
      </c>
      <c r="AZ1382" s="58" t="s">
        <v>2344</v>
      </c>
      <c r="BA1382" s="34" t="s">
        <v>128</v>
      </c>
      <c r="BC1382" s="55">
        <f>AW1382+AX1382</f>
        <v>0</v>
      </c>
      <c r="BD1382" s="55">
        <f>H1382/(100-BE1382)*100</f>
        <v>0</v>
      </c>
      <c r="BE1382" s="55">
        <v>0</v>
      </c>
      <c r="BF1382" s="55">
        <f>K1382</f>
        <v>0</v>
      </c>
      <c r="BH1382" s="55">
        <f>G1382*AO1382</f>
        <v>0</v>
      </c>
      <c r="BI1382" s="55">
        <f>G1382*AP1382</f>
        <v>0</v>
      </c>
      <c r="BJ1382" s="55">
        <f>G1382*H1382</f>
        <v>0</v>
      </c>
      <c r="BK1382" s="55"/>
      <c r="BL1382" s="55"/>
      <c r="BW1382" s="55">
        <v>21</v>
      </c>
    </row>
    <row r="1383" spans="1:12" ht="14.4">
      <c r="A1383" s="59"/>
      <c r="D1383" s="60" t="s">
        <v>2617</v>
      </c>
      <c r="E1383" s="60" t="s">
        <v>4</v>
      </c>
      <c r="G1383" s="68">
        <v>286.11</v>
      </c>
      <c r="L1383" s="69"/>
    </row>
    <row r="1384" spans="1:75" ht="13.5" customHeight="1">
      <c r="A1384" s="1" t="s">
        <v>2618</v>
      </c>
      <c r="B1384" s="2" t="s">
        <v>116</v>
      </c>
      <c r="C1384" s="2" t="s">
        <v>2619</v>
      </c>
      <c r="D1384" s="147" t="s">
        <v>2620</v>
      </c>
      <c r="E1384" s="148"/>
      <c r="F1384" s="2" t="s">
        <v>939</v>
      </c>
      <c r="G1384" s="55">
        <v>70.92</v>
      </c>
      <c r="H1384" s="56">
        <v>0</v>
      </c>
      <c r="I1384" s="55">
        <f>G1384*H1384</f>
        <v>0</v>
      </c>
      <c r="J1384" s="55">
        <v>0</v>
      </c>
      <c r="K1384" s="55">
        <f>G1384*J1384</f>
        <v>0</v>
      </c>
      <c r="L1384" s="57" t="s">
        <v>785</v>
      </c>
      <c r="Z1384" s="55">
        <f>IF(AQ1384="5",BJ1384,0)</f>
        <v>0</v>
      </c>
      <c r="AB1384" s="55">
        <f>IF(AQ1384="1",BH1384,0)</f>
        <v>0</v>
      </c>
      <c r="AC1384" s="55">
        <f>IF(AQ1384="1",BI1384,0)</f>
        <v>0</v>
      </c>
      <c r="AD1384" s="55">
        <f>IF(AQ1384="7",BH1384,0)</f>
        <v>0</v>
      </c>
      <c r="AE1384" s="55">
        <f>IF(AQ1384="7",BI1384,0)</f>
        <v>0</v>
      </c>
      <c r="AF1384" s="55">
        <f>IF(AQ1384="2",BH1384,0)</f>
        <v>0</v>
      </c>
      <c r="AG1384" s="55">
        <f>IF(AQ1384="2",BI1384,0)</f>
        <v>0</v>
      </c>
      <c r="AH1384" s="55">
        <f>IF(AQ1384="0",BJ1384,0)</f>
        <v>0</v>
      </c>
      <c r="AI1384" s="34" t="s">
        <v>116</v>
      </c>
      <c r="AJ1384" s="55">
        <f>IF(AN1384=0,I1384,0)</f>
        <v>0</v>
      </c>
      <c r="AK1384" s="55">
        <f>IF(AN1384=12,I1384,0)</f>
        <v>0</v>
      </c>
      <c r="AL1384" s="55">
        <f>IF(AN1384=21,I1384,0)</f>
        <v>0</v>
      </c>
      <c r="AN1384" s="55">
        <v>21</v>
      </c>
      <c r="AO1384" s="55">
        <f>H1384*0.011728355</f>
        <v>0</v>
      </c>
      <c r="AP1384" s="55">
        <f>H1384*(1-0.011728355)</f>
        <v>0</v>
      </c>
      <c r="AQ1384" s="58" t="s">
        <v>139</v>
      </c>
      <c r="AV1384" s="55">
        <f>AW1384+AX1384</f>
        <v>0</v>
      </c>
      <c r="AW1384" s="55">
        <f>G1384*AO1384</f>
        <v>0</v>
      </c>
      <c r="AX1384" s="55">
        <f>G1384*AP1384</f>
        <v>0</v>
      </c>
      <c r="AY1384" s="58" t="s">
        <v>2576</v>
      </c>
      <c r="AZ1384" s="58" t="s">
        <v>2344</v>
      </c>
      <c r="BA1384" s="34" t="s">
        <v>128</v>
      </c>
      <c r="BC1384" s="55">
        <f>AW1384+AX1384</f>
        <v>0</v>
      </c>
      <c r="BD1384" s="55">
        <f>H1384/(100-BE1384)*100</f>
        <v>0</v>
      </c>
      <c r="BE1384" s="55">
        <v>0</v>
      </c>
      <c r="BF1384" s="55">
        <f>K1384</f>
        <v>0</v>
      </c>
      <c r="BH1384" s="55">
        <f>G1384*AO1384</f>
        <v>0</v>
      </c>
      <c r="BI1384" s="55">
        <f>G1384*AP1384</f>
        <v>0</v>
      </c>
      <c r="BJ1384" s="55">
        <f>G1384*H1384</f>
        <v>0</v>
      </c>
      <c r="BK1384" s="55"/>
      <c r="BL1384" s="55"/>
      <c r="BW1384" s="55">
        <v>21</v>
      </c>
    </row>
    <row r="1385" spans="1:12" ht="13.5" customHeight="1">
      <c r="A1385" s="59"/>
      <c r="D1385" s="218" t="s">
        <v>2621</v>
      </c>
      <c r="E1385" s="219"/>
      <c r="F1385" s="219"/>
      <c r="G1385" s="219"/>
      <c r="H1385" s="220"/>
      <c r="I1385" s="219"/>
      <c r="J1385" s="219"/>
      <c r="K1385" s="219"/>
      <c r="L1385" s="221"/>
    </row>
    <row r="1386" spans="1:12" ht="14.4">
      <c r="A1386" s="59"/>
      <c r="D1386" s="60" t="s">
        <v>2496</v>
      </c>
      <c r="E1386" s="60" t="s">
        <v>2622</v>
      </c>
      <c r="G1386" s="68">
        <v>64.54</v>
      </c>
      <c r="L1386" s="69"/>
    </row>
    <row r="1387" spans="1:12" ht="14.4">
      <c r="A1387" s="59"/>
      <c r="D1387" s="60" t="s">
        <v>2623</v>
      </c>
      <c r="E1387" s="60" t="s">
        <v>2624</v>
      </c>
      <c r="G1387" s="68">
        <v>6.38</v>
      </c>
      <c r="L1387" s="69"/>
    </row>
    <row r="1388" spans="1:75" ht="27" customHeight="1">
      <c r="A1388" s="1" t="s">
        <v>2625</v>
      </c>
      <c r="B1388" s="2" t="s">
        <v>116</v>
      </c>
      <c r="C1388" s="2" t="s">
        <v>2626</v>
      </c>
      <c r="D1388" s="147" t="s">
        <v>2627</v>
      </c>
      <c r="E1388" s="148"/>
      <c r="F1388" s="2" t="s">
        <v>939</v>
      </c>
      <c r="G1388" s="55">
        <v>24.45</v>
      </c>
      <c r="H1388" s="56">
        <v>0</v>
      </c>
      <c r="I1388" s="55">
        <f>G1388*H1388</f>
        <v>0</v>
      </c>
      <c r="J1388" s="55">
        <v>0</v>
      </c>
      <c r="K1388" s="55">
        <f>G1388*J1388</f>
        <v>0</v>
      </c>
      <c r="L1388" s="57" t="s">
        <v>124</v>
      </c>
      <c r="Z1388" s="55">
        <f>IF(AQ1388="5",BJ1388,0)</f>
        <v>0</v>
      </c>
      <c r="AB1388" s="55">
        <f>IF(AQ1388="1",BH1388,0)</f>
        <v>0</v>
      </c>
      <c r="AC1388" s="55">
        <f>IF(AQ1388="1",BI1388,0)</f>
        <v>0</v>
      </c>
      <c r="AD1388" s="55">
        <f>IF(AQ1388="7",BH1388,0)</f>
        <v>0</v>
      </c>
      <c r="AE1388" s="55">
        <f>IF(AQ1388="7",BI1388,0)</f>
        <v>0</v>
      </c>
      <c r="AF1388" s="55">
        <f>IF(AQ1388="2",BH1388,0)</f>
        <v>0</v>
      </c>
      <c r="AG1388" s="55">
        <f>IF(AQ1388="2",BI1388,0)</f>
        <v>0</v>
      </c>
      <c r="AH1388" s="55">
        <f>IF(AQ1388="0",BJ1388,0)</f>
        <v>0</v>
      </c>
      <c r="AI1388" s="34" t="s">
        <v>116</v>
      </c>
      <c r="AJ1388" s="55">
        <f>IF(AN1388=0,I1388,0)</f>
        <v>0</v>
      </c>
      <c r="AK1388" s="55">
        <f>IF(AN1388=12,I1388,0)</f>
        <v>0</v>
      </c>
      <c r="AL1388" s="55">
        <f>IF(AN1388=21,I1388,0)</f>
        <v>0</v>
      </c>
      <c r="AN1388" s="55">
        <v>21</v>
      </c>
      <c r="AO1388" s="55">
        <f>H1388*0</f>
        <v>0</v>
      </c>
      <c r="AP1388" s="55">
        <f>H1388*(1-0)</f>
        <v>0</v>
      </c>
      <c r="AQ1388" s="58" t="s">
        <v>139</v>
      </c>
      <c r="AV1388" s="55">
        <f>AW1388+AX1388</f>
        <v>0</v>
      </c>
      <c r="AW1388" s="55">
        <f>G1388*AO1388</f>
        <v>0</v>
      </c>
      <c r="AX1388" s="55">
        <f>G1388*AP1388</f>
        <v>0</v>
      </c>
      <c r="AY1388" s="58" t="s">
        <v>2576</v>
      </c>
      <c r="AZ1388" s="58" t="s">
        <v>2344</v>
      </c>
      <c r="BA1388" s="34" t="s">
        <v>128</v>
      </c>
      <c r="BC1388" s="55">
        <f>AW1388+AX1388</f>
        <v>0</v>
      </c>
      <c r="BD1388" s="55">
        <f>H1388/(100-BE1388)*100</f>
        <v>0</v>
      </c>
      <c r="BE1388" s="55">
        <v>0</v>
      </c>
      <c r="BF1388" s="55">
        <f>K1388</f>
        <v>0</v>
      </c>
      <c r="BH1388" s="55">
        <f>G1388*AO1388</f>
        <v>0</v>
      </c>
      <c r="BI1388" s="55">
        <f>G1388*AP1388</f>
        <v>0</v>
      </c>
      <c r="BJ1388" s="55">
        <f>G1388*H1388</f>
        <v>0</v>
      </c>
      <c r="BK1388" s="55"/>
      <c r="BL1388" s="55"/>
      <c r="BW1388" s="55">
        <v>21</v>
      </c>
    </row>
    <row r="1389" spans="1:12" ht="14.4">
      <c r="A1389" s="59"/>
      <c r="D1389" s="60" t="s">
        <v>2628</v>
      </c>
      <c r="E1389" s="60" t="s">
        <v>4</v>
      </c>
      <c r="G1389" s="68">
        <v>24.45</v>
      </c>
      <c r="L1389" s="69"/>
    </row>
    <row r="1390" spans="1:12" ht="14.4">
      <c r="A1390" s="50" t="s">
        <v>4</v>
      </c>
      <c r="B1390" s="51" t="s">
        <v>2629</v>
      </c>
      <c r="C1390" s="51" t="s">
        <v>4</v>
      </c>
      <c r="D1390" s="222" t="s">
        <v>2630</v>
      </c>
      <c r="E1390" s="223"/>
      <c r="F1390" s="52" t="s">
        <v>79</v>
      </c>
      <c r="G1390" s="52" t="s">
        <v>79</v>
      </c>
      <c r="H1390" s="53" t="s">
        <v>79</v>
      </c>
      <c r="I1390" s="27">
        <f>I1391+I1429+I1486+I1576+I1606+I1613+I1619+I1623+I1643+I1648+I1660+I1684+I1932+I1952+I1960+I1981+I2000+I2003+I2007+I2010+I2013</f>
        <v>0</v>
      </c>
      <c r="J1390" s="34" t="s">
        <v>4</v>
      </c>
      <c r="K1390" s="27">
        <f>K1391+K1429+K1486+K1576+K1606+K1613+K1619+K1623+K1643+K1648+K1660+K1684+K1932+K1952+K1960+K1981+K2000+K2003+K2007+K2010+K2013</f>
        <v>56.310049500000005</v>
      </c>
      <c r="L1390" s="54" t="s">
        <v>4</v>
      </c>
    </row>
    <row r="1391" spans="1:47" ht="14.4">
      <c r="A1391" s="50" t="s">
        <v>4</v>
      </c>
      <c r="B1391" s="51" t="s">
        <v>2629</v>
      </c>
      <c r="C1391" s="51" t="s">
        <v>118</v>
      </c>
      <c r="D1391" s="222" t="s">
        <v>119</v>
      </c>
      <c r="E1391" s="223"/>
      <c r="F1391" s="52" t="s">
        <v>79</v>
      </c>
      <c r="G1391" s="52" t="s">
        <v>79</v>
      </c>
      <c r="H1391" s="53" t="s">
        <v>79</v>
      </c>
      <c r="I1391" s="27">
        <f>SUM(I1392:I1428)</f>
        <v>0</v>
      </c>
      <c r="J1391" s="34" t="s">
        <v>4</v>
      </c>
      <c r="K1391" s="27">
        <f>SUM(K1392:K1428)</f>
        <v>0</v>
      </c>
      <c r="L1391" s="54" t="s">
        <v>4</v>
      </c>
      <c r="AI1391" s="34" t="s">
        <v>2629</v>
      </c>
      <c r="AS1391" s="27">
        <f>SUM(AJ1392:AJ1428)</f>
        <v>0</v>
      </c>
      <c r="AT1391" s="27">
        <f>SUM(AK1392:AK1428)</f>
        <v>0</v>
      </c>
      <c r="AU1391" s="27">
        <f>SUM(AL1392:AL1428)</f>
        <v>0</v>
      </c>
    </row>
    <row r="1392" spans="1:75" ht="13.5" customHeight="1">
      <c r="A1392" s="1" t="s">
        <v>2631</v>
      </c>
      <c r="B1392" s="2" t="s">
        <v>2629</v>
      </c>
      <c r="C1392" s="2" t="s">
        <v>2632</v>
      </c>
      <c r="D1392" s="147" t="s">
        <v>141</v>
      </c>
      <c r="E1392" s="148"/>
      <c r="F1392" s="2" t="s">
        <v>123</v>
      </c>
      <c r="G1392" s="55">
        <v>5</v>
      </c>
      <c r="H1392" s="56">
        <v>0</v>
      </c>
      <c r="I1392" s="55">
        <f>G1392*H1392</f>
        <v>0</v>
      </c>
      <c r="J1392" s="55">
        <v>0</v>
      </c>
      <c r="K1392" s="55">
        <f>G1392*J1392</f>
        <v>0</v>
      </c>
      <c r="L1392" s="57" t="s">
        <v>124</v>
      </c>
      <c r="Z1392" s="55">
        <f>IF(AQ1392="5",BJ1392,0)</f>
        <v>0</v>
      </c>
      <c r="AB1392" s="55">
        <f>IF(AQ1392="1",BH1392,0)</f>
        <v>0</v>
      </c>
      <c r="AC1392" s="55">
        <f>IF(AQ1392="1",BI1392,0)</f>
        <v>0</v>
      </c>
      <c r="AD1392" s="55">
        <f>IF(AQ1392="7",BH1392,0)</f>
        <v>0</v>
      </c>
      <c r="AE1392" s="55">
        <f>IF(AQ1392="7",BI1392,0)</f>
        <v>0</v>
      </c>
      <c r="AF1392" s="55">
        <f>IF(AQ1392="2",BH1392,0)</f>
        <v>0</v>
      </c>
      <c r="AG1392" s="55">
        <f>IF(AQ1392="2",BI1392,0)</f>
        <v>0</v>
      </c>
      <c r="AH1392" s="55">
        <f>IF(AQ1392="0",BJ1392,0)</f>
        <v>0</v>
      </c>
      <c r="AI1392" s="34" t="s">
        <v>2629</v>
      </c>
      <c r="AJ1392" s="55">
        <f>IF(AN1392=0,I1392,0)</f>
        <v>0</v>
      </c>
      <c r="AK1392" s="55">
        <f>IF(AN1392=12,I1392,0)</f>
        <v>0</v>
      </c>
      <c r="AL1392" s="55">
        <f>IF(AN1392=21,I1392,0)</f>
        <v>0</v>
      </c>
      <c r="AN1392" s="55">
        <v>21</v>
      </c>
      <c r="AO1392" s="55">
        <f>H1392*0.94021215</f>
        <v>0</v>
      </c>
      <c r="AP1392" s="55">
        <f>H1392*(1-0.94021215)</f>
        <v>0</v>
      </c>
      <c r="AQ1392" s="58" t="s">
        <v>125</v>
      </c>
      <c r="AV1392" s="55">
        <f>AW1392+AX1392</f>
        <v>0</v>
      </c>
      <c r="AW1392" s="55">
        <f>G1392*AO1392</f>
        <v>0</v>
      </c>
      <c r="AX1392" s="55">
        <f>G1392*AP1392</f>
        <v>0</v>
      </c>
      <c r="AY1392" s="58" t="s">
        <v>126</v>
      </c>
      <c r="AZ1392" s="58" t="s">
        <v>2633</v>
      </c>
      <c r="BA1392" s="34" t="s">
        <v>2634</v>
      </c>
      <c r="BC1392" s="55">
        <f>AW1392+AX1392</f>
        <v>0</v>
      </c>
      <c r="BD1392" s="55">
        <f>H1392/(100-BE1392)*100</f>
        <v>0</v>
      </c>
      <c r="BE1392" s="55">
        <v>0</v>
      </c>
      <c r="BF1392" s="55">
        <f>K1392</f>
        <v>0</v>
      </c>
      <c r="BH1392" s="55">
        <f>G1392*AO1392</f>
        <v>0</v>
      </c>
      <c r="BI1392" s="55">
        <f>G1392*AP1392</f>
        <v>0</v>
      </c>
      <c r="BJ1392" s="55">
        <f>G1392*H1392</f>
        <v>0</v>
      </c>
      <c r="BK1392" s="55"/>
      <c r="BL1392" s="55"/>
      <c r="BW1392" s="55">
        <v>21</v>
      </c>
    </row>
    <row r="1393" spans="1:12" ht="13.5" customHeight="1">
      <c r="A1393" s="59"/>
      <c r="D1393" s="218" t="s">
        <v>129</v>
      </c>
      <c r="E1393" s="219"/>
      <c r="F1393" s="219"/>
      <c r="G1393" s="219"/>
      <c r="H1393" s="220"/>
      <c r="I1393" s="219"/>
      <c r="J1393" s="219"/>
      <c r="K1393" s="219"/>
      <c r="L1393" s="221"/>
    </row>
    <row r="1394" spans="1:75" ht="13.5" customHeight="1">
      <c r="A1394" s="1" t="s">
        <v>2635</v>
      </c>
      <c r="B1394" s="2" t="s">
        <v>2629</v>
      </c>
      <c r="C1394" s="2" t="s">
        <v>2636</v>
      </c>
      <c r="D1394" s="147" t="s">
        <v>144</v>
      </c>
      <c r="E1394" s="148"/>
      <c r="F1394" s="2" t="s">
        <v>123</v>
      </c>
      <c r="G1394" s="55">
        <v>10</v>
      </c>
      <c r="H1394" s="56">
        <v>0</v>
      </c>
      <c r="I1394" s="55">
        <f>G1394*H1394</f>
        <v>0</v>
      </c>
      <c r="J1394" s="55">
        <v>0</v>
      </c>
      <c r="K1394" s="55">
        <f>G1394*J1394</f>
        <v>0</v>
      </c>
      <c r="L1394" s="57" t="s">
        <v>124</v>
      </c>
      <c r="Z1394" s="55">
        <f>IF(AQ1394="5",BJ1394,0)</f>
        <v>0</v>
      </c>
      <c r="AB1394" s="55">
        <f>IF(AQ1394="1",BH1394,0)</f>
        <v>0</v>
      </c>
      <c r="AC1394" s="55">
        <f>IF(AQ1394="1",BI1394,0)</f>
        <v>0</v>
      </c>
      <c r="AD1394" s="55">
        <f>IF(AQ1394="7",BH1394,0)</f>
        <v>0</v>
      </c>
      <c r="AE1394" s="55">
        <f>IF(AQ1394="7",BI1394,0)</f>
        <v>0</v>
      </c>
      <c r="AF1394" s="55">
        <f>IF(AQ1394="2",BH1394,0)</f>
        <v>0</v>
      </c>
      <c r="AG1394" s="55">
        <f>IF(AQ1394="2",BI1394,0)</f>
        <v>0</v>
      </c>
      <c r="AH1394" s="55">
        <f>IF(AQ1394="0",BJ1394,0)</f>
        <v>0</v>
      </c>
      <c r="AI1394" s="34" t="s">
        <v>2629</v>
      </c>
      <c r="AJ1394" s="55">
        <f>IF(AN1394=0,I1394,0)</f>
        <v>0</v>
      </c>
      <c r="AK1394" s="55">
        <f>IF(AN1394=12,I1394,0)</f>
        <v>0</v>
      </c>
      <c r="AL1394" s="55">
        <f>IF(AN1394=21,I1394,0)</f>
        <v>0</v>
      </c>
      <c r="AN1394" s="55">
        <v>21</v>
      </c>
      <c r="AO1394" s="55">
        <f>H1394*0.939177102</f>
        <v>0</v>
      </c>
      <c r="AP1394" s="55">
        <f>H1394*(1-0.939177102)</f>
        <v>0</v>
      </c>
      <c r="AQ1394" s="58" t="s">
        <v>125</v>
      </c>
      <c r="AV1394" s="55">
        <f>AW1394+AX1394</f>
        <v>0</v>
      </c>
      <c r="AW1394" s="55">
        <f>G1394*AO1394</f>
        <v>0</v>
      </c>
      <c r="AX1394" s="55">
        <f>G1394*AP1394</f>
        <v>0</v>
      </c>
      <c r="AY1394" s="58" t="s">
        <v>126</v>
      </c>
      <c r="AZ1394" s="58" t="s">
        <v>2633</v>
      </c>
      <c r="BA1394" s="34" t="s">
        <v>2634</v>
      </c>
      <c r="BC1394" s="55">
        <f>AW1394+AX1394</f>
        <v>0</v>
      </c>
      <c r="BD1394" s="55">
        <f>H1394/(100-BE1394)*100</f>
        <v>0</v>
      </c>
      <c r="BE1394" s="55">
        <v>0</v>
      </c>
      <c r="BF1394" s="55">
        <f>K1394</f>
        <v>0</v>
      </c>
      <c r="BH1394" s="55">
        <f>G1394*AO1394</f>
        <v>0</v>
      </c>
      <c r="BI1394" s="55">
        <f>G1394*AP1394</f>
        <v>0</v>
      </c>
      <c r="BJ1394" s="55">
        <f>G1394*H1394</f>
        <v>0</v>
      </c>
      <c r="BK1394" s="55"/>
      <c r="BL1394" s="55"/>
      <c r="BW1394" s="55">
        <v>21</v>
      </c>
    </row>
    <row r="1395" spans="1:12" ht="13.5" customHeight="1">
      <c r="A1395" s="59"/>
      <c r="D1395" s="218" t="s">
        <v>129</v>
      </c>
      <c r="E1395" s="219"/>
      <c r="F1395" s="219"/>
      <c r="G1395" s="219"/>
      <c r="H1395" s="220"/>
      <c r="I1395" s="219"/>
      <c r="J1395" s="219"/>
      <c r="K1395" s="219"/>
      <c r="L1395" s="221"/>
    </row>
    <row r="1396" spans="1:75" ht="13.5" customHeight="1">
      <c r="A1396" s="1" t="s">
        <v>2637</v>
      </c>
      <c r="B1396" s="2" t="s">
        <v>2629</v>
      </c>
      <c r="C1396" s="2" t="s">
        <v>2638</v>
      </c>
      <c r="D1396" s="147" t="s">
        <v>2639</v>
      </c>
      <c r="E1396" s="148"/>
      <c r="F1396" s="2" t="s">
        <v>123</v>
      </c>
      <c r="G1396" s="55">
        <v>1</v>
      </c>
      <c r="H1396" s="56">
        <v>0</v>
      </c>
      <c r="I1396" s="55">
        <f>G1396*H1396</f>
        <v>0</v>
      </c>
      <c r="J1396" s="55">
        <v>0</v>
      </c>
      <c r="K1396" s="55">
        <f>G1396*J1396</f>
        <v>0</v>
      </c>
      <c r="L1396" s="57" t="s">
        <v>124</v>
      </c>
      <c r="Z1396" s="55">
        <f>IF(AQ1396="5",BJ1396,0)</f>
        <v>0</v>
      </c>
      <c r="AB1396" s="55">
        <f>IF(AQ1396="1",BH1396,0)</f>
        <v>0</v>
      </c>
      <c r="AC1396" s="55">
        <f>IF(AQ1396="1",BI1396,0)</f>
        <v>0</v>
      </c>
      <c r="AD1396" s="55">
        <f>IF(AQ1396="7",BH1396,0)</f>
        <v>0</v>
      </c>
      <c r="AE1396" s="55">
        <f>IF(AQ1396="7",BI1396,0)</f>
        <v>0</v>
      </c>
      <c r="AF1396" s="55">
        <f>IF(AQ1396="2",BH1396,0)</f>
        <v>0</v>
      </c>
      <c r="AG1396" s="55">
        <f>IF(AQ1396="2",BI1396,0)</f>
        <v>0</v>
      </c>
      <c r="AH1396" s="55">
        <f>IF(AQ1396="0",BJ1396,0)</f>
        <v>0</v>
      </c>
      <c r="AI1396" s="34" t="s">
        <v>2629</v>
      </c>
      <c r="AJ1396" s="55">
        <f>IF(AN1396=0,I1396,0)</f>
        <v>0</v>
      </c>
      <c r="AK1396" s="55">
        <f>IF(AN1396=12,I1396,0)</f>
        <v>0</v>
      </c>
      <c r="AL1396" s="55">
        <f>IF(AN1396=21,I1396,0)</f>
        <v>0</v>
      </c>
      <c r="AN1396" s="55">
        <v>21</v>
      </c>
      <c r="AO1396" s="55">
        <f>H1396*0.946872322</f>
        <v>0</v>
      </c>
      <c r="AP1396" s="55">
        <f>H1396*(1-0.946872322)</f>
        <v>0</v>
      </c>
      <c r="AQ1396" s="58" t="s">
        <v>125</v>
      </c>
      <c r="AV1396" s="55">
        <f>AW1396+AX1396</f>
        <v>0</v>
      </c>
      <c r="AW1396" s="55">
        <f>G1396*AO1396</f>
        <v>0</v>
      </c>
      <c r="AX1396" s="55">
        <f>G1396*AP1396</f>
        <v>0</v>
      </c>
      <c r="AY1396" s="58" t="s">
        <v>126</v>
      </c>
      <c r="AZ1396" s="58" t="s">
        <v>2633</v>
      </c>
      <c r="BA1396" s="34" t="s">
        <v>2634</v>
      </c>
      <c r="BC1396" s="55">
        <f>AW1396+AX1396</f>
        <v>0</v>
      </c>
      <c r="BD1396" s="55">
        <f>H1396/(100-BE1396)*100</f>
        <v>0</v>
      </c>
      <c r="BE1396" s="55">
        <v>0</v>
      </c>
      <c r="BF1396" s="55">
        <f>K1396</f>
        <v>0</v>
      </c>
      <c r="BH1396" s="55">
        <f>G1396*AO1396</f>
        <v>0</v>
      </c>
      <c r="BI1396" s="55">
        <f>G1396*AP1396</f>
        <v>0</v>
      </c>
      <c r="BJ1396" s="55">
        <f>G1396*H1396</f>
        <v>0</v>
      </c>
      <c r="BK1396" s="55"/>
      <c r="BL1396" s="55"/>
      <c r="BW1396" s="55">
        <v>21</v>
      </c>
    </row>
    <row r="1397" spans="1:12" ht="13.5" customHeight="1">
      <c r="A1397" s="59"/>
      <c r="D1397" s="218" t="s">
        <v>129</v>
      </c>
      <c r="E1397" s="219"/>
      <c r="F1397" s="219"/>
      <c r="G1397" s="219"/>
      <c r="H1397" s="220"/>
      <c r="I1397" s="219"/>
      <c r="J1397" s="219"/>
      <c r="K1397" s="219"/>
      <c r="L1397" s="221"/>
    </row>
    <row r="1398" spans="1:75" ht="27" customHeight="1">
      <c r="A1398" s="1" t="s">
        <v>2640</v>
      </c>
      <c r="B1398" s="2" t="s">
        <v>2629</v>
      </c>
      <c r="C1398" s="2" t="s">
        <v>2641</v>
      </c>
      <c r="D1398" s="147" t="s">
        <v>2642</v>
      </c>
      <c r="E1398" s="148"/>
      <c r="F1398" s="2" t="s">
        <v>123</v>
      </c>
      <c r="G1398" s="55">
        <v>4</v>
      </c>
      <c r="H1398" s="56">
        <v>0</v>
      </c>
      <c r="I1398" s="55">
        <f>G1398*H1398</f>
        <v>0</v>
      </c>
      <c r="J1398" s="55">
        <v>0</v>
      </c>
      <c r="K1398" s="55">
        <f>G1398*J1398</f>
        <v>0</v>
      </c>
      <c r="L1398" s="57" t="s">
        <v>124</v>
      </c>
      <c r="Z1398" s="55">
        <f>IF(AQ1398="5",BJ1398,0)</f>
        <v>0</v>
      </c>
      <c r="AB1398" s="55">
        <f>IF(AQ1398="1",BH1398,0)</f>
        <v>0</v>
      </c>
      <c r="AC1398" s="55">
        <f>IF(AQ1398="1",BI1398,0)</f>
        <v>0</v>
      </c>
      <c r="AD1398" s="55">
        <f>IF(AQ1398="7",BH1398,0)</f>
        <v>0</v>
      </c>
      <c r="AE1398" s="55">
        <f>IF(AQ1398="7",BI1398,0)</f>
        <v>0</v>
      </c>
      <c r="AF1398" s="55">
        <f>IF(AQ1398="2",BH1398,0)</f>
        <v>0</v>
      </c>
      <c r="AG1398" s="55">
        <f>IF(AQ1398="2",BI1398,0)</f>
        <v>0</v>
      </c>
      <c r="AH1398" s="55">
        <f>IF(AQ1398="0",BJ1398,0)</f>
        <v>0</v>
      </c>
      <c r="AI1398" s="34" t="s">
        <v>2629</v>
      </c>
      <c r="AJ1398" s="55">
        <f>IF(AN1398=0,I1398,0)</f>
        <v>0</v>
      </c>
      <c r="AK1398" s="55">
        <f>IF(AN1398=12,I1398,0)</f>
        <v>0</v>
      </c>
      <c r="AL1398" s="55">
        <f>IF(AN1398=21,I1398,0)</f>
        <v>0</v>
      </c>
      <c r="AN1398" s="55">
        <v>21</v>
      </c>
      <c r="AO1398" s="55">
        <f>H1398*0.945701357</f>
        <v>0</v>
      </c>
      <c r="AP1398" s="55">
        <f>H1398*(1-0.945701357)</f>
        <v>0</v>
      </c>
      <c r="AQ1398" s="58" t="s">
        <v>125</v>
      </c>
      <c r="AV1398" s="55">
        <f>AW1398+AX1398</f>
        <v>0</v>
      </c>
      <c r="AW1398" s="55">
        <f>G1398*AO1398</f>
        <v>0</v>
      </c>
      <c r="AX1398" s="55">
        <f>G1398*AP1398</f>
        <v>0</v>
      </c>
      <c r="AY1398" s="58" t="s">
        <v>126</v>
      </c>
      <c r="AZ1398" s="58" t="s">
        <v>2633</v>
      </c>
      <c r="BA1398" s="34" t="s">
        <v>2634</v>
      </c>
      <c r="BC1398" s="55">
        <f>AW1398+AX1398</f>
        <v>0</v>
      </c>
      <c r="BD1398" s="55">
        <f>H1398/(100-BE1398)*100</f>
        <v>0</v>
      </c>
      <c r="BE1398" s="55">
        <v>0</v>
      </c>
      <c r="BF1398" s="55">
        <f>K1398</f>
        <v>0</v>
      </c>
      <c r="BH1398" s="55">
        <f>G1398*AO1398</f>
        <v>0</v>
      </c>
      <c r="BI1398" s="55">
        <f>G1398*AP1398</f>
        <v>0</v>
      </c>
      <c r="BJ1398" s="55">
        <f>G1398*H1398</f>
        <v>0</v>
      </c>
      <c r="BK1398" s="55"/>
      <c r="BL1398" s="55"/>
      <c r="BW1398" s="55">
        <v>21</v>
      </c>
    </row>
    <row r="1399" spans="1:12" ht="13.5" customHeight="1">
      <c r="A1399" s="59"/>
      <c r="D1399" s="218" t="s">
        <v>129</v>
      </c>
      <c r="E1399" s="219"/>
      <c r="F1399" s="219"/>
      <c r="G1399" s="219"/>
      <c r="H1399" s="220"/>
      <c r="I1399" s="219"/>
      <c r="J1399" s="219"/>
      <c r="K1399" s="219"/>
      <c r="L1399" s="221"/>
    </row>
    <row r="1400" spans="1:75" ht="27" customHeight="1">
      <c r="A1400" s="1" t="s">
        <v>2643</v>
      </c>
      <c r="B1400" s="2" t="s">
        <v>2629</v>
      </c>
      <c r="C1400" s="2" t="s">
        <v>2644</v>
      </c>
      <c r="D1400" s="147" t="s">
        <v>2645</v>
      </c>
      <c r="E1400" s="148"/>
      <c r="F1400" s="2" t="s">
        <v>123</v>
      </c>
      <c r="G1400" s="55">
        <v>2</v>
      </c>
      <c r="H1400" s="56">
        <v>0</v>
      </c>
      <c r="I1400" s="55">
        <f>G1400*H1400</f>
        <v>0</v>
      </c>
      <c r="J1400" s="55">
        <v>0</v>
      </c>
      <c r="K1400" s="55">
        <f>G1400*J1400</f>
        <v>0</v>
      </c>
      <c r="L1400" s="57" t="s">
        <v>124</v>
      </c>
      <c r="Z1400" s="55">
        <f>IF(AQ1400="5",BJ1400,0)</f>
        <v>0</v>
      </c>
      <c r="AB1400" s="55">
        <f>IF(AQ1400="1",BH1400,0)</f>
        <v>0</v>
      </c>
      <c r="AC1400" s="55">
        <f>IF(AQ1400="1",BI1400,0)</f>
        <v>0</v>
      </c>
      <c r="AD1400" s="55">
        <f>IF(AQ1400="7",BH1400,0)</f>
        <v>0</v>
      </c>
      <c r="AE1400" s="55">
        <f>IF(AQ1400="7",BI1400,0)</f>
        <v>0</v>
      </c>
      <c r="AF1400" s="55">
        <f>IF(AQ1400="2",BH1400,0)</f>
        <v>0</v>
      </c>
      <c r="AG1400" s="55">
        <f>IF(AQ1400="2",BI1400,0)</f>
        <v>0</v>
      </c>
      <c r="AH1400" s="55">
        <f>IF(AQ1400="0",BJ1400,0)</f>
        <v>0</v>
      </c>
      <c r="AI1400" s="34" t="s">
        <v>2629</v>
      </c>
      <c r="AJ1400" s="55">
        <f>IF(AN1400=0,I1400,0)</f>
        <v>0</v>
      </c>
      <c r="AK1400" s="55">
        <f>IF(AN1400=12,I1400,0)</f>
        <v>0</v>
      </c>
      <c r="AL1400" s="55">
        <f>IF(AN1400=21,I1400,0)</f>
        <v>0</v>
      </c>
      <c r="AN1400" s="55">
        <v>21</v>
      </c>
      <c r="AO1400" s="55">
        <f>H1400*0.865168539</f>
        <v>0</v>
      </c>
      <c r="AP1400" s="55">
        <f>H1400*(1-0.865168539)</f>
        <v>0</v>
      </c>
      <c r="AQ1400" s="58" t="s">
        <v>125</v>
      </c>
      <c r="AV1400" s="55">
        <f>AW1400+AX1400</f>
        <v>0</v>
      </c>
      <c r="AW1400" s="55">
        <f>G1400*AO1400</f>
        <v>0</v>
      </c>
      <c r="AX1400" s="55">
        <f>G1400*AP1400</f>
        <v>0</v>
      </c>
      <c r="AY1400" s="58" t="s">
        <v>126</v>
      </c>
      <c r="AZ1400" s="58" t="s">
        <v>2633</v>
      </c>
      <c r="BA1400" s="34" t="s">
        <v>2634</v>
      </c>
      <c r="BC1400" s="55">
        <f>AW1400+AX1400</f>
        <v>0</v>
      </c>
      <c r="BD1400" s="55">
        <f>H1400/(100-BE1400)*100</f>
        <v>0</v>
      </c>
      <c r="BE1400" s="55">
        <v>0</v>
      </c>
      <c r="BF1400" s="55">
        <f>K1400</f>
        <v>0</v>
      </c>
      <c r="BH1400" s="55">
        <f>G1400*AO1400</f>
        <v>0</v>
      </c>
      <c r="BI1400" s="55">
        <f>G1400*AP1400</f>
        <v>0</v>
      </c>
      <c r="BJ1400" s="55">
        <f>G1400*H1400</f>
        <v>0</v>
      </c>
      <c r="BK1400" s="55"/>
      <c r="BL1400" s="55"/>
      <c r="BW1400" s="55">
        <v>21</v>
      </c>
    </row>
    <row r="1401" spans="1:12" ht="13.5" customHeight="1">
      <c r="A1401" s="59"/>
      <c r="D1401" s="218" t="s">
        <v>129</v>
      </c>
      <c r="E1401" s="219"/>
      <c r="F1401" s="219"/>
      <c r="G1401" s="219"/>
      <c r="H1401" s="220"/>
      <c r="I1401" s="219"/>
      <c r="J1401" s="219"/>
      <c r="K1401" s="219"/>
      <c r="L1401" s="221"/>
    </row>
    <row r="1402" spans="1:75" ht="27" customHeight="1">
      <c r="A1402" s="1" t="s">
        <v>2646</v>
      </c>
      <c r="B1402" s="2" t="s">
        <v>2629</v>
      </c>
      <c r="C1402" s="2" t="s">
        <v>2647</v>
      </c>
      <c r="D1402" s="147" t="s">
        <v>2648</v>
      </c>
      <c r="E1402" s="148"/>
      <c r="F1402" s="2" t="s">
        <v>123</v>
      </c>
      <c r="G1402" s="55">
        <v>14</v>
      </c>
      <c r="H1402" s="56">
        <v>0</v>
      </c>
      <c r="I1402" s="55">
        <f>G1402*H1402</f>
        <v>0</v>
      </c>
      <c r="J1402" s="55">
        <v>0</v>
      </c>
      <c r="K1402" s="55">
        <f>G1402*J1402</f>
        <v>0</v>
      </c>
      <c r="L1402" s="57" t="s">
        <v>124</v>
      </c>
      <c r="Z1402" s="55">
        <f>IF(AQ1402="5",BJ1402,0)</f>
        <v>0</v>
      </c>
      <c r="AB1402" s="55">
        <f>IF(AQ1402="1",BH1402,0)</f>
        <v>0</v>
      </c>
      <c r="AC1402" s="55">
        <f>IF(AQ1402="1",BI1402,0)</f>
        <v>0</v>
      </c>
      <c r="AD1402" s="55">
        <f>IF(AQ1402="7",BH1402,0)</f>
        <v>0</v>
      </c>
      <c r="AE1402" s="55">
        <f>IF(AQ1402="7",BI1402,0)</f>
        <v>0</v>
      </c>
      <c r="AF1402" s="55">
        <f>IF(AQ1402="2",BH1402,0)</f>
        <v>0</v>
      </c>
      <c r="AG1402" s="55">
        <f>IF(AQ1402="2",BI1402,0)</f>
        <v>0</v>
      </c>
      <c r="AH1402" s="55">
        <f>IF(AQ1402="0",BJ1402,0)</f>
        <v>0</v>
      </c>
      <c r="AI1402" s="34" t="s">
        <v>2629</v>
      </c>
      <c r="AJ1402" s="55">
        <f>IF(AN1402=0,I1402,0)</f>
        <v>0</v>
      </c>
      <c r="AK1402" s="55">
        <f>IF(AN1402=12,I1402,0)</f>
        <v>0</v>
      </c>
      <c r="AL1402" s="55">
        <f>IF(AN1402=21,I1402,0)</f>
        <v>0</v>
      </c>
      <c r="AN1402" s="55">
        <v>21</v>
      </c>
      <c r="AO1402" s="55">
        <f>H1402*0.876606684</f>
        <v>0</v>
      </c>
      <c r="AP1402" s="55">
        <f>H1402*(1-0.876606684)</f>
        <v>0</v>
      </c>
      <c r="AQ1402" s="58" t="s">
        <v>125</v>
      </c>
      <c r="AV1402" s="55">
        <f>AW1402+AX1402</f>
        <v>0</v>
      </c>
      <c r="AW1402" s="55">
        <f>G1402*AO1402</f>
        <v>0</v>
      </c>
      <c r="AX1402" s="55">
        <f>G1402*AP1402</f>
        <v>0</v>
      </c>
      <c r="AY1402" s="58" t="s">
        <v>126</v>
      </c>
      <c r="AZ1402" s="58" t="s">
        <v>2633</v>
      </c>
      <c r="BA1402" s="34" t="s">
        <v>2634</v>
      </c>
      <c r="BC1402" s="55">
        <f>AW1402+AX1402</f>
        <v>0</v>
      </c>
      <c r="BD1402" s="55">
        <f>H1402/(100-BE1402)*100</f>
        <v>0</v>
      </c>
      <c r="BE1402" s="55">
        <v>0</v>
      </c>
      <c r="BF1402" s="55">
        <f>K1402</f>
        <v>0</v>
      </c>
      <c r="BH1402" s="55">
        <f>G1402*AO1402</f>
        <v>0</v>
      </c>
      <c r="BI1402" s="55">
        <f>G1402*AP1402</f>
        <v>0</v>
      </c>
      <c r="BJ1402" s="55">
        <f>G1402*H1402</f>
        <v>0</v>
      </c>
      <c r="BK1402" s="55"/>
      <c r="BL1402" s="55"/>
      <c r="BW1402" s="55">
        <v>21</v>
      </c>
    </row>
    <row r="1403" spans="1:12" ht="13.5" customHeight="1">
      <c r="A1403" s="59"/>
      <c r="D1403" s="218" t="s">
        <v>129</v>
      </c>
      <c r="E1403" s="219"/>
      <c r="F1403" s="219"/>
      <c r="G1403" s="219"/>
      <c r="H1403" s="220"/>
      <c r="I1403" s="219"/>
      <c r="J1403" s="219"/>
      <c r="K1403" s="219"/>
      <c r="L1403" s="221"/>
    </row>
    <row r="1404" spans="1:75" ht="27" customHeight="1">
      <c r="A1404" s="1" t="s">
        <v>2649</v>
      </c>
      <c r="B1404" s="2" t="s">
        <v>2629</v>
      </c>
      <c r="C1404" s="2" t="s">
        <v>2650</v>
      </c>
      <c r="D1404" s="147" t="s">
        <v>2651</v>
      </c>
      <c r="E1404" s="148"/>
      <c r="F1404" s="2" t="s">
        <v>123</v>
      </c>
      <c r="G1404" s="55">
        <v>8</v>
      </c>
      <c r="H1404" s="56">
        <v>0</v>
      </c>
      <c r="I1404" s="55">
        <f>G1404*H1404</f>
        <v>0</v>
      </c>
      <c r="J1404" s="55">
        <v>0</v>
      </c>
      <c r="K1404" s="55">
        <f>G1404*J1404</f>
        <v>0</v>
      </c>
      <c r="L1404" s="57" t="s">
        <v>124</v>
      </c>
      <c r="Z1404" s="55">
        <f>IF(AQ1404="5",BJ1404,0)</f>
        <v>0</v>
      </c>
      <c r="AB1404" s="55">
        <f>IF(AQ1404="1",BH1404,0)</f>
        <v>0</v>
      </c>
      <c r="AC1404" s="55">
        <f>IF(AQ1404="1",BI1404,0)</f>
        <v>0</v>
      </c>
      <c r="AD1404" s="55">
        <f>IF(AQ1404="7",BH1404,0)</f>
        <v>0</v>
      </c>
      <c r="AE1404" s="55">
        <f>IF(AQ1404="7",BI1404,0)</f>
        <v>0</v>
      </c>
      <c r="AF1404" s="55">
        <f>IF(AQ1404="2",BH1404,0)</f>
        <v>0</v>
      </c>
      <c r="AG1404" s="55">
        <f>IF(AQ1404="2",BI1404,0)</f>
        <v>0</v>
      </c>
      <c r="AH1404" s="55">
        <f>IF(AQ1404="0",BJ1404,0)</f>
        <v>0</v>
      </c>
      <c r="AI1404" s="34" t="s">
        <v>2629</v>
      </c>
      <c r="AJ1404" s="55">
        <f>IF(AN1404=0,I1404,0)</f>
        <v>0</v>
      </c>
      <c r="AK1404" s="55">
        <f>IF(AN1404=12,I1404,0)</f>
        <v>0</v>
      </c>
      <c r="AL1404" s="55">
        <f>IF(AN1404=21,I1404,0)</f>
        <v>0</v>
      </c>
      <c r="AN1404" s="55">
        <v>21</v>
      </c>
      <c r="AO1404" s="55">
        <f>H1404*0.87318362</f>
        <v>0</v>
      </c>
      <c r="AP1404" s="55">
        <f>H1404*(1-0.87318362)</f>
        <v>0</v>
      </c>
      <c r="AQ1404" s="58" t="s">
        <v>125</v>
      </c>
      <c r="AV1404" s="55">
        <f>AW1404+AX1404</f>
        <v>0</v>
      </c>
      <c r="AW1404" s="55">
        <f>G1404*AO1404</f>
        <v>0</v>
      </c>
      <c r="AX1404" s="55">
        <f>G1404*AP1404</f>
        <v>0</v>
      </c>
      <c r="AY1404" s="58" t="s">
        <v>126</v>
      </c>
      <c r="AZ1404" s="58" t="s">
        <v>2633</v>
      </c>
      <c r="BA1404" s="34" t="s">
        <v>2634</v>
      </c>
      <c r="BC1404" s="55">
        <f>AW1404+AX1404</f>
        <v>0</v>
      </c>
      <c r="BD1404" s="55">
        <f>H1404/(100-BE1404)*100</f>
        <v>0</v>
      </c>
      <c r="BE1404" s="55">
        <v>0</v>
      </c>
      <c r="BF1404" s="55">
        <f>K1404</f>
        <v>0</v>
      </c>
      <c r="BH1404" s="55">
        <f>G1404*AO1404</f>
        <v>0</v>
      </c>
      <c r="BI1404" s="55">
        <f>G1404*AP1404</f>
        <v>0</v>
      </c>
      <c r="BJ1404" s="55">
        <f>G1404*H1404</f>
        <v>0</v>
      </c>
      <c r="BK1404" s="55"/>
      <c r="BL1404" s="55"/>
      <c r="BW1404" s="55">
        <v>21</v>
      </c>
    </row>
    <row r="1405" spans="1:12" ht="13.5" customHeight="1">
      <c r="A1405" s="59"/>
      <c r="D1405" s="218" t="s">
        <v>129</v>
      </c>
      <c r="E1405" s="219"/>
      <c r="F1405" s="219"/>
      <c r="G1405" s="219"/>
      <c r="H1405" s="220"/>
      <c r="I1405" s="219"/>
      <c r="J1405" s="219"/>
      <c r="K1405" s="219"/>
      <c r="L1405" s="221"/>
    </row>
    <row r="1406" spans="1:75" ht="27" customHeight="1">
      <c r="A1406" s="1" t="s">
        <v>2652</v>
      </c>
      <c r="B1406" s="2" t="s">
        <v>2629</v>
      </c>
      <c r="C1406" s="2" t="s">
        <v>2653</v>
      </c>
      <c r="D1406" s="147" t="s">
        <v>2654</v>
      </c>
      <c r="E1406" s="148"/>
      <c r="F1406" s="2" t="s">
        <v>123</v>
      </c>
      <c r="G1406" s="55">
        <v>5</v>
      </c>
      <c r="H1406" s="56">
        <v>0</v>
      </c>
      <c r="I1406" s="55">
        <f>G1406*H1406</f>
        <v>0</v>
      </c>
      <c r="J1406" s="55">
        <v>0</v>
      </c>
      <c r="K1406" s="55">
        <f>G1406*J1406</f>
        <v>0</v>
      </c>
      <c r="L1406" s="57" t="s">
        <v>124</v>
      </c>
      <c r="Z1406" s="55">
        <f>IF(AQ1406="5",BJ1406,0)</f>
        <v>0</v>
      </c>
      <c r="AB1406" s="55">
        <f>IF(AQ1406="1",BH1406,0)</f>
        <v>0</v>
      </c>
      <c r="AC1406" s="55">
        <f>IF(AQ1406="1",BI1406,0)</f>
        <v>0</v>
      </c>
      <c r="AD1406" s="55">
        <f>IF(AQ1406="7",BH1406,0)</f>
        <v>0</v>
      </c>
      <c r="AE1406" s="55">
        <f>IF(AQ1406="7",BI1406,0)</f>
        <v>0</v>
      </c>
      <c r="AF1406" s="55">
        <f>IF(AQ1406="2",BH1406,0)</f>
        <v>0</v>
      </c>
      <c r="AG1406" s="55">
        <f>IF(AQ1406="2",BI1406,0)</f>
        <v>0</v>
      </c>
      <c r="AH1406" s="55">
        <f>IF(AQ1406="0",BJ1406,0)</f>
        <v>0</v>
      </c>
      <c r="AI1406" s="34" t="s">
        <v>2629</v>
      </c>
      <c r="AJ1406" s="55">
        <f>IF(AN1406=0,I1406,0)</f>
        <v>0</v>
      </c>
      <c r="AK1406" s="55">
        <f>IF(AN1406=12,I1406,0)</f>
        <v>0</v>
      </c>
      <c r="AL1406" s="55">
        <f>IF(AN1406=21,I1406,0)</f>
        <v>0</v>
      </c>
      <c r="AN1406" s="55">
        <v>21</v>
      </c>
      <c r="AO1406" s="55">
        <f>H1406*0.847085059</f>
        <v>0</v>
      </c>
      <c r="AP1406" s="55">
        <f>H1406*(1-0.847085059)</f>
        <v>0</v>
      </c>
      <c r="AQ1406" s="58" t="s">
        <v>125</v>
      </c>
      <c r="AV1406" s="55">
        <f>AW1406+AX1406</f>
        <v>0</v>
      </c>
      <c r="AW1406" s="55">
        <f>G1406*AO1406</f>
        <v>0</v>
      </c>
      <c r="AX1406" s="55">
        <f>G1406*AP1406</f>
        <v>0</v>
      </c>
      <c r="AY1406" s="58" t="s">
        <v>126</v>
      </c>
      <c r="AZ1406" s="58" t="s">
        <v>2633</v>
      </c>
      <c r="BA1406" s="34" t="s">
        <v>2634</v>
      </c>
      <c r="BC1406" s="55">
        <f>AW1406+AX1406</f>
        <v>0</v>
      </c>
      <c r="BD1406" s="55">
        <f>H1406/(100-BE1406)*100</f>
        <v>0</v>
      </c>
      <c r="BE1406" s="55">
        <v>0</v>
      </c>
      <c r="BF1406" s="55">
        <f>K1406</f>
        <v>0</v>
      </c>
      <c r="BH1406" s="55">
        <f>G1406*AO1406</f>
        <v>0</v>
      </c>
      <c r="BI1406" s="55">
        <f>G1406*AP1406</f>
        <v>0</v>
      </c>
      <c r="BJ1406" s="55">
        <f>G1406*H1406</f>
        <v>0</v>
      </c>
      <c r="BK1406" s="55"/>
      <c r="BL1406" s="55"/>
      <c r="BW1406" s="55">
        <v>21</v>
      </c>
    </row>
    <row r="1407" spans="1:12" ht="13.5" customHeight="1">
      <c r="A1407" s="59"/>
      <c r="D1407" s="218" t="s">
        <v>129</v>
      </c>
      <c r="E1407" s="219"/>
      <c r="F1407" s="219"/>
      <c r="G1407" s="219"/>
      <c r="H1407" s="220"/>
      <c r="I1407" s="219"/>
      <c r="J1407" s="219"/>
      <c r="K1407" s="219"/>
      <c r="L1407" s="221"/>
    </row>
    <row r="1408" spans="1:75" ht="27" customHeight="1">
      <c r="A1408" s="1" t="s">
        <v>2655</v>
      </c>
      <c r="B1408" s="2" t="s">
        <v>2629</v>
      </c>
      <c r="C1408" s="2" t="s">
        <v>2656</v>
      </c>
      <c r="D1408" s="147" t="s">
        <v>2657</v>
      </c>
      <c r="E1408" s="148"/>
      <c r="F1408" s="2" t="s">
        <v>123</v>
      </c>
      <c r="G1408" s="55">
        <v>5</v>
      </c>
      <c r="H1408" s="56">
        <v>0</v>
      </c>
      <c r="I1408" s="55">
        <f>G1408*H1408</f>
        <v>0</v>
      </c>
      <c r="J1408" s="55">
        <v>0</v>
      </c>
      <c r="K1408" s="55">
        <f>G1408*J1408</f>
        <v>0</v>
      </c>
      <c r="L1408" s="57" t="s">
        <v>124</v>
      </c>
      <c r="Z1408" s="55">
        <f>IF(AQ1408="5",BJ1408,0)</f>
        <v>0</v>
      </c>
      <c r="AB1408" s="55">
        <f>IF(AQ1408="1",BH1408,0)</f>
        <v>0</v>
      </c>
      <c r="AC1408" s="55">
        <f>IF(AQ1408="1",BI1408,0)</f>
        <v>0</v>
      </c>
      <c r="AD1408" s="55">
        <f>IF(AQ1408="7",BH1408,0)</f>
        <v>0</v>
      </c>
      <c r="AE1408" s="55">
        <f>IF(AQ1408="7",BI1408,0)</f>
        <v>0</v>
      </c>
      <c r="AF1408" s="55">
        <f>IF(AQ1408="2",BH1408,0)</f>
        <v>0</v>
      </c>
      <c r="AG1408" s="55">
        <f>IF(AQ1408="2",BI1408,0)</f>
        <v>0</v>
      </c>
      <c r="AH1408" s="55">
        <f>IF(AQ1408="0",BJ1408,0)</f>
        <v>0</v>
      </c>
      <c r="AI1408" s="34" t="s">
        <v>2629</v>
      </c>
      <c r="AJ1408" s="55">
        <f>IF(AN1408=0,I1408,0)</f>
        <v>0</v>
      </c>
      <c r="AK1408" s="55">
        <f>IF(AN1408=12,I1408,0)</f>
        <v>0</v>
      </c>
      <c r="AL1408" s="55">
        <f>IF(AN1408=21,I1408,0)</f>
        <v>0</v>
      </c>
      <c r="AN1408" s="55">
        <v>21</v>
      </c>
      <c r="AO1408" s="55">
        <f>H1408*0.805746661</f>
        <v>0</v>
      </c>
      <c r="AP1408" s="55">
        <f>H1408*(1-0.805746661)</f>
        <v>0</v>
      </c>
      <c r="AQ1408" s="58" t="s">
        <v>125</v>
      </c>
      <c r="AV1408" s="55">
        <f>AW1408+AX1408</f>
        <v>0</v>
      </c>
      <c r="AW1408" s="55">
        <f>G1408*AO1408</f>
        <v>0</v>
      </c>
      <c r="AX1408" s="55">
        <f>G1408*AP1408</f>
        <v>0</v>
      </c>
      <c r="AY1408" s="58" t="s">
        <v>126</v>
      </c>
      <c r="AZ1408" s="58" t="s">
        <v>2633</v>
      </c>
      <c r="BA1408" s="34" t="s">
        <v>2634</v>
      </c>
      <c r="BC1408" s="55">
        <f>AW1408+AX1408</f>
        <v>0</v>
      </c>
      <c r="BD1408" s="55">
        <f>H1408/(100-BE1408)*100</f>
        <v>0</v>
      </c>
      <c r="BE1408" s="55">
        <v>0</v>
      </c>
      <c r="BF1408" s="55">
        <f>K1408</f>
        <v>0</v>
      </c>
      <c r="BH1408" s="55">
        <f>G1408*AO1408</f>
        <v>0</v>
      </c>
      <c r="BI1408" s="55">
        <f>G1408*AP1408</f>
        <v>0</v>
      </c>
      <c r="BJ1408" s="55">
        <f>G1408*H1408</f>
        <v>0</v>
      </c>
      <c r="BK1408" s="55"/>
      <c r="BL1408" s="55"/>
      <c r="BW1408" s="55">
        <v>21</v>
      </c>
    </row>
    <row r="1409" spans="1:12" ht="13.5" customHeight="1">
      <c r="A1409" s="59"/>
      <c r="D1409" s="218" t="s">
        <v>2658</v>
      </c>
      <c r="E1409" s="219"/>
      <c r="F1409" s="219"/>
      <c r="G1409" s="219"/>
      <c r="H1409" s="220"/>
      <c r="I1409" s="219"/>
      <c r="J1409" s="219"/>
      <c r="K1409" s="219"/>
      <c r="L1409" s="221"/>
    </row>
    <row r="1410" spans="1:75" ht="27" customHeight="1">
      <c r="A1410" s="1" t="s">
        <v>2659</v>
      </c>
      <c r="B1410" s="2" t="s">
        <v>2629</v>
      </c>
      <c r="C1410" s="2" t="s">
        <v>2660</v>
      </c>
      <c r="D1410" s="147" t="s">
        <v>2661</v>
      </c>
      <c r="E1410" s="148"/>
      <c r="F1410" s="2" t="s">
        <v>123</v>
      </c>
      <c r="G1410" s="55">
        <v>14</v>
      </c>
      <c r="H1410" s="56">
        <v>0</v>
      </c>
      <c r="I1410" s="55">
        <f>G1410*H1410</f>
        <v>0</v>
      </c>
      <c r="J1410" s="55">
        <v>0</v>
      </c>
      <c r="K1410" s="55">
        <f>G1410*J1410</f>
        <v>0</v>
      </c>
      <c r="L1410" s="57" t="s">
        <v>124</v>
      </c>
      <c r="Z1410" s="55">
        <f>IF(AQ1410="5",BJ1410,0)</f>
        <v>0</v>
      </c>
      <c r="AB1410" s="55">
        <f>IF(AQ1410="1",BH1410,0)</f>
        <v>0</v>
      </c>
      <c r="AC1410" s="55">
        <f>IF(AQ1410="1",BI1410,0)</f>
        <v>0</v>
      </c>
      <c r="AD1410" s="55">
        <f>IF(AQ1410="7",BH1410,0)</f>
        <v>0</v>
      </c>
      <c r="AE1410" s="55">
        <f>IF(AQ1410="7",BI1410,0)</f>
        <v>0</v>
      </c>
      <c r="AF1410" s="55">
        <f>IF(AQ1410="2",BH1410,0)</f>
        <v>0</v>
      </c>
      <c r="AG1410" s="55">
        <f>IF(AQ1410="2",BI1410,0)</f>
        <v>0</v>
      </c>
      <c r="AH1410" s="55">
        <f>IF(AQ1410="0",BJ1410,0)</f>
        <v>0</v>
      </c>
      <c r="AI1410" s="34" t="s">
        <v>2629</v>
      </c>
      <c r="AJ1410" s="55">
        <f>IF(AN1410=0,I1410,0)</f>
        <v>0</v>
      </c>
      <c r="AK1410" s="55">
        <f>IF(AN1410=12,I1410,0)</f>
        <v>0</v>
      </c>
      <c r="AL1410" s="55">
        <f>IF(AN1410=21,I1410,0)</f>
        <v>0</v>
      </c>
      <c r="AN1410" s="55">
        <v>21</v>
      </c>
      <c r="AO1410" s="55">
        <f>H1410*0.894505495</f>
        <v>0</v>
      </c>
      <c r="AP1410" s="55">
        <f>H1410*(1-0.894505495)</f>
        <v>0</v>
      </c>
      <c r="AQ1410" s="58" t="s">
        <v>125</v>
      </c>
      <c r="AV1410" s="55">
        <f>AW1410+AX1410</f>
        <v>0</v>
      </c>
      <c r="AW1410" s="55">
        <f>G1410*AO1410</f>
        <v>0</v>
      </c>
      <c r="AX1410" s="55">
        <f>G1410*AP1410</f>
        <v>0</v>
      </c>
      <c r="AY1410" s="58" t="s">
        <v>126</v>
      </c>
      <c r="AZ1410" s="58" t="s">
        <v>2633</v>
      </c>
      <c r="BA1410" s="34" t="s">
        <v>2634</v>
      </c>
      <c r="BC1410" s="55">
        <f>AW1410+AX1410</f>
        <v>0</v>
      </c>
      <c r="BD1410" s="55">
        <f>H1410/(100-BE1410)*100</f>
        <v>0</v>
      </c>
      <c r="BE1410" s="55">
        <v>0</v>
      </c>
      <c r="BF1410" s="55">
        <f>K1410</f>
        <v>0</v>
      </c>
      <c r="BH1410" s="55">
        <f>G1410*AO1410</f>
        <v>0</v>
      </c>
      <c r="BI1410" s="55">
        <f>G1410*AP1410</f>
        <v>0</v>
      </c>
      <c r="BJ1410" s="55">
        <f>G1410*H1410</f>
        <v>0</v>
      </c>
      <c r="BK1410" s="55"/>
      <c r="BL1410" s="55"/>
      <c r="BW1410" s="55">
        <v>21</v>
      </c>
    </row>
    <row r="1411" spans="1:12" ht="13.5" customHeight="1">
      <c r="A1411" s="59"/>
      <c r="D1411" s="218" t="s">
        <v>129</v>
      </c>
      <c r="E1411" s="219"/>
      <c r="F1411" s="219"/>
      <c r="G1411" s="219"/>
      <c r="H1411" s="220"/>
      <c r="I1411" s="219"/>
      <c r="J1411" s="219"/>
      <c r="K1411" s="219"/>
      <c r="L1411" s="221"/>
    </row>
    <row r="1412" spans="1:75" ht="27" customHeight="1">
      <c r="A1412" s="1" t="s">
        <v>2662</v>
      </c>
      <c r="B1412" s="2" t="s">
        <v>2629</v>
      </c>
      <c r="C1412" s="2" t="s">
        <v>2663</v>
      </c>
      <c r="D1412" s="147" t="s">
        <v>2664</v>
      </c>
      <c r="E1412" s="148"/>
      <c r="F1412" s="2" t="s">
        <v>123</v>
      </c>
      <c r="G1412" s="55">
        <v>4</v>
      </c>
      <c r="H1412" s="56">
        <v>0</v>
      </c>
      <c r="I1412" s="55">
        <f>G1412*H1412</f>
        <v>0</v>
      </c>
      <c r="J1412" s="55">
        <v>0</v>
      </c>
      <c r="K1412" s="55">
        <f>G1412*J1412</f>
        <v>0</v>
      </c>
      <c r="L1412" s="57" t="s">
        <v>124</v>
      </c>
      <c r="Z1412" s="55">
        <f>IF(AQ1412="5",BJ1412,0)</f>
        <v>0</v>
      </c>
      <c r="AB1412" s="55">
        <f>IF(AQ1412="1",BH1412,0)</f>
        <v>0</v>
      </c>
      <c r="AC1412" s="55">
        <f>IF(AQ1412="1",BI1412,0)</f>
        <v>0</v>
      </c>
      <c r="AD1412" s="55">
        <f>IF(AQ1412="7",BH1412,0)</f>
        <v>0</v>
      </c>
      <c r="AE1412" s="55">
        <f>IF(AQ1412="7",BI1412,0)</f>
        <v>0</v>
      </c>
      <c r="AF1412" s="55">
        <f>IF(AQ1412="2",BH1412,0)</f>
        <v>0</v>
      </c>
      <c r="AG1412" s="55">
        <f>IF(AQ1412="2",BI1412,0)</f>
        <v>0</v>
      </c>
      <c r="AH1412" s="55">
        <f>IF(AQ1412="0",BJ1412,0)</f>
        <v>0</v>
      </c>
      <c r="AI1412" s="34" t="s">
        <v>2629</v>
      </c>
      <c r="AJ1412" s="55">
        <f>IF(AN1412=0,I1412,0)</f>
        <v>0</v>
      </c>
      <c r="AK1412" s="55">
        <f>IF(AN1412=12,I1412,0)</f>
        <v>0</v>
      </c>
      <c r="AL1412" s="55">
        <f>IF(AN1412=21,I1412,0)</f>
        <v>0</v>
      </c>
      <c r="AN1412" s="55">
        <v>21</v>
      </c>
      <c r="AO1412" s="55">
        <f>H1412*0.900785449</f>
        <v>0</v>
      </c>
      <c r="AP1412" s="55">
        <f>H1412*(1-0.900785449)</f>
        <v>0</v>
      </c>
      <c r="AQ1412" s="58" t="s">
        <v>125</v>
      </c>
      <c r="AV1412" s="55">
        <f>AW1412+AX1412</f>
        <v>0</v>
      </c>
      <c r="AW1412" s="55">
        <f>G1412*AO1412</f>
        <v>0</v>
      </c>
      <c r="AX1412" s="55">
        <f>G1412*AP1412</f>
        <v>0</v>
      </c>
      <c r="AY1412" s="58" t="s">
        <v>126</v>
      </c>
      <c r="AZ1412" s="58" t="s">
        <v>2633</v>
      </c>
      <c r="BA1412" s="34" t="s">
        <v>2634</v>
      </c>
      <c r="BC1412" s="55">
        <f>AW1412+AX1412</f>
        <v>0</v>
      </c>
      <c r="BD1412" s="55">
        <f>H1412/(100-BE1412)*100</f>
        <v>0</v>
      </c>
      <c r="BE1412" s="55">
        <v>0</v>
      </c>
      <c r="BF1412" s="55">
        <f>K1412</f>
        <v>0</v>
      </c>
      <c r="BH1412" s="55">
        <f>G1412*AO1412</f>
        <v>0</v>
      </c>
      <c r="BI1412" s="55">
        <f>G1412*AP1412</f>
        <v>0</v>
      </c>
      <c r="BJ1412" s="55">
        <f>G1412*H1412</f>
        <v>0</v>
      </c>
      <c r="BK1412" s="55"/>
      <c r="BL1412" s="55"/>
      <c r="BW1412" s="55">
        <v>21</v>
      </c>
    </row>
    <row r="1413" spans="1:12" ht="13.5" customHeight="1">
      <c r="A1413" s="59"/>
      <c r="D1413" s="218" t="s">
        <v>2665</v>
      </c>
      <c r="E1413" s="219"/>
      <c r="F1413" s="219"/>
      <c r="G1413" s="219"/>
      <c r="H1413" s="220"/>
      <c r="I1413" s="219"/>
      <c r="J1413" s="219"/>
      <c r="K1413" s="219"/>
      <c r="L1413" s="221"/>
    </row>
    <row r="1414" spans="1:75" ht="27" customHeight="1">
      <c r="A1414" s="1" t="s">
        <v>2666</v>
      </c>
      <c r="B1414" s="2" t="s">
        <v>2629</v>
      </c>
      <c r="C1414" s="2" t="s">
        <v>160</v>
      </c>
      <c r="D1414" s="147" t="s">
        <v>2667</v>
      </c>
      <c r="E1414" s="148"/>
      <c r="F1414" s="2" t="s">
        <v>123</v>
      </c>
      <c r="G1414" s="55">
        <v>2</v>
      </c>
      <c r="H1414" s="56">
        <v>0</v>
      </c>
      <c r="I1414" s="55">
        <f>G1414*H1414</f>
        <v>0</v>
      </c>
      <c r="J1414" s="55">
        <v>0</v>
      </c>
      <c r="K1414" s="55">
        <f>G1414*J1414</f>
        <v>0</v>
      </c>
      <c r="L1414" s="57" t="s">
        <v>124</v>
      </c>
      <c r="Z1414" s="55">
        <f>IF(AQ1414="5",BJ1414,0)</f>
        <v>0</v>
      </c>
      <c r="AB1414" s="55">
        <f>IF(AQ1414="1",BH1414,0)</f>
        <v>0</v>
      </c>
      <c r="AC1414" s="55">
        <f>IF(AQ1414="1",BI1414,0)</f>
        <v>0</v>
      </c>
      <c r="AD1414" s="55">
        <f>IF(AQ1414="7",BH1414,0)</f>
        <v>0</v>
      </c>
      <c r="AE1414" s="55">
        <f>IF(AQ1414="7",BI1414,0)</f>
        <v>0</v>
      </c>
      <c r="AF1414" s="55">
        <f>IF(AQ1414="2",BH1414,0)</f>
        <v>0</v>
      </c>
      <c r="AG1414" s="55">
        <f>IF(AQ1414="2",BI1414,0)</f>
        <v>0</v>
      </c>
      <c r="AH1414" s="55">
        <f>IF(AQ1414="0",BJ1414,0)</f>
        <v>0</v>
      </c>
      <c r="AI1414" s="34" t="s">
        <v>2629</v>
      </c>
      <c r="AJ1414" s="55">
        <f>IF(AN1414=0,I1414,0)</f>
        <v>0</v>
      </c>
      <c r="AK1414" s="55">
        <f>IF(AN1414=12,I1414,0)</f>
        <v>0</v>
      </c>
      <c r="AL1414" s="55">
        <f>IF(AN1414=21,I1414,0)</f>
        <v>0</v>
      </c>
      <c r="AN1414" s="55">
        <v>21</v>
      </c>
      <c r="AO1414" s="55">
        <f>H1414*0.812133072</f>
        <v>0</v>
      </c>
      <c r="AP1414" s="55">
        <f>H1414*(1-0.812133072)</f>
        <v>0</v>
      </c>
      <c r="AQ1414" s="58" t="s">
        <v>125</v>
      </c>
      <c r="AV1414" s="55">
        <f>AW1414+AX1414</f>
        <v>0</v>
      </c>
      <c r="AW1414" s="55">
        <f>G1414*AO1414</f>
        <v>0</v>
      </c>
      <c r="AX1414" s="55">
        <f>G1414*AP1414</f>
        <v>0</v>
      </c>
      <c r="AY1414" s="58" t="s">
        <v>126</v>
      </c>
      <c r="AZ1414" s="58" t="s">
        <v>2633</v>
      </c>
      <c r="BA1414" s="34" t="s">
        <v>2634</v>
      </c>
      <c r="BC1414" s="55">
        <f>AW1414+AX1414</f>
        <v>0</v>
      </c>
      <c r="BD1414" s="55">
        <f>H1414/(100-BE1414)*100</f>
        <v>0</v>
      </c>
      <c r="BE1414" s="55">
        <v>0</v>
      </c>
      <c r="BF1414" s="55">
        <f>K1414</f>
        <v>0</v>
      </c>
      <c r="BH1414" s="55">
        <f>G1414*AO1414</f>
        <v>0</v>
      </c>
      <c r="BI1414" s="55">
        <f>G1414*AP1414</f>
        <v>0</v>
      </c>
      <c r="BJ1414" s="55">
        <f>G1414*H1414</f>
        <v>0</v>
      </c>
      <c r="BK1414" s="55"/>
      <c r="BL1414" s="55"/>
      <c r="BW1414" s="55">
        <v>21</v>
      </c>
    </row>
    <row r="1415" spans="1:12" ht="13.5" customHeight="1">
      <c r="A1415" s="59"/>
      <c r="D1415" s="218" t="s">
        <v>2668</v>
      </c>
      <c r="E1415" s="219"/>
      <c r="F1415" s="219"/>
      <c r="G1415" s="219"/>
      <c r="H1415" s="220"/>
      <c r="I1415" s="219"/>
      <c r="J1415" s="219"/>
      <c r="K1415" s="219"/>
      <c r="L1415" s="221"/>
    </row>
    <row r="1416" spans="1:75" ht="27" customHeight="1">
      <c r="A1416" s="1" t="s">
        <v>2669</v>
      </c>
      <c r="B1416" s="2" t="s">
        <v>2629</v>
      </c>
      <c r="C1416" s="2" t="s">
        <v>2670</v>
      </c>
      <c r="D1416" s="147" t="s">
        <v>2671</v>
      </c>
      <c r="E1416" s="148"/>
      <c r="F1416" s="2" t="s">
        <v>123</v>
      </c>
      <c r="G1416" s="55">
        <v>10</v>
      </c>
      <c r="H1416" s="56">
        <v>0</v>
      </c>
      <c r="I1416" s="55">
        <f>G1416*H1416</f>
        <v>0</v>
      </c>
      <c r="J1416" s="55">
        <v>0</v>
      </c>
      <c r="K1416" s="55">
        <f>G1416*J1416</f>
        <v>0</v>
      </c>
      <c r="L1416" s="57" t="s">
        <v>124</v>
      </c>
      <c r="Z1416" s="55">
        <f>IF(AQ1416="5",BJ1416,0)</f>
        <v>0</v>
      </c>
      <c r="AB1416" s="55">
        <f>IF(AQ1416="1",BH1416,0)</f>
        <v>0</v>
      </c>
      <c r="AC1416" s="55">
        <f>IF(AQ1416="1",BI1416,0)</f>
        <v>0</v>
      </c>
      <c r="AD1416" s="55">
        <f>IF(AQ1416="7",BH1416,0)</f>
        <v>0</v>
      </c>
      <c r="AE1416" s="55">
        <f>IF(AQ1416="7",BI1416,0)</f>
        <v>0</v>
      </c>
      <c r="AF1416" s="55">
        <f>IF(AQ1416="2",BH1416,0)</f>
        <v>0</v>
      </c>
      <c r="AG1416" s="55">
        <f>IF(AQ1416="2",BI1416,0)</f>
        <v>0</v>
      </c>
      <c r="AH1416" s="55">
        <f>IF(AQ1416="0",BJ1416,0)</f>
        <v>0</v>
      </c>
      <c r="AI1416" s="34" t="s">
        <v>2629</v>
      </c>
      <c r="AJ1416" s="55">
        <f>IF(AN1416=0,I1416,0)</f>
        <v>0</v>
      </c>
      <c r="AK1416" s="55">
        <f>IF(AN1416=12,I1416,0)</f>
        <v>0</v>
      </c>
      <c r="AL1416" s="55">
        <f>IF(AN1416=21,I1416,0)</f>
        <v>0</v>
      </c>
      <c r="AN1416" s="55">
        <v>21</v>
      </c>
      <c r="AO1416" s="55">
        <f>H1416*0.870794078</f>
        <v>0</v>
      </c>
      <c r="AP1416" s="55">
        <f>H1416*(1-0.870794078)</f>
        <v>0</v>
      </c>
      <c r="AQ1416" s="58" t="s">
        <v>125</v>
      </c>
      <c r="AV1416" s="55">
        <f>AW1416+AX1416</f>
        <v>0</v>
      </c>
      <c r="AW1416" s="55">
        <f>G1416*AO1416</f>
        <v>0</v>
      </c>
      <c r="AX1416" s="55">
        <f>G1416*AP1416</f>
        <v>0</v>
      </c>
      <c r="AY1416" s="58" t="s">
        <v>126</v>
      </c>
      <c r="AZ1416" s="58" t="s">
        <v>2633</v>
      </c>
      <c r="BA1416" s="34" t="s">
        <v>2634</v>
      </c>
      <c r="BC1416" s="55">
        <f>AW1416+AX1416</f>
        <v>0</v>
      </c>
      <c r="BD1416" s="55">
        <f>H1416/(100-BE1416)*100</f>
        <v>0</v>
      </c>
      <c r="BE1416" s="55">
        <v>0</v>
      </c>
      <c r="BF1416" s="55">
        <f>K1416</f>
        <v>0</v>
      </c>
      <c r="BH1416" s="55">
        <f>G1416*AO1416</f>
        <v>0</v>
      </c>
      <c r="BI1416" s="55">
        <f>G1416*AP1416</f>
        <v>0</v>
      </c>
      <c r="BJ1416" s="55">
        <f>G1416*H1416</f>
        <v>0</v>
      </c>
      <c r="BK1416" s="55"/>
      <c r="BL1416" s="55"/>
      <c r="BW1416" s="55">
        <v>21</v>
      </c>
    </row>
    <row r="1417" spans="1:12" ht="13.5" customHeight="1">
      <c r="A1417" s="59"/>
      <c r="D1417" s="218" t="s">
        <v>129</v>
      </c>
      <c r="E1417" s="219"/>
      <c r="F1417" s="219"/>
      <c r="G1417" s="219"/>
      <c r="H1417" s="220"/>
      <c r="I1417" s="219"/>
      <c r="J1417" s="219"/>
      <c r="K1417" s="219"/>
      <c r="L1417" s="221"/>
    </row>
    <row r="1418" spans="1:75" ht="13.5" customHeight="1">
      <c r="A1418" s="1" t="s">
        <v>2672</v>
      </c>
      <c r="B1418" s="2" t="s">
        <v>2629</v>
      </c>
      <c r="C1418" s="2" t="s">
        <v>2673</v>
      </c>
      <c r="D1418" s="147" t="s">
        <v>2674</v>
      </c>
      <c r="E1418" s="148"/>
      <c r="F1418" s="2" t="s">
        <v>123</v>
      </c>
      <c r="G1418" s="55">
        <v>8</v>
      </c>
      <c r="H1418" s="56">
        <v>0</v>
      </c>
      <c r="I1418" s="55">
        <f>G1418*H1418</f>
        <v>0</v>
      </c>
      <c r="J1418" s="55">
        <v>0</v>
      </c>
      <c r="K1418" s="55">
        <f>G1418*J1418</f>
        <v>0</v>
      </c>
      <c r="L1418" s="57" t="s">
        <v>124</v>
      </c>
      <c r="Z1418" s="55">
        <f>IF(AQ1418="5",BJ1418,0)</f>
        <v>0</v>
      </c>
      <c r="AB1418" s="55">
        <f>IF(AQ1418="1",BH1418,0)</f>
        <v>0</v>
      </c>
      <c r="AC1418" s="55">
        <f>IF(AQ1418="1",BI1418,0)</f>
        <v>0</v>
      </c>
      <c r="AD1418" s="55">
        <f>IF(AQ1418="7",BH1418,0)</f>
        <v>0</v>
      </c>
      <c r="AE1418" s="55">
        <f>IF(AQ1418="7",BI1418,0)</f>
        <v>0</v>
      </c>
      <c r="AF1418" s="55">
        <f>IF(AQ1418="2",BH1418,0)</f>
        <v>0</v>
      </c>
      <c r="AG1418" s="55">
        <f>IF(AQ1418="2",BI1418,0)</f>
        <v>0</v>
      </c>
      <c r="AH1418" s="55">
        <f>IF(AQ1418="0",BJ1418,0)</f>
        <v>0</v>
      </c>
      <c r="AI1418" s="34" t="s">
        <v>2629</v>
      </c>
      <c r="AJ1418" s="55">
        <f>IF(AN1418=0,I1418,0)</f>
        <v>0</v>
      </c>
      <c r="AK1418" s="55">
        <f>IF(AN1418=12,I1418,0)</f>
        <v>0</v>
      </c>
      <c r="AL1418" s="55">
        <f>IF(AN1418=21,I1418,0)</f>
        <v>0</v>
      </c>
      <c r="AN1418" s="55">
        <v>21</v>
      </c>
      <c r="AO1418" s="55">
        <f>H1418*0.883945841</f>
        <v>0</v>
      </c>
      <c r="AP1418" s="55">
        <f>H1418*(1-0.883945841)</f>
        <v>0</v>
      </c>
      <c r="AQ1418" s="58" t="s">
        <v>125</v>
      </c>
      <c r="AV1418" s="55">
        <f>AW1418+AX1418</f>
        <v>0</v>
      </c>
      <c r="AW1418" s="55">
        <f>G1418*AO1418</f>
        <v>0</v>
      </c>
      <c r="AX1418" s="55">
        <f>G1418*AP1418</f>
        <v>0</v>
      </c>
      <c r="AY1418" s="58" t="s">
        <v>126</v>
      </c>
      <c r="AZ1418" s="58" t="s">
        <v>2633</v>
      </c>
      <c r="BA1418" s="34" t="s">
        <v>2634</v>
      </c>
      <c r="BC1418" s="55">
        <f>AW1418+AX1418</f>
        <v>0</v>
      </c>
      <c r="BD1418" s="55">
        <f>H1418/(100-BE1418)*100</f>
        <v>0</v>
      </c>
      <c r="BE1418" s="55">
        <v>0</v>
      </c>
      <c r="BF1418" s="55">
        <f>K1418</f>
        <v>0</v>
      </c>
      <c r="BH1418" s="55">
        <f>G1418*AO1418</f>
        <v>0</v>
      </c>
      <c r="BI1418" s="55">
        <f>G1418*AP1418</f>
        <v>0</v>
      </c>
      <c r="BJ1418" s="55">
        <f>G1418*H1418</f>
        <v>0</v>
      </c>
      <c r="BK1418" s="55"/>
      <c r="BL1418" s="55"/>
      <c r="BW1418" s="55">
        <v>21</v>
      </c>
    </row>
    <row r="1419" spans="1:12" ht="13.5" customHeight="1">
      <c r="A1419" s="59"/>
      <c r="D1419" s="218" t="s">
        <v>129</v>
      </c>
      <c r="E1419" s="219"/>
      <c r="F1419" s="219"/>
      <c r="G1419" s="219"/>
      <c r="H1419" s="220"/>
      <c r="I1419" s="219"/>
      <c r="J1419" s="219"/>
      <c r="K1419" s="219"/>
      <c r="L1419" s="221"/>
    </row>
    <row r="1420" spans="1:75" ht="27" customHeight="1">
      <c r="A1420" s="1" t="s">
        <v>2675</v>
      </c>
      <c r="B1420" s="2" t="s">
        <v>2629</v>
      </c>
      <c r="C1420" s="2" t="s">
        <v>2676</v>
      </c>
      <c r="D1420" s="147" t="s">
        <v>2677</v>
      </c>
      <c r="E1420" s="148"/>
      <c r="F1420" s="2" t="s">
        <v>123</v>
      </c>
      <c r="G1420" s="55">
        <v>10</v>
      </c>
      <c r="H1420" s="56">
        <v>0</v>
      </c>
      <c r="I1420" s="55">
        <f>G1420*H1420</f>
        <v>0</v>
      </c>
      <c r="J1420" s="55">
        <v>0</v>
      </c>
      <c r="K1420" s="55">
        <f>G1420*J1420</f>
        <v>0</v>
      </c>
      <c r="L1420" s="57" t="s">
        <v>124</v>
      </c>
      <c r="Z1420" s="55">
        <f>IF(AQ1420="5",BJ1420,0)</f>
        <v>0</v>
      </c>
      <c r="AB1420" s="55">
        <f>IF(AQ1420="1",BH1420,0)</f>
        <v>0</v>
      </c>
      <c r="AC1420" s="55">
        <f>IF(AQ1420="1",BI1420,0)</f>
        <v>0</v>
      </c>
      <c r="AD1420" s="55">
        <f>IF(AQ1420="7",BH1420,0)</f>
        <v>0</v>
      </c>
      <c r="AE1420" s="55">
        <f>IF(AQ1420="7",BI1420,0)</f>
        <v>0</v>
      </c>
      <c r="AF1420" s="55">
        <f>IF(AQ1420="2",BH1420,0)</f>
        <v>0</v>
      </c>
      <c r="AG1420" s="55">
        <f>IF(AQ1420="2",BI1420,0)</f>
        <v>0</v>
      </c>
      <c r="AH1420" s="55">
        <f>IF(AQ1420="0",BJ1420,0)</f>
        <v>0</v>
      </c>
      <c r="AI1420" s="34" t="s">
        <v>2629</v>
      </c>
      <c r="AJ1420" s="55">
        <f>IF(AN1420=0,I1420,0)</f>
        <v>0</v>
      </c>
      <c r="AK1420" s="55">
        <f>IF(AN1420=12,I1420,0)</f>
        <v>0</v>
      </c>
      <c r="AL1420" s="55">
        <f>IF(AN1420=21,I1420,0)</f>
        <v>0</v>
      </c>
      <c r="AN1420" s="55">
        <v>21</v>
      </c>
      <c r="AO1420" s="55">
        <f>H1420*0.899958316</f>
        <v>0</v>
      </c>
      <c r="AP1420" s="55">
        <f>H1420*(1-0.899958316)</f>
        <v>0</v>
      </c>
      <c r="AQ1420" s="58" t="s">
        <v>125</v>
      </c>
      <c r="AV1420" s="55">
        <f>AW1420+AX1420</f>
        <v>0</v>
      </c>
      <c r="AW1420" s="55">
        <f>G1420*AO1420</f>
        <v>0</v>
      </c>
      <c r="AX1420" s="55">
        <f>G1420*AP1420</f>
        <v>0</v>
      </c>
      <c r="AY1420" s="58" t="s">
        <v>126</v>
      </c>
      <c r="AZ1420" s="58" t="s">
        <v>2633</v>
      </c>
      <c r="BA1420" s="34" t="s">
        <v>2634</v>
      </c>
      <c r="BC1420" s="55">
        <f>AW1420+AX1420</f>
        <v>0</v>
      </c>
      <c r="BD1420" s="55">
        <f>H1420/(100-BE1420)*100</f>
        <v>0</v>
      </c>
      <c r="BE1420" s="55">
        <v>0</v>
      </c>
      <c r="BF1420" s="55">
        <f>K1420</f>
        <v>0</v>
      </c>
      <c r="BH1420" s="55">
        <f>G1420*AO1420</f>
        <v>0</v>
      </c>
      <c r="BI1420" s="55">
        <f>G1420*AP1420</f>
        <v>0</v>
      </c>
      <c r="BJ1420" s="55">
        <f>G1420*H1420</f>
        <v>0</v>
      </c>
      <c r="BK1420" s="55"/>
      <c r="BL1420" s="55"/>
      <c r="BW1420" s="55">
        <v>21</v>
      </c>
    </row>
    <row r="1421" spans="1:12" ht="13.5" customHeight="1">
      <c r="A1421" s="59"/>
      <c r="D1421" s="218" t="s">
        <v>129</v>
      </c>
      <c r="E1421" s="219"/>
      <c r="F1421" s="219"/>
      <c r="G1421" s="219"/>
      <c r="H1421" s="220"/>
      <c r="I1421" s="219"/>
      <c r="J1421" s="219"/>
      <c r="K1421" s="219"/>
      <c r="L1421" s="221"/>
    </row>
    <row r="1422" spans="1:75" ht="13.5" customHeight="1">
      <c r="A1422" s="1" t="s">
        <v>2678</v>
      </c>
      <c r="B1422" s="2" t="s">
        <v>2629</v>
      </c>
      <c r="C1422" s="2" t="s">
        <v>2679</v>
      </c>
      <c r="D1422" s="147" t="s">
        <v>2680</v>
      </c>
      <c r="E1422" s="148"/>
      <c r="F1422" s="2" t="s">
        <v>250</v>
      </c>
      <c r="G1422" s="55">
        <v>1</v>
      </c>
      <c r="H1422" s="56">
        <v>0</v>
      </c>
      <c r="I1422" s="55">
        <f>G1422*H1422</f>
        <v>0</v>
      </c>
      <c r="J1422" s="55">
        <v>0</v>
      </c>
      <c r="K1422" s="55">
        <f>G1422*J1422</f>
        <v>0</v>
      </c>
      <c r="L1422" s="57" t="s">
        <v>124</v>
      </c>
      <c r="Z1422" s="55">
        <f>IF(AQ1422="5",BJ1422,0)</f>
        <v>0</v>
      </c>
      <c r="AB1422" s="55">
        <f>IF(AQ1422="1",BH1422,0)</f>
        <v>0</v>
      </c>
      <c r="AC1422" s="55">
        <f>IF(AQ1422="1",BI1422,0)</f>
        <v>0</v>
      </c>
      <c r="AD1422" s="55">
        <f>IF(AQ1422="7",BH1422,0)</f>
        <v>0</v>
      </c>
      <c r="AE1422" s="55">
        <f>IF(AQ1422="7",BI1422,0)</f>
        <v>0</v>
      </c>
      <c r="AF1422" s="55">
        <f>IF(AQ1422="2",BH1422,0)</f>
        <v>0</v>
      </c>
      <c r="AG1422" s="55">
        <f>IF(AQ1422="2",BI1422,0)</f>
        <v>0</v>
      </c>
      <c r="AH1422" s="55">
        <f>IF(AQ1422="0",BJ1422,0)</f>
        <v>0</v>
      </c>
      <c r="AI1422" s="34" t="s">
        <v>2629</v>
      </c>
      <c r="AJ1422" s="55">
        <f>IF(AN1422=0,I1422,0)</f>
        <v>0</v>
      </c>
      <c r="AK1422" s="55">
        <f>IF(AN1422=12,I1422,0)</f>
        <v>0</v>
      </c>
      <c r="AL1422" s="55">
        <f>IF(AN1422=21,I1422,0)</f>
        <v>0</v>
      </c>
      <c r="AN1422" s="55">
        <v>21</v>
      </c>
      <c r="AO1422" s="55">
        <f>H1422*0.813660325</f>
        <v>0</v>
      </c>
      <c r="AP1422" s="55">
        <f>H1422*(1-0.813660325)</f>
        <v>0</v>
      </c>
      <c r="AQ1422" s="58" t="s">
        <v>125</v>
      </c>
      <c r="AV1422" s="55">
        <f>AW1422+AX1422</f>
        <v>0</v>
      </c>
      <c r="AW1422" s="55">
        <f>G1422*AO1422</f>
        <v>0</v>
      </c>
      <c r="AX1422" s="55">
        <f>G1422*AP1422</f>
        <v>0</v>
      </c>
      <c r="AY1422" s="58" t="s">
        <v>126</v>
      </c>
      <c r="AZ1422" s="58" t="s">
        <v>2633</v>
      </c>
      <c r="BA1422" s="34" t="s">
        <v>2634</v>
      </c>
      <c r="BC1422" s="55">
        <f>AW1422+AX1422</f>
        <v>0</v>
      </c>
      <c r="BD1422" s="55">
        <f>H1422/(100-BE1422)*100</f>
        <v>0</v>
      </c>
      <c r="BE1422" s="55">
        <v>0</v>
      </c>
      <c r="BF1422" s="55">
        <f>K1422</f>
        <v>0</v>
      </c>
      <c r="BH1422" s="55">
        <f>G1422*AO1422</f>
        <v>0</v>
      </c>
      <c r="BI1422" s="55">
        <f>G1422*AP1422</f>
        <v>0</v>
      </c>
      <c r="BJ1422" s="55">
        <f>G1422*H1422</f>
        <v>0</v>
      </c>
      <c r="BK1422" s="55"/>
      <c r="BL1422" s="55"/>
      <c r="BW1422" s="55">
        <v>21</v>
      </c>
    </row>
    <row r="1423" spans="1:12" ht="13.5" customHeight="1">
      <c r="A1423" s="59"/>
      <c r="D1423" s="218" t="s">
        <v>129</v>
      </c>
      <c r="E1423" s="219"/>
      <c r="F1423" s="219"/>
      <c r="G1423" s="219"/>
      <c r="H1423" s="220"/>
      <c r="I1423" s="219"/>
      <c r="J1423" s="219"/>
      <c r="K1423" s="219"/>
      <c r="L1423" s="221"/>
    </row>
    <row r="1424" spans="1:75" ht="13.5" customHeight="1">
      <c r="A1424" s="1" t="s">
        <v>2681</v>
      </c>
      <c r="B1424" s="2" t="s">
        <v>2629</v>
      </c>
      <c r="C1424" s="2" t="s">
        <v>2682</v>
      </c>
      <c r="D1424" s="147" t="s">
        <v>2683</v>
      </c>
      <c r="E1424" s="148"/>
      <c r="F1424" s="2" t="s">
        <v>250</v>
      </c>
      <c r="G1424" s="55">
        <v>1</v>
      </c>
      <c r="H1424" s="56">
        <v>0</v>
      </c>
      <c r="I1424" s="55">
        <f>G1424*H1424</f>
        <v>0</v>
      </c>
      <c r="J1424" s="55">
        <v>0</v>
      </c>
      <c r="K1424" s="55">
        <f>G1424*J1424</f>
        <v>0</v>
      </c>
      <c r="L1424" s="57" t="s">
        <v>124</v>
      </c>
      <c r="Z1424" s="55">
        <f>IF(AQ1424="5",BJ1424,0)</f>
        <v>0</v>
      </c>
      <c r="AB1424" s="55">
        <f>IF(AQ1424="1",BH1424,0)</f>
        <v>0</v>
      </c>
      <c r="AC1424" s="55">
        <f>IF(AQ1424="1",BI1424,0)</f>
        <v>0</v>
      </c>
      <c r="AD1424" s="55">
        <f>IF(AQ1424="7",BH1424,0)</f>
        <v>0</v>
      </c>
      <c r="AE1424" s="55">
        <f>IF(AQ1424="7",BI1424,0)</f>
        <v>0</v>
      </c>
      <c r="AF1424" s="55">
        <f>IF(AQ1424="2",BH1424,0)</f>
        <v>0</v>
      </c>
      <c r="AG1424" s="55">
        <f>IF(AQ1424="2",BI1424,0)</f>
        <v>0</v>
      </c>
      <c r="AH1424" s="55">
        <f>IF(AQ1424="0",BJ1424,0)</f>
        <v>0</v>
      </c>
      <c r="AI1424" s="34" t="s">
        <v>2629</v>
      </c>
      <c r="AJ1424" s="55">
        <f>IF(AN1424=0,I1424,0)</f>
        <v>0</v>
      </c>
      <c r="AK1424" s="55">
        <f>IF(AN1424=12,I1424,0)</f>
        <v>0</v>
      </c>
      <c r="AL1424" s="55">
        <f>IF(AN1424=21,I1424,0)</f>
        <v>0</v>
      </c>
      <c r="AN1424" s="55">
        <v>21</v>
      </c>
      <c r="AO1424" s="55">
        <f>H1424*0</f>
        <v>0</v>
      </c>
      <c r="AP1424" s="55">
        <f>H1424*(1-0)</f>
        <v>0</v>
      </c>
      <c r="AQ1424" s="58" t="s">
        <v>125</v>
      </c>
      <c r="AV1424" s="55">
        <f>AW1424+AX1424</f>
        <v>0</v>
      </c>
      <c r="AW1424" s="55">
        <f>G1424*AO1424</f>
        <v>0</v>
      </c>
      <c r="AX1424" s="55">
        <f>G1424*AP1424</f>
        <v>0</v>
      </c>
      <c r="AY1424" s="58" t="s">
        <v>126</v>
      </c>
      <c r="AZ1424" s="58" t="s">
        <v>2633</v>
      </c>
      <c r="BA1424" s="34" t="s">
        <v>2634</v>
      </c>
      <c r="BC1424" s="55">
        <f>AW1424+AX1424</f>
        <v>0</v>
      </c>
      <c r="BD1424" s="55">
        <f>H1424/(100-BE1424)*100</f>
        <v>0</v>
      </c>
      <c r="BE1424" s="55">
        <v>0</v>
      </c>
      <c r="BF1424" s="55">
        <f>K1424</f>
        <v>0</v>
      </c>
      <c r="BH1424" s="55">
        <f>G1424*AO1424</f>
        <v>0</v>
      </c>
      <c r="BI1424" s="55">
        <f>G1424*AP1424</f>
        <v>0</v>
      </c>
      <c r="BJ1424" s="55">
        <f>G1424*H1424</f>
        <v>0</v>
      </c>
      <c r="BK1424" s="55"/>
      <c r="BL1424" s="55"/>
      <c r="BW1424" s="55">
        <v>21</v>
      </c>
    </row>
    <row r="1425" spans="1:75" ht="13.5" customHeight="1">
      <c r="A1425" s="1" t="s">
        <v>2684</v>
      </c>
      <c r="B1425" s="2" t="s">
        <v>2629</v>
      </c>
      <c r="C1425" s="2" t="s">
        <v>2685</v>
      </c>
      <c r="D1425" s="147" t="s">
        <v>282</v>
      </c>
      <c r="E1425" s="148"/>
      <c r="F1425" s="2" t="s">
        <v>250</v>
      </c>
      <c r="G1425" s="55">
        <v>1</v>
      </c>
      <c r="H1425" s="56">
        <v>0</v>
      </c>
      <c r="I1425" s="55">
        <f>G1425*H1425</f>
        <v>0</v>
      </c>
      <c r="J1425" s="55">
        <v>0</v>
      </c>
      <c r="K1425" s="55">
        <f>G1425*J1425</f>
        <v>0</v>
      </c>
      <c r="L1425" s="57" t="s">
        <v>124</v>
      </c>
      <c r="Z1425" s="55">
        <f>IF(AQ1425="5",BJ1425,0)</f>
        <v>0</v>
      </c>
      <c r="AB1425" s="55">
        <f>IF(AQ1425="1",BH1425,0)</f>
        <v>0</v>
      </c>
      <c r="AC1425" s="55">
        <f>IF(AQ1425="1",BI1425,0)</f>
        <v>0</v>
      </c>
      <c r="AD1425" s="55">
        <f>IF(AQ1425="7",BH1425,0)</f>
        <v>0</v>
      </c>
      <c r="AE1425" s="55">
        <f>IF(AQ1425="7",BI1425,0)</f>
        <v>0</v>
      </c>
      <c r="AF1425" s="55">
        <f>IF(AQ1425="2",BH1425,0)</f>
        <v>0</v>
      </c>
      <c r="AG1425" s="55">
        <f>IF(AQ1425="2",BI1425,0)</f>
        <v>0</v>
      </c>
      <c r="AH1425" s="55">
        <f>IF(AQ1425="0",BJ1425,0)</f>
        <v>0</v>
      </c>
      <c r="AI1425" s="34" t="s">
        <v>2629</v>
      </c>
      <c r="AJ1425" s="55">
        <f>IF(AN1425=0,I1425,0)</f>
        <v>0</v>
      </c>
      <c r="AK1425" s="55">
        <f>IF(AN1425=12,I1425,0)</f>
        <v>0</v>
      </c>
      <c r="AL1425" s="55">
        <f>IF(AN1425=21,I1425,0)</f>
        <v>0</v>
      </c>
      <c r="AN1425" s="55">
        <v>21</v>
      </c>
      <c r="AO1425" s="55">
        <f>H1425*0</f>
        <v>0</v>
      </c>
      <c r="AP1425" s="55">
        <f>H1425*(1-0)</f>
        <v>0</v>
      </c>
      <c r="AQ1425" s="58" t="s">
        <v>125</v>
      </c>
      <c r="AV1425" s="55">
        <f>AW1425+AX1425</f>
        <v>0</v>
      </c>
      <c r="AW1425" s="55">
        <f>G1425*AO1425</f>
        <v>0</v>
      </c>
      <c r="AX1425" s="55">
        <f>G1425*AP1425</f>
        <v>0</v>
      </c>
      <c r="AY1425" s="58" t="s">
        <v>126</v>
      </c>
      <c r="AZ1425" s="58" t="s">
        <v>2633</v>
      </c>
      <c r="BA1425" s="34" t="s">
        <v>2634</v>
      </c>
      <c r="BC1425" s="55">
        <f>AW1425+AX1425</f>
        <v>0</v>
      </c>
      <c r="BD1425" s="55">
        <f>H1425/(100-BE1425)*100</f>
        <v>0</v>
      </c>
      <c r="BE1425" s="55">
        <v>0</v>
      </c>
      <c r="BF1425" s="55">
        <f>K1425</f>
        <v>0</v>
      </c>
      <c r="BH1425" s="55">
        <f>G1425*AO1425</f>
        <v>0</v>
      </c>
      <c r="BI1425" s="55">
        <f>G1425*AP1425</f>
        <v>0</v>
      </c>
      <c r="BJ1425" s="55">
        <f>G1425*H1425</f>
        <v>0</v>
      </c>
      <c r="BK1425" s="55"/>
      <c r="BL1425" s="55"/>
      <c r="BW1425" s="55">
        <v>21</v>
      </c>
    </row>
    <row r="1426" spans="1:75" ht="13.5" customHeight="1">
      <c r="A1426" s="1" t="s">
        <v>2686</v>
      </c>
      <c r="B1426" s="2" t="s">
        <v>2629</v>
      </c>
      <c r="C1426" s="2" t="s">
        <v>2687</v>
      </c>
      <c r="D1426" s="147" t="s">
        <v>285</v>
      </c>
      <c r="E1426" s="148"/>
      <c r="F1426" s="2" t="s">
        <v>250</v>
      </c>
      <c r="G1426" s="55">
        <v>1</v>
      </c>
      <c r="H1426" s="56">
        <v>0</v>
      </c>
      <c r="I1426" s="55">
        <f>G1426*H1426</f>
        <v>0</v>
      </c>
      <c r="J1426" s="55">
        <v>0</v>
      </c>
      <c r="K1426" s="55">
        <f>G1426*J1426</f>
        <v>0</v>
      </c>
      <c r="L1426" s="57" t="s">
        <v>124</v>
      </c>
      <c r="Z1426" s="55">
        <f>IF(AQ1426="5",BJ1426,0)</f>
        <v>0</v>
      </c>
      <c r="AB1426" s="55">
        <f>IF(AQ1426="1",BH1426,0)</f>
        <v>0</v>
      </c>
      <c r="AC1426" s="55">
        <f>IF(AQ1426="1",BI1426,0)</f>
        <v>0</v>
      </c>
      <c r="AD1426" s="55">
        <f>IF(AQ1426="7",BH1426,0)</f>
        <v>0</v>
      </c>
      <c r="AE1426" s="55">
        <f>IF(AQ1426="7",BI1426,0)</f>
        <v>0</v>
      </c>
      <c r="AF1426" s="55">
        <f>IF(AQ1426="2",BH1426,0)</f>
        <v>0</v>
      </c>
      <c r="AG1426" s="55">
        <f>IF(AQ1426="2",BI1426,0)</f>
        <v>0</v>
      </c>
      <c r="AH1426" s="55">
        <f>IF(AQ1426="0",BJ1426,0)</f>
        <v>0</v>
      </c>
      <c r="AI1426" s="34" t="s">
        <v>2629</v>
      </c>
      <c r="AJ1426" s="55">
        <f>IF(AN1426=0,I1426,0)</f>
        <v>0</v>
      </c>
      <c r="AK1426" s="55">
        <f>IF(AN1426=12,I1426,0)</f>
        <v>0</v>
      </c>
      <c r="AL1426" s="55">
        <f>IF(AN1426=21,I1426,0)</f>
        <v>0</v>
      </c>
      <c r="AN1426" s="55">
        <v>21</v>
      </c>
      <c r="AO1426" s="55">
        <f>H1426*0</f>
        <v>0</v>
      </c>
      <c r="AP1426" s="55">
        <f>H1426*(1-0)</f>
        <v>0</v>
      </c>
      <c r="AQ1426" s="58" t="s">
        <v>125</v>
      </c>
      <c r="AV1426" s="55">
        <f>AW1426+AX1426</f>
        <v>0</v>
      </c>
      <c r="AW1426" s="55">
        <f>G1426*AO1426</f>
        <v>0</v>
      </c>
      <c r="AX1426" s="55">
        <f>G1426*AP1426</f>
        <v>0</v>
      </c>
      <c r="AY1426" s="58" t="s">
        <v>126</v>
      </c>
      <c r="AZ1426" s="58" t="s">
        <v>2633</v>
      </c>
      <c r="BA1426" s="34" t="s">
        <v>2634</v>
      </c>
      <c r="BC1426" s="55">
        <f>AW1426+AX1426</f>
        <v>0</v>
      </c>
      <c r="BD1426" s="55">
        <f>H1426/(100-BE1426)*100</f>
        <v>0</v>
      </c>
      <c r="BE1426" s="55">
        <v>0</v>
      </c>
      <c r="BF1426" s="55">
        <f>K1426</f>
        <v>0</v>
      </c>
      <c r="BH1426" s="55">
        <f>G1426*AO1426</f>
        <v>0</v>
      </c>
      <c r="BI1426" s="55">
        <f>G1426*AP1426</f>
        <v>0</v>
      </c>
      <c r="BJ1426" s="55">
        <f>G1426*H1426</f>
        <v>0</v>
      </c>
      <c r="BK1426" s="55"/>
      <c r="BL1426" s="55"/>
      <c r="BW1426" s="55">
        <v>21</v>
      </c>
    </row>
    <row r="1427" spans="1:75" ht="13.5" customHeight="1">
      <c r="A1427" s="1" t="s">
        <v>2688</v>
      </c>
      <c r="B1427" s="2" t="s">
        <v>2629</v>
      </c>
      <c r="C1427" s="2" t="s">
        <v>2689</v>
      </c>
      <c r="D1427" s="147" t="s">
        <v>2690</v>
      </c>
      <c r="E1427" s="148"/>
      <c r="F1427" s="2" t="s">
        <v>250</v>
      </c>
      <c r="G1427" s="55">
        <v>1</v>
      </c>
      <c r="H1427" s="56">
        <v>0</v>
      </c>
      <c r="I1427" s="55">
        <f>G1427*H1427</f>
        <v>0</v>
      </c>
      <c r="J1427" s="55">
        <v>0</v>
      </c>
      <c r="K1427" s="55">
        <f>G1427*J1427</f>
        <v>0</v>
      </c>
      <c r="L1427" s="57" t="s">
        <v>124</v>
      </c>
      <c r="Z1427" s="55">
        <f>IF(AQ1427="5",BJ1427,0)</f>
        <v>0</v>
      </c>
      <c r="AB1427" s="55">
        <f>IF(AQ1427="1",BH1427,0)</f>
        <v>0</v>
      </c>
      <c r="AC1427" s="55">
        <f>IF(AQ1427="1",BI1427,0)</f>
        <v>0</v>
      </c>
      <c r="AD1427" s="55">
        <f>IF(AQ1427="7",BH1427,0)</f>
        <v>0</v>
      </c>
      <c r="AE1427" s="55">
        <f>IF(AQ1427="7",BI1427,0)</f>
        <v>0</v>
      </c>
      <c r="AF1427" s="55">
        <f>IF(AQ1427="2",BH1427,0)</f>
        <v>0</v>
      </c>
      <c r="AG1427" s="55">
        <f>IF(AQ1427="2",BI1427,0)</f>
        <v>0</v>
      </c>
      <c r="AH1427" s="55">
        <f>IF(AQ1427="0",BJ1427,0)</f>
        <v>0</v>
      </c>
      <c r="AI1427" s="34" t="s">
        <v>2629</v>
      </c>
      <c r="AJ1427" s="55">
        <f>IF(AN1427=0,I1427,0)</f>
        <v>0</v>
      </c>
      <c r="AK1427" s="55">
        <f>IF(AN1427=12,I1427,0)</f>
        <v>0</v>
      </c>
      <c r="AL1427" s="55">
        <f>IF(AN1427=21,I1427,0)</f>
        <v>0</v>
      </c>
      <c r="AN1427" s="55">
        <v>21</v>
      </c>
      <c r="AO1427" s="55">
        <f>H1427*0</f>
        <v>0</v>
      </c>
      <c r="AP1427" s="55">
        <f>H1427*(1-0)</f>
        <v>0</v>
      </c>
      <c r="AQ1427" s="58" t="s">
        <v>125</v>
      </c>
      <c r="AV1427" s="55">
        <f>AW1427+AX1427</f>
        <v>0</v>
      </c>
      <c r="AW1427" s="55">
        <f>G1427*AO1427</f>
        <v>0</v>
      </c>
      <c r="AX1427" s="55">
        <f>G1427*AP1427</f>
        <v>0</v>
      </c>
      <c r="AY1427" s="58" t="s">
        <v>126</v>
      </c>
      <c r="AZ1427" s="58" t="s">
        <v>2633</v>
      </c>
      <c r="BA1427" s="34" t="s">
        <v>2634</v>
      </c>
      <c r="BC1427" s="55">
        <f>AW1427+AX1427</f>
        <v>0</v>
      </c>
      <c r="BD1427" s="55">
        <f>H1427/(100-BE1427)*100</f>
        <v>0</v>
      </c>
      <c r="BE1427" s="55">
        <v>0</v>
      </c>
      <c r="BF1427" s="55">
        <f>K1427</f>
        <v>0</v>
      </c>
      <c r="BH1427" s="55">
        <f>G1427*AO1427</f>
        <v>0</v>
      </c>
      <c r="BI1427" s="55">
        <f>G1427*AP1427</f>
        <v>0</v>
      </c>
      <c r="BJ1427" s="55">
        <f>G1427*H1427</f>
        <v>0</v>
      </c>
      <c r="BK1427" s="55"/>
      <c r="BL1427" s="55"/>
      <c r="BW1427" s="55">
        <v>21</v>
      </c>
    </row>
    <row r="1428" spans="1:75" ht="13.5" customHeight="1">
      <c r="A1428" s="1" t="s">
        <v>2691</v>
      </c>
      <c r="B1428" s="2" t="s">
        <v>2629</v>
      </c>
      <c r="C1428" s="2" t="s">
        <v>2692</v>
      </c>
      <c r="D1428" s="147" t="s">
        <v>2693</v>
      </c>
      <c r="E1428" s="148"/>
      <c r="F1428" s="2" t="s">
        <v>250</v>
      </c>
      <c r="G1428" s="55">
        <v>1</v>
      </c>
      <c r="H1428" s="56">
        <v>0</v>
      </c>
      <c r="I1428" s="55">
        <f>G1428*H1428</f>
        <v>0</v>
      </c>
      <c r="J1428" s="55">
        <v>0</v>
      </c>
      <c r="K1428" s="55">
        <f>G1428*J1428</f>
        <v>0</v>
      </c>
      <c r="L1428" s="57" t="s">
        <v>124</v>
      </c>
      <c r="Z1428" s="55">
        <f>IF(AQ1428="5",BJ1428,0)</f>
        <v>0</v>
      </c>
      <c r="AB1428" s="55">
        <f>IF(AQ1428="1",BH1428,0)</f>
        <v>0</v>
      </c>
      <c r="AC1428" s="55">
        <f>IF(AQ1428="1",BI1428,0)</f>
        <v>0</v>
      </c>
      <c r="AD1428" s="55">
        <f>IF(AQ1428="7",BH1428,0)</f>
        <v>0</v>
      </c>
      <c r="AE1428" s="55">
        <f>IF(AQ1428="7",BI1428,0)</f>
        <v>0</v>
      </c>
      <c r="AF1428" s="55">
        <f>IF(AQ1428="2",BH1428,0)</f>
        <v>0</v>
      </c>
      <c r="AG1428" s="55">
        <f>IF(AQ1428="2",BI1428,0)</f>
        <v>0</v>
      </c>
      <c r="AH1428" s="55">
        <f>IF(AQ1428="0",BJ1428,0)</f>
        <v>0</v>
      </c>
      <c r="AI1428" s="34" t="s">
        <v>2629</v>
      </c>
      <c r="AJ1428" s="55">
        <f>IF(AN1428=0,I1428,0)</f>
        <v>0</v>
      </c>
      <c r="AK1428" s="55">
        <f>IF(AN1428=12,I1428,0)</f>
        <v>0</v>
      </c>
      <c r="AL1428" s="55">
        <f>IF(AN1428=21,I1428,0)</f>
        <v>0</v>
      </c>
      <c r="AN1428" s="55">
        <v>21</v>
      </c>
      <c r="AO1428" s="55">
        <f>H1428*0</f>
        <v>0</v>
      </c>
      <c r="AP1428" s="55">
        <f>H1428*(1-0)</f>
        <v>0</v>
      </c>
      <c r="AQ1428" s="58" t="s">
        <v>125</v>
      </c>
      <c r="AV1428" s="55">
        <f>AW1428+AX1428</f>
        <v>0</v>
      </c>
      <c r="AW1428" s="55">
        <f>G1428*AO1428</f>
        <v>0</v>
      </c>
      <c r="AX1428" s="55">
        <f>G1428*AP1428</f>
        <v>0</v>
      </c>
      <c r="AY1428" s="58" t="s">
        <v>126</v>
      </c>
      <c r="AZ1428" s="58" t="s">
        <v>2633</v>
      </c>
      <c r="BA1428" s="34" t="s">
        <v>2634</v>
      </c>
      <c r="BC1428" s="55">
        <f>AW1428+AX1428</f>
        <v>0</v>
      </c>
      <c r="BD1428" s="55">
        <f>H1428/(100-BE1428)*100</f>
        <v>0</v>
      </c>
      <c r="BE1428" s="55">
        <v>0</v>
      </c>
      <c r="BF1428" s="55">
        <f>K1428</f>
        <v>0</v>
      </c>
      <c r="BH1428" s="55">
        <f>G1428*AO1428</f>
        <v>0</v>
      </c>
      <c r="BI1428" s="55">
        <f>G1428*AP1428</f>
        <v>0</v>
      </c>
      <c r="BJ1428" s="55">
        <f>G1428*H1428</f>
        <v>0</v>
      </c>
      <c r="BK1428" s="55"/>
      <c r="BL1428" s="55"/>
      <c r="BW1428" s="55">
        <v>21</v>
      </c>
    </row>
    <row r="1429" spans="1:47" ht="14.4">
      <c r="A1429" s="50" t="s">
        <v>4</v>
      </c>
      <c r="B1429" s="51" t="s">
        <v>2629</v>
      </c>
      <c r="C1429" s="51" t="s">
        <v>2694</v>
      </c>
      <c r="D1429" s="222" t="s">
        <v>2695</v>
      </c>
      <c r="E1429" s="223"/>
      <c r="F1429" s="52" t="s">
        <v>79</v>
      </c>
      <c r="G1429" s="52" t="s">
        <v>79</v>
      </c>
      <c r="H1429" s="53" t="s">
        <v>79</v>
      </c>
      <c r="I1429" s="27">
        <f>SUM(I1430:I1485)</f>
        <v>0</v>
      </c>
      <c r="J1429" s="34" t="s">
        <v>4</v>
      </c>
      <c r="K1429" s="27">
        <f>SUM(K1430:K1485)</f>
        <v>0</v>
      </c>
      <c r="L1429" s="54" t="s">
        <v>4</v>
      </c>
      <c r="AI1429" s="34" t="s">
        <v>2629</v>
      </c>
      <c r="AS1429" s="27">
        <f>SUM(AJ1430:AJ1485)</f>
        <v>0</v>
      </c>
      <c r="AT1429" s="27">
        <f>SUM(AK1430:AK1485)</f>
        <v>0</v>
      </c>
      <c r="AU1429" s="27">
        <f>SUM(AL1430:AL1485)</f>
        <v>0</v>
      </c>
    </row>
    <row r="1430" spans="1:75" ht="13.5" customHeight="1">
      <c r="A1430" s="1" t="s">
        <v>2696</v>
      </c>
      <c r="B1430" s="2" t="s">
        <v>2629</v>
      </c>
      <c r="C1430" s="2" t="s">
        <v>2697</v>
      </c>
      <c r="D1430" s="147" t="s">
        <v>2698</v>
      </c>
      <c r="E1430" s="148"/>
      <c r="F1430" s="2" t="s">
        <v>174</v>
      </c>
      <c r="G1430" s="55">
        <v>30</v>
      </c>
      <c r="H1430" s="56">
        <v>0</v>
      </c>
      <c r="I1430" s="55">
        <f>G1430*H1430</f>
        <v>0</v>
      </c>
      <c r="J1430" s="55">
        <v>0</v>
      </c>
      <c r="K1430" s="55">
        <f>G1430*J1430</f>
        <v>0</v>
      </c>
      <c r="L1430" s="57" t="s">
        <v>124</v>
      </c>
      <c r="Z1430" s="55">
        <f>IF(AQ1430="5",BJ1430,0)</f>
        <v>0</v>
      </c>
      <c r="AB1430" s="55">
        <f>IF(AQ1430="1",BH1430,0)</f>
        <v>0</v>
      </c>
      <c r="AC1430" s="55">
        <f>IF(AQ1430="1",BI1430,0)</f>
        <v>0</v>
      </c>
      <c r="AD1430" s="55">
        <f>IF(AQ1430="7",BH1430,0)</f>
        <v>0</v>
      </c>
      <c r="AE1430" s="55">
        <f>IF(AQ1430="7",BI1430,0)</f>
        <v>0</v>
      </c>
      <c r="AF1430" s="55">
        <f>IF(AQ1430="2",BH1430,0)</f>
        <v>0</v>
      </c>
      <c r="AG1430" s="55">
        <f>IF(AQ1430="2",BI1430,0)</f>
        <v>0</v>
      </c>
      <c r="AH1430" s="55">
        <f>IF(AQ1430="0",BJ1430,0)</f>
        <v>0</v>
      </c>
      <c r="AI1430" s="34" t="s">
        <v>2629</v>
      </c>
      <c r="AJ1430" s="55">
        <f>IF(AN1430=0,I1430,0)</f>
        <v>0</v>
      </c>
      <c r="AK1430" s="55">
        <f>IF(AN1430=12,I1430,0)</f>
        <v>0</v>
      </c>
      <c r="AL1430" s="55">
        <f>IF(AN1430=21,I1430,0)</f>
        <v>0</v>
      </c>
      <c r="AN1430" s="55">
        <v>21</v>
      </c>
      <c r="AO1430" s="55">
        <f>H1430*0.551401869</f>
        <v>0</v>
      </c>
      <c r="AP1430" s="55">
        <f>H1430*(1-0.551401869)</f>
        <v>0</v>
      </c>
      <c r="AQ1430" s="58" t="s">
        <v>125</v>
      </c>
      <c r="AV1430" s="55">
        <f>AW1430+AX1430</f>
        <v>0</v>
      </c>
      <c r="AW1430" s="55">
        <f>G1430*AO1430</f>
        <v>0</v>
      </c>
      <c r="AX1430" s="55">
        <f>G1430*AP1430</f>
        <v>0</v>
      </c>
      <c r="AY1430" s="58" t="s">
        <v>2699</v>
      </c>
      <c r="AZ1430" s="58" t="s">
        <v>2633</v>
      </c>
      <c r="BA1430" s="34" t="s">
        <v>2634</v>
      </c>
      <c r="BC1430" s="55">
        <f>AW1430+AX1430</f>
        <v>0</v>
      </c>
      <c r="BD1430" s="55">
        <f>H1430/(100-BE1430)*100</f>
        <v>0</v>
      </c>
      <c r="BE1430" s="55">
        <v>0</v>
      </c>
      <c r="BF1430" s="55">
        <f>K1430</f>
        <v>0</v>
      </c>
      <c r="BH1430" s="55">
        <f>G1430*AO1430</f>
        <v>0</v>
      </c>
      <c r="BI1430" s="55">
        <f>G1430*AP1430</f>
        <v>0</v>
      </c>
      <c r="BJ1430" s="55">
        <f>G1430*H1430</f>
        <v>0</v>
      </c>
      <c r="BK1430" s="55"/>
      <c r="BL1430" s="55"/>
      <c r="BW1430" s="55">
        <v>21</v>
      </c>
    </row>
    <row r="1431" spans="1:12" ht="13.5" customHeight="1">
      <c r="A1431" s="59"/>
      <c r="D1431" s="218" t="s">
        <v>129</v>
      </c>
      <c r="E1431" s="219"/>
      <c r="F1431" s="219"/>
      <c r="G1431" s="219"/>
      <c r="H1431" s="220"/>
      <c r="I1431" s="219"/>
      <c r="J1431" s="219"/>
      <c r="K1431" s="219"/>
      <c r="L1431" s="221"/>
    </row>
    <row r="1432" spans="1:75" ht="13.5" customHeight="1">
      <c r="A1432" s="1" t="s">
        <v>2700</v>
      </c>
      <c r="B1432" s="2" t="s">
        <v>2629</v>
      </c>
      <c r="C1432" s="2" t="s">
        <v>2701</v>
      </c>
      <c r="D1432" s="147" t="s">
        <v>2702</v>
      </c>
      <c r="E1432" s="148"/>
      <c r="F1432" s="2" t="s">
        <v>174</v>
      </c>
      <c r="G1432" s="55">
        <v>48</v>
      </c>
      <c r="H1432" s="56">
        <v>0</v>
      </c>
      <c r="I1432" s="55">
        <f>G1432*H1432</f>
        <v>0</v>
      </c>
      <c r="J1432" s="55">
        <v>0</v>
      </c>
      <c r="K1432" s="55">
        <f>G1432*J1432</f>
        <v>0</v>
      </c>
      <c r="L1432" s="57" t="s">
        <v>124</v>
      </c>
      <c r="Z1432" s="55">
        <f>IF(AQ1432="5",BJ1432,0)</f>
        <v>0</v>
      </c>
      <c r="AB1432" s="55">
        <f>IF(AQ1432="1",BH1432,0)</f>
        <v>0</v>
      </c>
      <c r="AC1432" s="55">
        <f>IF(AQ1432="1",BI1432,0)</f>
        <v>0</v>
      </c>
      <c r="AD1432" s="55">
        <f>IF(AQ1432="7",BH1432,0)</f>
        <v>0</v>
      </c>
      <c r="AE1432" s="55">
        <f>IF(AQ1432="7",BI1432,0)</f>
        <v>0</v>
      </c>
      <c r="AF1432" s="55">
        <f>IF(AQ1432="2",BH1432,0)</f>
        <v>0</v>
      </c>
      <c r="AG1432" s="55">
        <f>IF(AQ1432="2",BI1432,0)</f>
        <v>0</v>
      </c>
      <c r="AH1432" s="55">
        <f>IF(AQ1432="0",BJ1432,0)</f>
        <v>0</v>
      </c>
      <c r="AI1432" s="34" t="s">
        <v>2629</v>
      </c>
      <c r="AJ1432" s="55">
        <f>IF(AN1432=0,I1432,0)</f>
        <v>0</v>
      </c>
      <c r="AK1432" s="55">
        <f>IF(AN1432=12,I1432,0)</f>
        <v>0</v>
      </c>
      <c r="AL1432" s="55">
        <f>IF(AN1432=21,I1432,0)</f>
        <v>0</v>
      </c>
      <c r="AN1432" s="55">
        <v>21</v>
      </c>
      <c r="AO1432" s="55">
        <f>H1432*0.514851485</f>
        <v>0</v>
      </c>
      <c r="AP1432" s="55">
        <f>H1432*(1-0.514851485)</f>
        <v>0</v>
      </c>
      <c r="AQ1432" s="58" t="s">
        <v>125</v>
      </c>
      <c r="AV1432" s="55">
        <f>AW1432+AX1432</f>
        <v>0</v>
      </c>
      <c r="AW1432" s="55">
        <f>G1432*AO1432</f>
        <v>0</v>
      </c>
      <c r="AX1432" s="55">
        <f>G1432*AP1432</f>
        <v>0</v>
      </c>
      <c r="AY1432" s="58" t="s">
        <v>2699</v>
      </c>
      <c r="AZ1432" s="58" t="s">
        <v>2633</v>
      </c>
      <c r="BA1432" s="34" t="s">
        <v>2634</v>
      </c>
      <c r="BC1432" s="55">
        <f>AW1432+AX1432</f>
        <v>0</v>
      </c>
      <c r="BD1432" s="55">
        <f>H1432/(100-BE1432)*100</f>
        <v>0</v>
      </c>
      <c r="BE1432" s="55">
        <v>0</v>
      </c>
      <c r="BF1432" s="55">
        <f>K1432</f>
        <v>0</v>
      </c>
      <c r="BH1432" s="55">
        <f>G1432*AO1432</f>
        <v>0</v>
      </c>
      <c r="BI1432" s="55">
        <f>G1432*AP1432</f>
        <v>0</v>
      </c>
      <c r="BJ1432" s="55">
        <f>G1432*H1432</f>
        <v>0</v>
      </c>
      <c r="BK1432" s="55"/>
      <c r="BL1432" s="55"/>
      <c r="BW1432" s="55">
        <v>21</v>
      </c>
    </row>
    <row r="1433" spans="1:12" ht="13.5" customHeight="1">
      <c r="A1433" s="59"/>
      <c r="D1433" s="218" t="s">
        <v>129</v>
      </c>
      <c r="E1433" s="219"/>
      <c r="F1433" s="219"/>
      <c r="G1433" s="219"/>
      <c r="H1433" s="220"/>
      <c r="I1433" s="219"/>
      <c r="J1433" s="219"/>
      <c r="K1433" s="219"/>
      <c r="L1433" s="221"/>
    </row>
    <row r="1434" spans="1:75" ht="13.5" customHeight="1">
      <c r="A1434" s="1" t="s">
        <v>2703</v>
      </c>
      <c r="B1434" s="2" t="s">
        <v>2629</v>
      </c>
      <c r="C1434" s="2" t="s">
        <v>2704</v>
      </c>
      <c r="D1434" s="147" t="s">
        <v>2705</v>
      </c>
      <c r="E1434" s="148"/>
      <c r="F1434" s="2" t="s">
        <v>174</v>
      </c>
      <c r="G1434" s="55">
        <v>54</v>
      </c>
      <c r="H1434" s="56">
        <v>0</v>
      </c>
      <c r="I1434" s="55">
        <f>G1434*H1434</f>
        <v>0</v>
      </c>
      <c r="J1434" s="55">
        <v>0</v>
      </c>
      <c r="K1434" s="55">
        <f>G1434*J1434</f>
        <v>0</v>
      </c>
      <c r="L1434" s="57" t="s">
        <v>124</v>
      </c>
      <c r="Z1434" s="55">
        <f>IF(AQ1434="5",BJ1434,0)</f>
        <v>0</v>
      </c>
      <c r="AB1434" s="55">
        <f>IF(AQ1434="1",BH1434,0)</f>
        <v>0</v>
      </c>
      <c r="AC1434" s="55">
        <f>IF(AQ1434="1",BI1434,0)</f>
        <v>0</v>
      </c>
      <c r="AD1434" s="55">
        <f>IF(AQ1434="7",BH1434,0)</f>
        <v>0</v>
      </c>
      <c r="AE1434" s="55">
        <f>IF(AQ1434="7",BI1434,0)</f>
        <v>0</v>
      </c>
      <c r="AF1434" s="55">
        <f>IF(AQ1434="2",BH1434,0)</f>
        <v>0</v>
      </c>
      <c r="AG1434" s="55">
        <f>IF(AQ1434="2",BI1434,0)</f>
        <v>0</v>
      </c>
      <c r="AH1434" s="55">
        <f>IF(AQ1434="0",BJ1434,0)</f>
        <v>0</v>
      </c>
      <c r="AI1434" s="34" t="s">
        <v>2629</v>
      </c>
      <c r="AJ1434" s="55">
        <f>IF(AN1434=0,I1434,0)</f>
        <v>0</v>
      </c>
      <c r="AK1434" s="55">
        <f>IF(AN1434=12,I1434,0)</f>
        <v>0</v>
      </c>
      <c r="AL1434" s="55">
        <f>IF(AN1434=21,I1434,0)</f>
        <v>0</v>
      </c>
      <c r="AN1434" s="55">
        <v>21</v>
      </c>
      <c r="AO1434" s="55">
        <f>H1434*0.015151515</f>
        <v>0</v>
      </c>
      <c r="AP1434" s="55">
        <f>H1434*(1-0.015151515)</f>
        <v>0</v>
      </c>
      <c r="AQ1434" s="58" t="s">
        <v>125</v>
      </c>
      <c r="AV1434" s="55">
        <f>AW1434+AX1434</f>
        <v>0</v>
      </c>
      <c r="AW1434" s="55">
        <f>G1434*AO1434</f>
        <v>0</v>
      </c>
      <c r="AX1434" s="55">
        <f>G1434*AP1434</f>
        <v>0</v>
      </c>
      <c r="AY1434" s="58" t="s">
        <v>2699</v>
      </c>
      <c r="AZ1434" s="58" t="s">
        <v>2633</v>
      </c>
      <c r="BA1434" s="34" t="s">
        <v>2634</v>
      </c>
      <c r="BC1434" s="55">
        <f>AW1434+AX1434</f>
        <v>0</v>
      </c>
      <c r="BD1434" s="55">
        <f>H1434/(100-BE1434)*100</f>
        <v>0</v>
      </c>
      <c r="BE1434" s="55">
        <v>0</v>
      </c>
      <c r="BF1434" s="55">
        <f>K1434</f>
        <v>0</v>
      </c>
      <c r="BH1434" s="55">
        <f>G1434*AO1434</f>
        <v>0</v>
      </c>
      <c r="BI1434" s="55">
        <f>G1434*AP1434</f>
        <v>0</v>
      </c>
      <c r="BJ1434" s="55">
        <f>G1434*H1434</f>
        <v>0</v>
      </c>
      <c r="BK1434" s="55"/>
      <c r="BL1434" s="55"/>
      <c r="BW1434" s="55">
        <v>21</v>
      </c>
    </row>
    <row r="1435" spans="1:12" ht="13.5" customHeight="1">
      <c r="A1435" s="59"/>
      <c r="D1435" s="218" t="s">
        <v>129</v>
      </c>
      <c r="E1435" s="219"/>
      <c r="F1435" s="219"/>
      <c r="G1435" s="219"/>
      <c r="H1435" s="220"/>
      <c r="I1435" s="219"/>
      <c r="J1435" s="219"/>
      <c r="K1435" s="219"/>
      <c r="L1435" s="221"/>
    </row>
    <row r="1436" spans="1:75" ht="13.5" customHeight="1">
      <c r="A1436" s="1" t="s">
        <v>2706</v>
      </c>
      <c r="B1436" s="2" t="s">
        <v>2629</v>
      </c>
      <c r="C1436" s="2" t="s">
        <v>2707</v>
      </c>
      <c r="D1436" s="147" t="s">
        <v>2708</v>
      </c>
      <c r="E1436" s="148"/>
      <c r="F1436" s="2" t="s">
        <v>123</v>
      </c>
      <c r="G1436" s="55">
        <v>5</v>
      </c>
      <c r="H1436" s="56">
        <v>0</v>
      </c>
      <c r="I1436" s="55">
        <f>G1436*H1436</f>
        <v>0</v>
      </c>
      <c r="J1436" s="55">
        <v>0</v>
      </c>
      <c r="K1436" s="55">
        <f>G1436*J1436</f>
        <v>0</v>
      </c>
      <c r="L1436" s="57" t="s">
        <v>124</v>
      </c>
      <c r="Z1436" s="55">
        <f>IF(AQ1436="5",BJ1436,0)</f>
        <v>0</v>
      </c>
      <c r="AB1436" s="55">
        <f>IF(AQ1436="1",BH1436,0)</f>
        <v>0</v>
      </c>
      <c r="AC1436" s="55">
        <f>IF(AQ1436="1",BI1436,0)</f>
        <v>0</v>
      </c>
      <c r="AD1436" s="55">
        <f>IF(AQ1436="7",BH1436,0)</f>
        <v>0</v>
      </c>
      <c r="AE1436" s="55">
        <f>IF(AQ1436="7",BI1436,0)</f>
        <v>0</v>
      </c>
      <c r="AF1436" s="55">
        <f>IF(AQ1436="2",BH1436,0)</f>
        <v>0</v>
      </c>
      <c r="AG1436" s="55">
        <f>IF(AQ1436="2",BI1436,0)</f>
        <v>0</v>
      </c>
      <c r="AH1436" s="55">
        <f>IF(AQ1436="0",BJ1436,0)</f>
        <v>0</v>
      </c>
      <c r="AI1436" s="34" t="s">
        <v>2629</v>
      </c>
      <c r="AJ1436" s="55">
        <f>IF(AN1436=0,I1436,0)</f>
        <v>0</v>
      </c>
      <c r="AK1436" s="55">
        <f>IF(AN1436=12,I1436,0)</f>
        <v>0</v>
      </c>
      <c r="AL1436" s="55">
        <f>IF(AN1436=21,I1436,0)</f>
        <v>0</v>
      </c>
      <c r="AN1436" s="55">
        <v>21</v>
      </c>
      <c r="AO1436" s="55">
        <f>H1436*0.534246575</f>
        <v>0</v>
      </c>
      <c r="AP1436" s="55">
        <f>H1436*(1-0.534246575)</f>
        <v>0</v>
      </c>
      <c r="AQ1436" s="58" t="s">
        <v>125</v>
      </c>
      <c r="AV1436" s="55">
        <f>AW1436+AX1436</f>
        <v>0</v>
      </c>
      <c r="AW1436" s="55">
        <f>G1436*AO1436</f>
        <v>0</v>
      </c>
      <c r="AX1436" s="55">
        <f>G1436*AP1436</f>
        <v>0</v>
      </c>
      <c r="AY1436" s="58" t="s">
        <v>2699</v>
      </c>
      <c r="AZ1436" s="58" t="s">
        <v>2633</v>
      </c>
      <c r="BA1436" s="34" t="s">
        <v>2634</v>
      </c>
      <c r="BC1436" s="55">
        <f>AW1436+AX1436</f>
        <v>0</v>
      </c>
      <c r="BD1436" s="55">
        <f>H1436/(100-BE1436)*100</f>
        <v>0</v>
      </c>
      <c r="BE1436" s="55">
        <v>0</v>
      </c>
      <c r="BF1436" s="55">
        <f>K1436</f>
        <v>0</v>
      </c>
      <c r="BH1436" s="55">
        <f>G1436*AO1436</f>
        <v>0</v>
      </c>
      <c r="BI1436" s="55">
        <f>G1436*AP1436</f>
        <v>0</v>
      </c>
      <c r="BJ1436" s="55">
        <f>G1436*H1436</f>
        <v>0</v>
      </c>
      <c r="BK1436" s="55"/>
      <c r="BL1436" s="55"/>
      <c r="BW1436" s="55">
        <v>21</v>
      </c>
    </row>
    <row r="1437" spans="1:12" ht="13.5" customHeight="1">
      <c r="A1437" s="59"/>
      <c r="D1437" s="218" t="s">
        <v>129</v>
      </c>
      <c r="E1437" s="219"/>
      <c r="F1437" s="219"/>
      <c r="G1437" s="219"/>
      <c r="H1437" s="220"/>
      <c r="I1437" s="219"/>
      <c r="J1437" s="219"/>
      <c r="K1437" s="219"/>
      <c r="L1437" s="221"/>
    </row>
    <row r="1438" spans="1:75" ht="13.5" customHeight="1">
      <c r="A1438" s="1" t="s">
        <v>2709</v>
      </c>
      <c r="B1438" s="2" t="s">
        <v>2629</v>
      </c>
      <c r="C1438" s="2" t="s">
        <v>2710</v>
      </c>
      <c r="D1438" s="147" t="s">
        <v>2711</v>
      </c>
      <c r="E1438" s="148"/>
      <c r="F1438" s="2" t="s">
        <v>123</v>
      </c>
      <c r="G1438" s="55">
        <v>5</v>
      </c>
      <c r="H1438" s="56">
        <v>0</v>
      </c>
      <c r="I1438" s="55">
        <f>G1438*H1438</f>
        <v>0</v>
      </c>
      <c r="J1438" s="55">
        <v>0</v>
      </c>
      <c r="K1438" s="55">
        <f>G1438*J1438</f>
        <v>0</v>
      </c>
      <c r="L1438" s="57" t="s">
        <v>124</v>
      </c>
      <c r="Z1438" s="55">
        <f>IF(AQ1438="5",BJ1438,0)</f>
        <v>0</v>
      </c>
      <c r="AB1438" s="55">
        <f>IF(AQ1438="1",BH1438,0)</f>
        <v>0</v>
      </c>
      <c r="AC1438" s="55">
        <f>IF(AQ1438="1",BI1438,0)</f>
        <v>0</v>
      </c>
      <c r="AD1438" s="55">
        <f>IF(AQ1438="7",BH1438,0)</f>
        <v>0</v>
      </c>
      <c r="AE1438" s="55">
        <f>IF(AQ1438="7",BI1438,0)</f>
        <v>0</v>
      </c>
      <c r="AF1438" s="55">
        <f>IF(AQ1438="2",BH1438,0)</f>
        <v>0</v>
      </c>
      <c r="AG1438" s="55">
        <f>IF(AQ1438="2",BI1438,0)</f>
        <v>0</v>
      </c>
      <c r="AH1438" s="55">
        <f>IF(AQ1438="0",BJ1438,0)</f>
        <v>0</v>
      </c>
      <c r="AI1438" s="34" t="s">
        <v>2629</v>
      </c>
      <c r="AJ1438" s="55">
        <f>IF(AN1438=0,I1438,0)</f>
        <v>0</v>
      </c>
      <c r="AK1438" s="55">
        <f>IF(AN1438=12,I1438,0)</f>
        <v>0</v>
      </c>
      <c r="AL1438" s="55">
        <f>IF(AN1438=21,I1438,0)</f>
        <v>0</v>
      </c>
      <c r="AN1438" s="55">
        <v>21</v>
      </c>
      <c r="AO1438" s="55">
        <f>H1438*0.583333333</f>
        <v>0</v>
      </c>
      <c r="AP1438" s="55">
        <f>H1438*(1-0.583333333)</f>
        <v>0</v>
      </c>
      <c r="AQ1438" s="58" t="s">
        <v>125</v>
      </c>
      <c r="AV1438" s="55">
        <f>AW1438+AX1438</f>
        <v>0</v>
      </c>
      <c r="AW1438" s="55">
        <f>G1438*AO1438</f>
        <v>0</v>
      </c>
      <c r="AX1438" s="55">
        <f>G1438*AP1438</f>
        <v>0</v>
      </c>
      <c r="AY1438" s="58" t="s">
        <v>2699</v>
      </c>
      <c r="AZ1438" s="58" t="s">
        <v>2633</v>
      </c>
      <c r="BA1438" s="34" t="s">
        <v>2634</v>
      </c>
      <c r="BC1438" s="55">
        <f>AW1438+AX1438</f>
        <v>0</v>
      </c>
      <c r="BD1438" s="55">
        <f>H1438/(100-BE1438)*100</f>
        <v>0</v>
      </c>
      <c r="BE1438" s="55">
        <v>0</v>
      </c>
      <c r="BF1438" s="55">
        <f>K1438</f>
        <v>0</v>
      </c>
      <c r="BH1438" s="55">
        <f>G1438*AO1438</f>
        <v>0</v>
      </c>
      <c r="BI1438" s="55">
        <f>G1438*AP1438</f>
        <v>0</v>
      </c>
      <c r="BJ1438" s="55">
        <f>G1438*H1438</f>
        <v>0</v>
      </c>
      <c r="BK1438" s="55"/>
      <c r="BL1438" s="55"/>
      <c r="BW1438" s="55">
        <v>21</v>
      </c>
    </row>
    <row r="1439" spans="1:12" ht="13.5" customHeight="1">
      <c r="A1439" s="59"/>
      <c r="D1439" s="218" t="s">
        <v>129</v>
      </c>
      <c r="E1439" s="219"/>
      <c r="F1439" s="219"/>
      <c r="G1439" s="219"/>
      <c r="H1439" s="220"/>
      <c r="I1439" s="219"/>
      <c r="J1439" s="219"/>
      <c r="K1439" s="219"/>
      <c r="L1439" s="221"/>
    </row>
    <row r="1440" spans="1:75" ht="13.5" customHeight="1">
      <c r="A1440" s="1" t="s">
        <v>2712</v>
      </c>
      <c r="B1440" s="2" t="s">
        <v>2629</v>
      </c>
      <c r="C1440" s="2" t="s">
        <v>2713</v>
      </c>
      <c r="D1440" s="147" t="s">
        <v>2714</v>
      </c>
      <c r="E1440" s="148"/>
      <c r="F1440" s="2" t="s">
        <v>123</v>
      </c>
      <c r="G1440" s="55">
        <v>2</v>
      </c>
      <c r="H1440" s="56">
        <v>0</v>
      </c>
      <c r="I1440" s="55">
        <f>G1440*H1440</f>
        <v>0</v>
      </c>
      <c r="J1440" s="55">
        <v>0</v>
      </c>
      <c r="K1440" s="55">
        <f>G1440*J1440</f>
        <v>0</v>
      </c>
      <c r="L1440" s="57" t="s">
        <v>124</v>
      </c>
      <c r="Z1440" s="55">
        <f>IF(AQ1440="5",BJ1440,0)</f>
        <v>0</v>
      </c>
      <c r="AB1440" s="55">
        <f>IF(AQ1440="1",BH1440,0)</f>
        <v>0</v>
      </c>
      <c r="AC1440" s="55">
        <f>IF(AQ1440="1",BI1440,0)</f>
        <v>0</v>
      </c>
      <c r="AD1440" s="55">
        <f>IF(AQ1440="7",BH1440,0)</f>
        <v>0</v>
      </c>
      <c r="AE1440" s="55">
        <f>IF(AQ1440="7",BI1440,0)</f>
        <v>0</v>
      </c>
      <c r="AF1440" s="55">
        <f>IF(AQ1440="2",BH1440,0)</f>
        <v>0</v>
      </c>
      <c r="AG1440" s="55">
        <f>IF(AQ1440="2",BI1440,0)</f>
        <v>0</v>
      </c>
      <c r="AH1440" s="55">
        <f>IF(AQ1440="0",BJ1440,0)</f>
        <v>0</v>
      </c>
      <c r="AI1440" s="34" t="s">
        <v>2629</v>
      </c>
      <c r="AJ1440" s="55">
        <f>IF(AN1440=0,I1440,0)</f>
        <v>0</v>
      </c>
      <c r="AK1440" s="55">
        <f>IF(AN1440=12,I1440,0)</f>
        <v>0</v>
      </c>
      <c r="AL1440" s="55">
        <f>IF(AN1440=21,I1440,0)</f>
        <v>0</v>
      </c>
      <c r="AN1440" s="55">
        <v>21</v>
      </c>
      <c r="AO1440" s="55">
        <f>H1440*0.48</f>
        <v>0</v>
      </c>
      <c r="AP1440" s="55">
        <f>H1440*(1-0.48)</f>
        <v>0</v>
      </c>
      <c r="AQ1440" s="58" t="s">
        <v>125</v>
      </c>
      <c r="AV1440" s="55">
        <f>AW1440+AX1440</f>
        <v>0</v>
      </c>
      <c r="AW1440" s="55">
        <f>G1440*AO1440</f>
        <v>0</v>
      </c>
      <c r="AX1440" s="55">
        <f>G1440*AP1440</f>
        <v>0</v>
      </c>
      <c r="AY1440" s="58" t="s">
        <v>2699</v>
      </c>
      <c r="AZ1440" s="58" t="s">
        <v>2633</v>
      </c>
      <c r="BA1440" s="34" t="s">
        <v>2634</v>
      </c>
      <c r="BC1440" s="55">
        <f>AW1440+AX1440</f>
        <v>0</v>
      </c>
      <c r="BD1440" s="55">
        <f>H1440/(100-BE1440)*100</f>
        <v>0</v>
      </c>
      <c r="BE1440" s="55">
        <v>0</v>
      </c>
      <c r="BF1440" s="55">
        <f>K1440</f>
        <v>0</v>
      </c>
      <c r="BH1440" s="55">
        <f>G1440*AO1440</f>
        <v>0</v>
      </c>
      <c r="BI1440" s="55">
        <f>G1440*AP1440</f>
        <v>0</v>
      </c>
      <c r="BJ1440" s="55">
        <f>G1440*H1440</f>
        <v>0</v>
      </c>
      <c r="BK1440" s="55"/>
      <c r="BL1440" s="55"/>
      <c r="BW1440" s="55">
        <v>21</v>
      </c>
    </row>
    <row r="1441" spans="1:12" ht="13.5" customHeight="1">
      <c r="A1441" s="59"/>
      <c r="D1441" s="218" t="s">
        <v>129</v>
      </c>
      <c r="E1441" s="219"/>
      <c r="F1441" s="219"/>
      <c r="G1441" s="219"/>
      <c r="H1441" s="220"/>
      <c r="I1441" s="219"/>
      <c r="J1441" s="219"/>
      <c r="K1441" s="219"/>
      <c r="L1441" s="221"/>
    </row>
    <row r="1442" spans="1:75" ht="13.5" customHeight="1">
      <c r="A1442" s="1" t="s">
        <v>2715</v>
      </c>
      <c r="B1442" s="2" t="s">
        <v>2629</v>
      </c>
      <c r="C1442" s="2" t="s">
        <v>2716</v>
      </c>
      <c r="D1442" s="147" t="s">
        <v>2717</v>
      </c>
      <c r="E1442" s="148"/>
      <c r="F1442" s="2" t="s">
        <v>123</v>
      </c>
      <c r="G1442" s="55">
        <v>6</v>
      </c>
      <c r="H1442" s="56">
        <v>0</v>
      </c>
      <c r="I1442" s="55">
        <f>G1442*H1442</f>
        <v>0</v>
      </c>
      <c r="J1442" s="55">
        <v>0</v>
      </c>
      <c r="K1442" s="55">
        <f>G1442*J1442</f>
        <v>0</v>
      </c>
      <c r="L1442" s="57" t="s">
        <v>124</v>
      </c>
      <c r="Z1442" s="55">
        <f>IF(AQ1442="5",BJ1442,0)</f>
        <v>0</v>
      </c>
      <c r="AB1442" s="55">
        <f>IF(AQ1442="1",BH1442,0)</f>
        <v>0</v>
      </c>
      <c r="AC1442" s="55">
        <f>IF(AQ1442="1",BI1442,0)</f>
        <v>0</v>
      </c>
      <c r="AD1442" s="55">
        <f>IF(AQ1442="7",BH1442,0)</f>
        <v>0</v>
      </c>
      <c r="AE1442" s="55">
        <f>IF(AQ1442="7",BI1442,0)</f>
        <v>0</v>
      </c>
      <c r="AF1442" s="55">
        <f>IF(AQ1442="2",BH1442,0)</f>
        <v>0</v>
      </c>
      <c r="AG1442" s="55">
        <f>IF(AQ1442="2",BI1442,0)</f>
        <v>0</v>
      </c>
      <c r="AH1442" s="55">
        <f>IF(AQ1442="0",BJ1442,0)</f>
        <v>0</v>
      </c>
      <c r="AI1442" s="34" t="s">
        <v>2629</v>
      </c>
      <c r="AJ1442" s="55">
        <f>IF(AN1442=0,I1442,0)</f>
        <v>0</v>
      </c>
      <c r="AK1442" s="55">
        <f>IF(AN1442=12,I1442,0)</f>
        <v>0</v>
      </c>
      <c r="AL1442" s="55">
        <f>IF(AN1442=21,I1442,0)</f>
        <v>0</v>
      </c>
      <c r="AN1442" s="55">
        <v>21</v>
      </c>
      <c r="AO1442" s="55">
        <f>H1442*0.410526316</f>
        <v>0</v>
      </c>
      <c r="AP1442" s="55">
        <f>H1442*(1-0.410526316)</f>
        <v>0</v>
      </c>
      <c r="AQ1442" s="58" t="s">
        <v>125</v>
      </c>
      <c r="AV1442" s="55">
        <f>AW1442+AX1442</f>
        <v>0</v>
      </c>
      <c r="AW1442" s="55">
        <f>G1442*AO1442</f>
        <v>0</v>
      </c>
      <c r="AX1442" s="55">
        <f>G1442*AP1442</f>
        <v>0</v>
      </c>
      <c r="AY1442" s="58" t="s">
        <v>2699</v>
      </c>
      <c r="AZ1442" s="58" t="s">
        <v>2633</v>
      </c>
      <c r="BA1442" s="34" t="s">
        <v>2634</v>
      </c>
      <c r="BC1442" s="55">
        <f>AW1442+AX1442</f>
        <v>0</v>
      </c>
      <c r="BD1442" s="55">
        <f>H1442/(100-BE1442)*100</f>
        <v>0</v>
      </c>
      <c r="BE1442" s="55">
        <v>0</v>
      </c>
      <c r="BF1442" s="55">
        <f>K1442</f>
        <v>0</v>
      </c>
      <c r="BH1442" s="55">
        <f>G1442*AO1442</f>
        <v>0</v>
      </c>
      <c r="BI1442" s="55">
        <f>G1442*AP1442</f>
        <v>0</v>
      </c>
      <c r="BJ1442" s="55">
        <f>G1442*H1442</f>
        <v>0</v>
      </c>
      <c r="BK1442" s="55"/>
      <c r="BL1442" s="55"/>
      <c r="BW1442" s="55">
        <v>21</v>
      </c>
    </row>
    <row r="1443" spans="1:12" ht="13.5" customHeight="1">
      <c r="A1443" s="59"/>
      <c r="D1443" s="218" t="s">
        <v>129</v>
      </c>
      <c r="E1443" s="219"/>
      <c r="F1443" s="219"/>
      <c r="G1443" s="219"/>
      <c r="H1443" s="220"/>
      <c r="I1443" s="219"/>
      <c r="J1443" s="219"/>
      <c r="K1443" s="219"/>
      <c r="L1443" s="221"/>
    </row>
    <row r="1444" spans="1:75" ht="13.5" customHeight="1">
      <c r="A1444" s="1" t="s">
        <v>2718</v>
      </c>
      <c r="B1444" s="2" t="s">
        <v>2629</v>
      </c>
      <c r="C1444" s="2" t="s">
        <v>2719</v>
      </c>
      <c r="D1444" s="147" t="s">
        <v>2720</v>
      </c>
      <c r="E1444" s="148"/>
      <c r="F1444" s="2" t="s">
        <v>174</v>
      </c>
      <c r="G1444" s="55">
        <v>220</v>
      </c>
      <c r="H1444" s="56">
        <v>0</v>
      </c>
      <c r="I1444" s="55">
        <f>G1444*H1444</f>
        <v>0</v>
      </c>
      <c r="J1444" s="55">
        <v>0</v>
      </c>
      <c r="K1444" s="55">
        <f>G1444*J1444</f>
        <v>0</v>
      </c>
      <c r="L1444" s="57" t="s">
        <v>124</v>
      </c>
      <c r="Z1444" s="55">
        <f>IF(AQ1444="5",BJ1444,0)</f>
        <v>0</v>
      </c>
      <c r="AB1444" s="55">
        <f>IF(AQ1444="1",BH1444,0)</f>
        <v>0</v>
      </c>
      <c r="AC1444" s="55">
        <f>IF(AQ1444="1",BI1444,0)</f>
        <v>0</v>
      </c>
      <c r="AD1444" s="55">
        <f>IF(AQ1444="7",BH1444,0)</f>
        <v>0</v>
      </c>
      <c r="AE1444" s="55">
        <f>IF(AQ1444="7",BI1444,0)</f>
        <v>0</v>
      </c>
      <c r="AF1444" s="55">
        <f>IF(AQ1444="2",BH1444,0)</f>
        <v>0</v>
      </c>
      <c r="AG1444" s="55">
        <f>IF(AQ1444="2",BI1444,0)</f>
        <v>0</v>
      </c>
      <c r="AH1444" s="55">
        <f>IF(AQ1444="0",BJ1444,0)</f>
        <v>0</v>
      </c>
      <c r="AI1444" s="34" t="s">
        <v>2629</v>
      </c>
      <c r="AJ1444" s="55">
        <f>IF(AN1444=0,I1444,0)</f>
        <v>0</v>
      </c>
      <c r="AK1444" s="55">
        <f>IF(AN1444=12,I1444,0)</f>
        <v>0</v>
      </c>
      <c r="AL1444" s="55">
        <f>IF(AN1444=21,I1444,0)</f>
        <v>0</v>
      </c>
      <c r="AN1444" s="55">
        <v>21</v>
      </c>
      <c r="AO1444" s="55">
        <f>H1444*0.477777778</f>
        <v>0</v>
      </c>
      <c r="AP1444" s="55">
        <f>H1444*(1-0.477777778)</f>
        <v>0</v>
      </c>
      <c r="AQ1444" s="58" t="s">
        <v>125</v>
      </c>
      <c r="AV1444" s="55">
        <f>AW1444+AX1444</f>
        <v>0</v>
      </c>
      <c r="AW1444" s="55">
        <f>G1444*AO1444</f>
        <v>0</v>
      </c>
      <c r="AX1444" s="55">
        <f>G1444*AP1444</f>
        <v>0</v>
      </c>
      <c r="AY1444" s="58" t="s">
        <v>2699</v>
      </c>
      <c r="AZ1444" s="58" t="s">
        <v>2633</v>
      </c>
      <c r="BA1444" s="34" t="s">
        <v>2634</v>
      </c>
      <c r="BC1444" s="55">
        <f>AW1444+AX1444</f>
        <v>0</v>
      </c>
      <c r="BD1444" s="55">
        <f>H1444/(100-BE1444)*100</f>
        <v>0</v>
      </c>
      <c r="BE1444" s="55">
        <v>0</v>
      </c>
      <c r="BF1444" s="55">
        <f>K1444</f>
        <v>0</v>
      </c>
      <c r="BH1444" s="55">
        <f>G1444*AO1444</f>
        <v>0</v>
      </c>
      <c r="BI1444" s="55">
        <f>G1444*AP1444</f>
        <v>0</v>
      </c>
      <c r="BJ1444" s="55">
        <f>G1444*H1444</f>
        <v>0</v>
      </c>
      <c r="BK1444" s="55"/>
      <c r="BL1444" s="55"/>
      <c r="BW1444" s="55">
        <v>21</v>
      </c>
    </row>
    <row r="1445" spans="1:12" ht="13.5" customHeight="1">
      <c r="A1445" s="59"/>
      <c r="D1445" s="218" t="s">
        <v>129</v>
      </c>
      <c r="E1445" s="219"/>
      <c r="F1445" s="219"/>
      <c r="G1445" s="219"/>
      <c r="H1445" s="220"/>
      <c r="I1445" s="219"/>
      <c r="J1445" s="219"/>
      <c r="K1445" s="219"/>
      <c r="L1445" s="221"/>
    </row>
    <row r="1446" spans="1:75" ht="13.5" customHeight="1">
      <c r="A1446" s="1" t="s">
        <v>2721</v>
      </c>
      <c r="B1446" s="2" t="s">
        <v>2629</v>
      </c>
      <c r="C1446" s="2" t="s">
        <v>2722</v>
      </c>
      <c r="D1446" s="147" t="s">
        <v>2723</v>
      </c>
      <c r="E1446" s="148"/>
      <c r="F1446" s="2" t="s">
        <v>123</v>
      </c>
      <c r="G1446" s="55">
        <v>30</v>
      </c>
      <c r="H1446" s="56">
        <v>0</v>
      </c>
      <c r="I1446" s="55">
        <f>G1446*H1446</f>
        <v>0</v>
      </c>
      <c r="J1446" s="55">
        <v>0</v>
      </c>
      <c r="K1446" s="55">
        <f>G1446*J1446</f>
        <v>0</v>
      </c>
      <c r="L1446" s="57" t="s">
        <v>124</v>
      </c>
      <c r="Z1446" s="55">
        <f>IF(AQ1446="5",BJ1446,0)</f>
        <v>0</v>
      </c>
      <c r="AB1446" s="55">
        <f>IF(AQ1446="1",BH1446,0)</f>
        <v>0</v>
      </c>
      <c r="AC1446" s="55">
        <f>IF(AQ1446="1",BI1446,0)</f>
        <v>0</v>
      </c>
      <c r="AD1446" s="55">
        <f>IF(AQ1446="7",BH1446,0)</f>
        <v>0</v>
      </c>
      <c r="AE1446" s="55">
        <f>IF(AQ1446="7",BI1446,0)</f>
        <v>0</v>
      </c>
      <c r="AF1446" s="55">
        <f>IF(AQ1446="2",BH1446,0)</f>
        <v>0</v>
      </c>
      <c r="AG1446" s="55">
        <f>IF(AQ1446="2",BI1446,0)</f>
        <v>0</v>
      </c>
      <c r="AH1446" s="55">
        <f>IF(AQ1446="0",BJ1446,0)</f>
        <v>0</v>
      </c>
      <c r="AI1446" s="34" t="s">
        <v>2629</v>
      </c>
      <c r="AJ1446" s="55">
        <f>IF(AN1446=0,I1446,0)</f>
        <v>0</v>
      </c>
      <c r="AK1446" s="55">
        <f>IF(AN1446=12,I1446,0)</f>
        <v>0</v>
      </c>
      <c r="AL1446" s="55">
        <f>IF(AN1446=21,I1446,0)</f>
        <v>0</v>
      </c>
      <c r="AN1446" s="55">
        <v>21</v>
      </c>
      <c r="AO1446" s="55">
        <f>H1446*0.448979592</f>
        <v>0</v>
      </c>
      <c r="AP1446" s="55">
        <f>H1446*(1-0.448979592)</f>
        <v>0</v>
      </c>
      <c r="AQ1446" s="58" t="s">
        <v>125</v>
      </c>
      <c r="AV1446" s="55">
        <f>AW1446+AX1446</f>
        <v>0</v>
      </c>
      <c r="AW1446" s="55">
        <f>G1446*AO1446</f>
        <v>0</v>
      </c>
      <c r="AX1446" s="55">
        <f>G1446*AP1446</f>
        <v>0</v>
      </c>
      <c r="AY1446" s="58" t="s">
        <v>2699</v>
      </c>
      <c r="AZ1446" s="58" t="s">
        <v>2633</v>
      </c>
      <c r="BA1446" s="34" t="s">
        <v>2634</v>
      </c>
      <c r="BC1446" s="55">
        <f>AW1446+AX1446</f>
        <v>0</v>
      </c>
      <c r="BD1446" s="55">
        <f>H1446/(100-BE1446)*100</f>
        <v>0</v>
      </c>
      <c r="BE1446" s="55">
        <v>0</v>
      </c>
      <c r="BF1446" s="55">
        <f>K1446</f>
        <v>0</v>
      </c>
      <c r="BH1446" s="55">
        <f>G1446*AO1446</f>
        <v>0</v>
      </c>
      <c r="BI1446" s="55">
        <f>G1446*AP1446</f>
        <v>0</v>
      </c>
      <c r="BJ1446" s="55">
        <f>G1446*H1446</f>
        <v>0</v>
      </c>
      <c r="BK1446" s="55"/>
      <c r="BL1446" s="55"/>
      <c r="BW1446" s="55">
        <v>21</v>
      </c>
    </row>
    <row r="1447" spans="1:12" ht="13.5" customHeight="1">
      <c r="A1447" s="59"/>
      <c r="D1447" s="218" t="s">
        <v>129</v>
      </c>
      <c r="E1447" s="219"/>
      <c r="F1447" s="219"/>
      <c r="G1447" s="219"/>
      <c r="H1447" s="220"/>
      <c r="I1447" s="219"/>
      <c r="J1447" s="219"/>
      <c r="K1447" s="219"/>
      <c r="L1447" s="221"/>
    </row>
    <row r="1448" spans="1:75" ht="13.5" customHeight="1">
      <c r="A1448" s="1" t="s">
        <v>2724</v>
      </c>
      <c r="B1448" s="2" t="s">
        <v>2629</v>
      </c>
      <c r="C1448" s="2" t="s">
        <v>2725</v>
      </c>
      <c r="D1448" s="147" t="s">
        <v>2726</v>
      </c>
      <c r="E1448" s="148"/>
      <c r="F1448" s="2" t="s">
        <v>123</v>
      </c>
      <c r="G1448" s="55">
        <v>22</v>
      </c>
      <c r="H1448" s="56">
        <v>0</v>
      </c>
      <c r="I1448" s="55">
        <f>G1448*H1448</f>
        <v>0</v>
      </c>
      <c r="J1448" s="55">
        <v>0</v>
      </c>
      <c r="K1448" s="55">
        <f>G1448*J1448</f>
        <v>0</v>
      </c>
      <c r="L1448" s="57" t="s">
        <v>124</v>
      </c>
      <c r="Z1448" s="55">
        <f>IF(AQ1448="5",BJ1448,0)</f>
        <v>0</v>
      </c>
      <c r="AB1448" s="55">
        <f>IF(AQ1448="1",BH1448,0)</f>
        <v>0</v>
      </c>
      <c r="AC1448" s="55">
        <f>IF(AQ1448="1",BI1448,0)</f>
        <v>0</v>
      </c>
      <c r="AD1448" s="55">
        <f>IF(AQ1448="7",BH1448,0)</f>
        <v>0</v>
      </c>
      <c r="AE1448" s="55">
        <f>IF(AQ1448="7",BI1448,0)</f>
        <v>0</v>
      </c>
      <c r="AF1448" s="55">
        <f>IF(AQ1448="2",BH1448,0)</f>
        <v>0</v>
      </c>
      <c r="AG1448" s="55">
        <f>IF(AQ1448="2",BI1448,0)</f>
        <v>0</v>
      </c>
      <c r="AH1448" s="55">
        <f>IF(AQ1448="0",BJ1448,0)</f>
        <v>0</v>
      </c>
      <c r="AI1448" s="34" t="s">
        <v>2629</v>
      </c>
      <c r="AJ1448" s="55">
        <f>IF(AN1448=0,I1448,0)</f>
        <v>0</v>
      </c>
      <c r="AK1448" s="55">
        <f>IF(AN1448=12,I1448,0)</f>
        <v>0</v>
      </c>
      <c r="AL1448" s="55">
        <f>IF(AN1448=21,I1448,0)</f>
        <v>0</v>
      </c>
      <c r="AN1448" s="55">
        <v>21</v>
      </c>
      <c r="AO1448" s="55">
        <f>H1448*0.5</f>
        <v>0</v>
      </c>
      <c r="AP1448" s="55">
        <f>H1448*(1-0.5)</f>
        <v>0</v>
      </c>
      <c r="AQ1448" s="58" t="s">
        <v>125</v>
      </c>
      <c r="AV1448" s="55">
        <f>AW1448+AX1448</f>
        <v>0</v>
      </c>
      <c r="AW1448" s="55">
        <f>G1448*AO1448</f>
        <v>0</v>
      </c>
      <c r="AX1448" s="55">
        <f>G1448*AP1448</f>
        <v>0</v>
      </c>
      <c r="AY1448" s="58" t="s">
        <v>2699</v>
      </c>
      <c r="AZ1448" s="58" t="s">
        <v>2633</v>
      </c>
      <c r="BA1448" s="34" t="s">
        <v>2634</v>
      </c>
      <c r="BC1448" s="55">
        <f>AW1448+AX1448</f>
        <v>0</v>
      </c>
      <c r="BD1448" s="55">
        <f>H1448/(100-BE1448)*100</f>
        <v>0</v>
      </c>
      <c r="BE1448" s="55">
        <v>0</v>
      </c>
      <c r="BF1448" s="55">
        <f>K1448</f>
        <v>0</v>
      </c>
      <c r="BH1448" s="55">
        <f>G1448*AO1448</f>
        <v>0</v>
      </c>
      <c r="BI1448" s="55">
        <f>G1448*AP1448</f>
        <v>0</v>
      </c>
      <c r="BJ1448" s="55">
        <f>G1448*H1448</f>
        <v>0</v>
      </c>
      <c r="BK1448" s="55"/>
      <c r="BL1448" s="55"/>
      <c r="BW1448" s="55">
        <v>21</v>
      </c>
    </row>
    <row r="1449" spans="1:12" ht="13.5" customHeight="1">
      <c r="A1449" s="59"/>
      <c r="D1449" s="218" t="s">
        <v>129</v>
      </c>
      <c r="E1449" s="219"/>
      <c r="F1449" s="219"/>
      <c r="G1449" s="219"/>
      <c r="H1449" s="220"/>
      <c r="I1449" s="219"/>
      <c r="J1449" s="219"/>
      <c r="K1449" s="219"/>
      <c r="L1449" s="221"/>
    </row>
    <row r="1450" spans="1:75" ht="13.5" customHeight="1">
      <c r="A1450" s="1" t="s">
        <v>2727</v>
      </c>
      <c r="B1450" s="2" t="s">
        <v>2629</v>
      </c>
      <c r="C1450" s="2" t="s">
        <v>2728</v>
      </c>
      <c r="D1450" s="147" t="s">
        <v>2729</v>
      </c>
      <c r="E1450" s="148"/>
      <c r="F1450" s="2" t="s">
        <v>123</v>
      </c>
      <c r="G1450" s="55">
        <v>151</v>
      </c>
      <c r="H1450" s="56">
        <v>0</v>
      </c>
      <c r="I1450" s="55">
        <f>G1450*H1450</f>
        <v>0</v>
      </c>
      <c r="J1450" s="55">
        <v>0</v>
      </c>
      <c r="K1450" s="55">
        <f>G1450*J1450</f>
        <v>0</v>
      </c>
      <c r="L1450" s="57" t="s">
        <v>124</v>
      </c>
      <c r="Z1450" s="55">
        <f>IF(AQ1450="5",BJ1450,0)</f>
        <v>0</v>
      </c>
      <c r="AB1450" s="55">
        <f>IF(AQ1450="1",BH1450,0)</f>
        <v>0</v>
      </c>
      <c r="AC1450" s="55">
        <f>IF(AQ1450="1",BI1450,0)</f>
        <v>0</v>
      </c>
      <c r="AD1450" s="55">
        <f>IF(AQ1450="7",BH1450,0)</f>
        <v>0</v>
      </c>
      <c r="AE1450" s="55">
        <f>IF(AQ1450="7",BI1450,0)</f>
        <v>0</v>
      </c>
      <c r="AF1450" s="55">
        <f>IF(AQ1450="2",BH1450,0)</f>
        <v>0</v>
      </c>
      <c r="AG1450" s="55">
        <f>IF(AQ1450="2",BI1450,0)</f>
        <v>0</v>
      </c>
      <c r="AH1450" s="55">
        <f>IF(AQ1450="0",BJ1450,0)</f>
        <v>0</v>
      </c>
      <c r="AI1450" s="34" t="s">
        <v>2629</v>
      </c>
      <c r="AJ1450" s="55">
        <f>IF(AN1450=0,I1450,0)</f>
        <v>0</v>
      </c>
      <c r="AK1450" s="55">
        <f>IF(AN1450=12,I1450,0)</f>
        <v>0</v>
      </c>
      <c r="AL1450" s="55">
        <f>IF(AN1450=21,I1450,0)</f>
        <v>0</v>
      </c>
      <c r="AN1450" s="55">
        <v>21</v>
      </c>
      <c r="AO1450" s="55">
        <f>H1450*0.527272727</f>
        <v>0</v>
      </c>
      <c r="AP1450" s="55">
        <f>H1450*(1-0.527272727)</f>
        <v>0</v>
      </c>
      <c r="AQ1450" s="58" t="s">
        <v>125</v>
      </c>
      <c r="AV1450" s="55">
        <f>AW1450+AX1450</f>
        <v>0</v>
      </c>
      <c r="AW1450" s="55">
        <f>G1450*AO1450</f>
        <v>0</v>
      </c>
      <c r="AX1450" s="55">
        <f>G1450*AP1450</f>
        <v>0</v>
      </c>
      <c r="AY1450" s="58" t="s">
        <v>2699</v>
      </c>
      <c r="AZ1450" s="58" t="s">
        <v>2633</v>
      </c>
      <c r="BA1450" s="34" t="s">
        <v>2634</v>
      </c>
      <c r="BC1450" s="55">
        <f>AW1450+AX1450</f>
        <v>0</v>
      </c>
      <c r="BD1450" s="55">
        <f>H1450/(100-BE1450)*100</f>
        <v>0</v>
      </c>
      <c r="BE1450" s="55">
        <v>0</v>
      </c>
      <c r="BF1450" s="55">
        <f>K1450</f>
        <v>0</v>
      </c>
      <c r="BH1450" s="55">
        <f>G1450*AO1450</f>
        <v>0</v>
      </c>
      <c r="BI1450" s="55">
        <f>G1450*AP1450</f>
        <v>0</v>
      </c>
      <c r="BJ1450" s="55">
        <f>G1450*H1450</f>
        <v>0</v>
      </c>
      <c r="BK1450" s="55"/>
      <c r="BL1450" s="55"/>
      <c r="BW1450" s="55">
        <v>21</v>
      </c>
    </row>
    <row r="1451" spans="1:12" ht="13.5" customHeight="1">
      <c r="A1451" s="59"/>
      <c r="D1451" s="218" t="s">
        <v>129</v>
      </c>
      <c r="E1451" s="219"/>
      <c r="F1451" s="219"/>
      <c r="G1451" s="219"/>
      <c r="H1451" s="220"/>
      <c r="I1451" s="219"/>
      <c r="J1451" s="219"/>
      <c r="K1451" s="219"/>
      <c r="L1451" s="221"/>
    </row>
    <row r="1452" spans="1:75" ht="13.5" customHeight="1">
      <c r="A1452" s="1" t="s">
        <v>2730</v>
      </c>
      <c r="B1452" s="2" t="s">
        <v>2629</v>
      </c>
      <c r="C1452" s="2" t="s">
        <v>2731</v>
      </c>
      <c r="D1452" s="147" t="s">
        <v>2732</v>
      </c>
      <c r="E1452" s="148"/>
      <c r="F1452" s="2" t="s">
        <v>123</v>
      </c>
      <c r="G1452" s="55">
        <v>54</v>
      </c>
      <c r="H1452" s="56">
        <v>0</v>
      </c>
      <c r="I1452" s="55">
        <f>G1452*H1452</f>
        <v>0</v>
      </c>
      <c r="J1452" s="55">
        <v>0</v>
      </c>
      <c r="K1452" s="55">
        <f>G1452*J1452</f>
        <v>0</v>
      </c>
      <c r="L1452" s="57" t="s">
        <v>124</v>
      </c>
      <c r="Z1452" s="55">
        <f>IF(AQ1452="5",BJ1452,0)</f>
        <v>0</v>
      </c>
      <c r="AB1452" s="55">
        <f>IF(AQ1452="1",BH1452,0)</f>
        <v>0</v>
      </c>
      <c r="AC1452" s="55">
        <f>IF(AQ1452="1",BI1452,0)</f>
        <v>0</v>
      </c>
      <c r="AD1452" s="55">
        <f>IF(AQ1452="7",BH1452,0)</f>
        <v>0</v>
      </c>
      <c r="AE1452" s="55">
        <f>IF(AQ1452="7",BI1452,0)</f>
        <v>0</v>
      </c>
      <c r="AF1452" s="55">
        <f>IF(AQ1452="2",BH1452,0)</f>
        <v>0</v>
      </c>
      <c r="AG1452" s="55">
        <f>IF(AQ1452="2",BI1452,0)</f>
        <v>0</v>
      </c>
      <c r="AH1452" s="55">
        <f>IF(AQ1452="0",BJ1452,0)</f>
        <v>0</v>
      </c>
      <c r="AI1452" s="34" t="s">
        <v>2629</v>
      </c>
      <c r="AJ1452" s="55">
        <f>IF(AN1452=0,I1452,0)</f>
        <v>0</v>
      </c>
      <c r="AK1452" s="55">
        <f>IF(AN1452=12,I1452,0)</f>
        <v>0</v>
      </c>
      <c r="AL1452" s="55">
        <f>IF(AN1452=21,I1452,0)</f>
        <v>0</v>
      </c>
      <c r="AN1452" s="55">
        <v>21</v>
      </c>
      <c r="AO1452" s="55">
        <f>H1452*0.469387755</f>
        <v>0</v>
      </c>
      <c r="AP1452" s="55">
        <f>H1452*(1-0.469387755)</f>
        <v>0</v>
      </c>
      <c r="AQ1452" s="58" t="s">
        <v>125</v>
      </c>
      <c r="AV1452" s="55">
        <f>AW1452+AX1452</f>
        <v>0</v>
      </c>
      <c r="AW1452" s="55">
        <f>G1452*AO1452</f>
        <v>0</v>
      </c>
      <c r="AX1452" s="55">
        <f>G1452*AP1452</f>
        <v>0</v>
      </c>
      <c r="AY1452" s="58" t="s">
        <v>2699</v>
      </c>
      <c r="AZ1452" s="58" t="s">
        <v>2633</v>
      </c>
      <c r="BA1452" s="34" t="s">
        <v>2634</v>
      </c>
      <c r="BC1452" s="55">
        <f>AW1452+AX1452</f>
        <v>0</v>
      </c>
      <c r="BD1452" s="55">
        <f>H1452/(100-BE1452)*100</f>
        <v>0</v>
      </c>
      <c r="BE1452" s="55">
        <v>0</v>
      </c>
      <c r="BF1452" s="55">
        <f>K1452</f>
        <v>0</v>
      </c>
      <c r="BH1452" s="55">
        <f>G1452*AO1452</f>
        <v>0</v>
      </c>
      <c r="BI1452" s="55">
        <f>G1452*AP1452</f>
        <v>0</v>
      </c>
      <c r="BJ1452" s="55">
        <f>G1452*H1452</f>
        <v>0</v>
      </c>
      <c r="BK1452" s="55"/>
      <c r="BL1452" s="55"/>
      <c r="BW1452" s="55">
        <v>21</v>
      </c>
    </row>
    <row r="1453" spans="1:12" ht="13.5" customHeight="1">
      <c r="A1453" s="59"/>
      <c r="D1453" s="218" t="s">
        <v>129</v>
      </c>
      <c r="E1453" s="219"/>
      <c r="F1453" s="219"/>
      <c r="G1453" s="219"/>
      <c r="H1453" s="220"/>
      <c r="I1453" s="219"/>
      <c r="J1453" s="219"/>
      <c r="K1453" s="219"/>
      <c r="L1453" s="221"/>
    </row>
    <row r="1454" spans="1:75" ht="13.5" customHeight="1">
      <c r="A1454" s="1" t="s">
        <v>2733</v>
      </c>
      <c r="B1454" s="2" t="s">
        <v>2629</v>
      </c>
      <c r="C1454" s="2" t="s">
        <v>2734</v>
      </c>
      <c r="D1454" s="147" t="s">
        <v>2735</v>
      </c>
      <c r="E1454" s="148"/>
      <c r="F1454" s="2" t="s">
        <v>123</v>
      </c>
      <c r="G1454" s="55">
        <v>6</v>
      </c>
      <c r="H1454" s="56">
        <v>0</v>
      </c>
      <c r="I1454" s="55">
        <f>G1454*H1454</f>
        <v>0</v>
      </c>
      <c r="J1454" s="55">
        <v>0</v>
      </c>
      <c r="K1454" s="55">
        <f>G1454*J1454</f>
        <v>0</v>
      </c>
      <c r="L1454" s="57" t="s">
        <v>124</v>
      </c>
      <c r="Z1454" s="55">
        <f>IF(AQ1454="5",BJ1454,0)</f>
        <v>0</v>
      </c>
      <c r="AB1454" s="55">
        <f>IF(AQ1454="1",BH1454,0)</f>
        <v>0</v>
      </c>
      <c r="AC1454" s="55">
        <f>IF(AQ1454="1",BI1454,0)</f>
        <v>0</v>
      </c>
      <c r="AD1454" s="55">
        <f>IF(AQ1454="7",BH1454,0)</f>
        <v>0</v>
      </c>
      <c r="AE1454" s="55">
        <f>IF(AQ1454="7",BI1454,0)</f>
        <v>0</v>
      </c>
      <c r="AF1454" s="55">
        <f>IF(AQ1454="2",BH1454,0)</f>
        <v>0</v>
      </c>
      <c r="AG1454" s="55">
        <f>IF(AQ1454="2",BI1454,0)</f>
        <v>0</v>
      </c>
      <c r="AH1454" s="55">
        <f>IF(AQ1454="0",BJ1454,0)</f>
        <v>0</v>
      </c>
      <c r="AI1454" s="34" t="s">
        <v>2629</v>
      </c>
      <c r="AJ1454" s="55">
        <f>IF(AN1454=0,I1454,0)</f>
        <v>0</v>
      </c>
      <c r="AK1454" s="55">
        <f>IF(AN1454=12,I1454,0)</f>
        <v>0</v>
      </c>
      <c r="AL1454" s="55">
        <f>IF(AN1454=21,I1454,0)</f>
        <v>0</v>
      </c>
      <c r="AN1454" s="55">
        <v>21</v>
      </c>
      <c r="AO1454" s="55">
        <f>H1454*0.358974359</f>
        <v>0</v>
      </c>
      <c r="AP1454" s="55">
        <f>H1454*(1-0.358974359)</f>
        <v>0</v>
      </c>
      <c r="AQ1454" s="58" t="s">
        <v>125</v>
      </c>
      <c r="AV1454" s="55">
        <f>AW1454+AX1454</f>
        <v>0</v>
      </c>
      <c r="AW1454" s="55">
        <f>G1454*AO1454</f>
        <v>0</v>
      </c>
      <c r="AX1454" s="55">
        <f>G1454*AP1454</f>
        <v>0</v>
      </c>
      <c r="AY1454" s="58" t="s">
        <v>2699</v>
      </c>
      <c r="AZ1454" s="58" t="s">
        <v>2633</v>
      </c>
      <c r="BA1454" s="34" t="s">
        <v>2634</v>
      </c>
      <c r="BC1454" s="55">
        <f>AW1454+AX1454</f>
        <v>0</v>
      </c>
      <c r="BD1454" s="55">
        <f>H1454/(100-BE1454)*100</f>
        <v>0</v>
      </c>
      <c r="BE1454" s="55">
        <v>0</v>
      </c>
      <c r="BF1454" s="55">
        <f>K1454</f>
        <v>0</v>
      </c>
      <c r="BH1454" s="55">
        <f>G1454*AO1454</f>
        <v>0</v>
      </c>
      <c r="BI1454" s="55">
        <f>G1454*AP1454</f>
        <v>0</v>
      </c>
      <c r="BJ1454" s="55">
        <f>G1454*H1454</f>
        <v>0</v>
      </c>
      <c r="BK1454" s="55"/>
      <c r="BL1454" s="55"/>
      <c r="BW1454" s="55">
        <v>21</v>
      </c>
    </row>
    <row r="1455" spans="1:12" ht="13.5" customHeight="1">
      <c r="A1455" s="59"/>
      <c r="D1455" s="218" t="s">
        <v>129</v>
      </c>
      <c r="E1455" s="219"/>
      <c r="F1455" s="219"/>
      <c r="G1455" s="219"/>
      <c r="H1455" s="220"/>
      <c r="I1455" s="219"/>
      <c r="J1455" s="219"/>
      <c r="K1455" s="219"/>
      <c r="L1455" s="221"/>
    </row>
    <row r="1456" spans="1:75" ht="13.5" customHeight="1">
      <c r="A1456" s="1" t="s">
        <v>2736</v>
      </c>
      <c r="B1456" s="2" t="s">
        <v>2629</v>
      </c>
      <c r="C1456" s="2" t="s">
        <v>2737</v>
      </c>
      <c r="D1456" s="147" t="s">
        <v>2738</v>
      </c>
      <c r="E1456" s="148"/>
      <c r="F1456" s="2" t="s">
        <v>123</v>
      </c>
      <c r="G1456" s="55">
        <v>27</v>
      </c>
      <c r="H1456" s="56">
        <v>0</v>
      </c>
      <c r="I1456" s="55">
        <f>G1456*H1456</f>
        <v>0</v>
      </c>
      <c r="J1456" s="55">
        <v>0</v>
      </c>
      <c r="K1456" s="55">
        <f>G1456*J1456</f>
        <v>0</v>
      </c>
      <c r="L1456" s="57" t="s">
        <v>124</v>
      </c>
      <c r="Z1456" s="55">
        <f>IF(AQ1456="5",BJ1456,0)</f>
        <v>0</v>
      </c>
      <c r="AB1456" s="55">
        <f>IF(AQ1456="1",BH1456,0)</f>
        <v>0</v>
      </c>
      <c r="AC1456" s="55">
        <f>IF(AQ1456="1",BI1456,0)</f>
        <v>0</v>
      </c>
      <c r="AD1456" s="55">
        <f>IF(AQ1456="7",BH1456,0)</f>
        <v>0</v>
      </c>
      <c r="AE1456" s="55">
        <f>IF(AQ1456="7",BI1456,0)</f>
        <v>0</v>
      </c>
      <c r="AF1456" s="55">
        <f>IF(AQ1456="2",BH1456,0)</f>
        <v>0</v>
      </c>
      <c r="AG1456" s="55">
        <f>IF(AQ1456="2",BI1456,0)</f>
        <v>0</v>
      </c>
      <c r="AH1456" s="55">
        <f>IF(AQ1456="0",BJ1456,0)</f>
        <v>0</v>
      </c>
      <c r="AI1456" s="34" t="s">
        <v>2629</v>
      </c>
      <c r="AJ1456" s="55">
        <f>IF(AN1456=0,I1456,0)</f>
        <v>0</v>
      </c>
      <c r="AK1456" s="55">
        <f>IF(AN1456=12,I1456,0)</f>
        <v>0</v>
      </c>
      <c r="AL1456" s="55">
        <f>IF(AN1456=21,I1456,0)</f>
        <v>0</v>
      </c>
      <c r="AN1456" s="55">
        <v>21</v>
      </c>
      <c r="AO1456" s="55">
        <f>H1456*0.524590164</f>
        <v>0</v>
      </c>
      <c r="AP1456" s="55">
        <f>H1456*(1-0.524590164)</f>
        <v>0</v>
      </c>
      <c r="AQ1456" s="58" t="s">
        <v>125</v>
      </c>
      <c r="AV1456" s="55">
        <f>AW1456+AX1456</f>
        <v>0</v>
      </c>
      <c r="AW1456" s="55">
        <f>G1456*AO1456</f>
        <v>0</v>
      </c>
      <c r="AX1456" s="55">
        <f>G1456*AP1456</f>
        <v>0</v>
      </c>
      <c r="AY1456" s="58" t="s">
        <v>2699</v>
      </c>
      <c r="AZ1456" s="58" t="s">
        <v>2633</v>
      </c>
      <c r="BA1456" s="34" t="s">
        <v>2634</v>
      </c>
      <c r="BC1456" s="55">
        <f>AW1456+AX1456</f>
        <v>0</v>
      </c>
      <c r="BD1456" s="55">
        <f>H1456/(100-BE1456)*100</f>
        <v>0</v>
      </c>
      <c r="BE1456" s="55">
        <v>0</v>
      </c>
      <c r="BF1456" s="55">
        <f>K1456</f>
        <v>0</v>
      </c>
      <c r="BH1456" s="55">
        <f>G1456*AO1456</f>
        <v>0</v>
      </c>
      <c r="BI1456" s="55">
        <f>G1456*AP1456</f>
        <v>0</v>
      </c>
      <c r="BJ1456" s="55">
        <f>G1456*H1456</f>
        <v>0</v>
      </c>
      <c r="BK1456" s="55"/>
      <c r="BL1456" s="55"/>
      <c r="BW1456" s="55">
        <v>21</v>
      </c>
    </row>
    <row r="1457" spans="1:12" ht="13.5" customHeight="1">
      <c r="A1457" s="59"/>
      <c r="D1457" s="218" t="s">
        <v>129</v>
      </c>
      <c r="E1457" s="219"/>
      <c r="F1457" s="219"/>
      <c r="G1457" s="219"/>
      <c r="H1457" s="220"/>
      <c r="I1457" s="219"/>
      <c r="J1457" s="219"/>
      <c r="K1457" s="219"/>
      <c r="L1457" s="221"/>
    </row>
    <row r="1458" spans="1:75" ht="13.5" customHeight="1">
      <c r="A1458" s="1" t="s">
        <v>2739</v>
      </c>
      <c r="B1458" s="2" t="s">
        <v>2629</v>
      </c>
      <c r="C1458" s="2" t="s">
        <v>2740</v>
      </c>
      <c r="D1458" s="147" t="s">
        <v>2741</v>
      </c>
      <c r="E1458" s="148"/>
      <c r="F1458" s="2" t="s">
        <v>123</v>
      </c>
      <c r="G1458" s="55">
        <v>15</v>
      </c>
      <c r="H1458" s="56">
        <v>0</v>
      </c>
      <c r="I1458" s="55">
        <f>G1458*H1458</f>
        <v>0</v>
      </c>
      <c r="J1458" s="55">
        <v>0</v>
      </c>
      <c r="K1458" s="55">
        <f>G1458*J1458</f>
        <v>0</v>
      </c>
      <c r="L1458" s="57" t="s">
        <v>124</v>
      </c>
      <c r="Z1458" s="55">
        <f>IF(AQ1458="5",BJ1458,0)</f>
        <v>0</v>
      </c>
      <c r="AB1458" s="55">
        <f>IF(AQ1458="1",BH1458,0)</f>
        <v>0</v>
      </c>
      <c r="AC1458" s="55">
        <f>IF(AQ1458="1",BI1458,0)</f>
        <v>0</v>
      </c>
      <c r="AD1458" s="55">
        <f>IF(AQ1458="7",BH1458,0)</f>
        <v>0</v>
      </c>
      <c r="AE1458" s="55">
        <f>IF(AQ1458="7",BI1458,0)</f>
        <v>0</v>
      </c>
      <c r="AF1458" s="55">
        <f>IF(AQ1458="2",BH1458,0)</f>
        <v>0</v>
      </c>
      <c r="AG1458" s="55">
        <f>IF(AQ1458="2",BI1458,0)</f>
        <v>0</v>
      </c>
      <c r="AH1458" s="55">
        <f>IF(AQ1458="0",BJ1458,0)</f>
        <v>0</v>
      </c>
      <c r="AI1458" s="34" t="s">
        <v>2629</v>
      </c>
      <c r="AJ1458" s="55">
        <f>IF(AN1458=0,I1458,0)</f>
        <v>0</v>
      </c>
      <c r="AK1458" s="55">
        <f>IF(AN1458=12,I1458,0)</f>
        <v>0</v>
      </c>
      <c r="AL1458" s="55">
        <f>IF(AN1458=21,I1458,0)</f>
        <v>0</v>
      </c>
      <c r="AN1458" s="55">
        <v>21</v>
      </c>
      <c r="AO1458" s="55">
        <f>H1458*0.602836879</f>
        <v>0</v>
      </c>
      <c r="AP1458" s="55">
        <f>H1458*(1-0.602836879)</f>
        <v>0</v>
      </c>
      <c r="AQ1458" s="58" t="s">
        <v>125</v>
      </c>
      <c r="AV1458" s="55">
        <f>AW1458+AX1458</f>
        <v>0</v>
      </c>
      <c r="AW1458" s="55">
        <f>G1458*AO1458</f>
        <v>0</v>
      </c>
      <c r="AX1458" s="55">
        <f>G1458*AP1458</f>
        <v>0</v>
      </c>
      <c r="AY1458" s="58" t="s">
        <v>2699</v>
      </c>
      <c r="AZ1458" s="58" t="s">
        <v>2633</v>
      </c>
      <c r="BA1458" s="34" t="s">
        <v>2634</v>
      </c>
      <c r="BC1458" s="55">
        <f>AW1458+AX1458</f>
        <v>0</v>
      </c>
      <c r="BD1458" s="55">
        <f>H1458/(100-BE1458)*100</f>
        <v>0</v>
      </c>
      <c r="BE1458" s="55">
        <v>0</v>
      </c>
      <c r="BF1458" s="55">
        <f>K1458</f>
        <v>0</v>
      </c>
      <c r="BH1458" s="55">
        <f>G1458*AO1458</f>
        <v>0</v>
      </c>
      <c r="BI1458" s="55">
        <f>G1458*AP1458</f>
        <v>0</v>
      </c>
      <c r="BJ1458" s="55">
        <f>G1458*H1458</f>
        <v>0</v>
      </c>
      <c r="BK1458" s="55"/>
      <c r="BL1458" s="55"/>
      <c r="BW1458" s="55">
        <v>21</v>
      </c>
    </row>
    <row r="1459" spans="1:12" ht="13.5" customHeight="1">
      <c r="A1459" s="59"/>
      <c r="D1459" s="218" t="s">
        <v>129</v>
      </c>
      <c r="E1459" s="219"/>
      <c r="F1459" s="219"/>
      <c r="G1459" s="219"/>
      <c r="H1459" s="220"/>
      <c r="I1459" s="219"/>
      <c r="J1459" s="219"/>
      <c r="K1459" s="219"/>
      <c r="L1459" s="221"/>
    </row>
    <row r="1460" spans="1:75" ht="13.5" customHeight="1">
      <c r="A1460" s="1" t="s">
        <v>2742</v>
      </c>
      <c r="B1460" s="2" t="s">
        <v>2629</v>
      </c>
      <c r="C1460" s="2" t="s">
        <v>2743</v>
      </c>
      <c r="D1460" s="147" t="s">
        <v>2744</v>
      </c>
      <c r="E1460" s="148"/>
      <c r="F1460" s="2" t="s">
        <v>123</v>
      </c>
      <c r="G1460" s="55">
        <v>5</v>
      </c>
      <c r="H1460" s="56">
        <v>0</v>
      </c>
      <c r="I1460" s="55">
        <f>G1460*H1460</f>
        <v>0</v>
      </c>
      <c r="J1460" s="55">
        <v>0</v>
      </c>
      <c r="K1460" s="55">
        <f>G1460*J1460</f>
        <v>0</v>
      </c>
      <c r="L1460" s="57" t="s">
        <v>124</v>
      </c>
      <c r="Z1460" s="55">
        <f>IF(AQ1460="5",BJ1460,0)</f>
        <v>0</v>
      </c>
      <c r="AB1460" s="55">
        <f>IF(AQ1460="1",BH1460,0)</f>
        <v>0</v>
      </c>
      <c r="AC1460" s="55">
        <f>IF(AQ1460="1",BI1460,0)</f>
        <v>0</v>
      </c>
      <c r="AD1460" s="55">
        <f>IF(AQ1460="7",BH1460,0)</f>
        <v>0</v>
      </c>
      <c r="AE1460" s="55">
        <f>IF(AQ1460="7",BI1460,0)</f>
        <v>0</v>
      </c>
      <c r="AF1460" s="55">
        <f>IF(AQ1460="2",BH1460,0)</f>
        <v>0</v>
      </c>
      <c r="AG1460" s="55">
        <f>IF(AQ1460="2",BI1460,0)</f>
        <v>0</v>
      </c>
      <c r="AH1460" s="55">
        <f>IF(AQ1460="0",BJ1460,0)</f>
        <v>0</v>
      </c>
      <c r="AI1460" s="34" t="s">
        <v>2629</v>
      </c>
      <c r="AJ1460" s="55">
        <f>IF(AN1460=0,I1460,0)</f>
        <v>0</v>
      </c>
      <c r="AK1460" s="55">
        <f>IF(AN1460=12,I1460,0)</f>
        <v>0</v>
      </c>
      <c r="AL1460" s="55">
        <f>IF(AN1460=21,I1460,0)</f>
        <v>0</v>
      </c>
      <c r="AN1460" s="55">
        <v>21</v>
      </c>
      <c r="AO1460" s="55">
        <f>H1460*0.951864169</f>
        <v>0</v>
      </c>
      <c r="AP1460" s="55">
        <f>H1460*(1-0.951864169)</f>
        <v>0</v>
      </c>
      <c r="AQ1460" s="58" t="s">
        <v>125</v>
      </c>
      <c r="AV1460" s="55">
        <f>AW1460+AX1460</f>
        <v>0</v>
      </c>
      <c r="AW1460" s="55">
        <f>G1460*AO1460</f>
        <v>0</v>
      </c>
      <c r="AX1460" s="55">
        <f>G1460*AP1460</f>
        <v>0</v>
      </c>
      <c r="AY1460" s="58" t="s">
        <v>2699</v>
      </c>
      <c r="AZ1460" s="58" t="s">
        <v>2633</v>
      </c>
      <c r="BA1460" s="34" t="s">
        <v>2634</v>
      </c>
      <c r="BC1460" s="55">
        <f>AW1460+AX1460</f>
        <v>0</v>
      </c>
      <c r="BD1460" s="55">
        <f>H1460/(100-BE1460)*100</f>
        <v>0</v>
      </c>
      <c r="BE1460" s="55">
        <v>0</v>
      </c>
      <c r="BF1460" s="55">
        <f>K1460</f>
        <v>0</v>
      </c>
      <c r="BH1460" s="55">
        <f>G1460*AO1460</f>
        <v>0</v>
      </c>
      <c r="BI1460" s="55">
        <f>G1460*AP1460</f>
        <v>0</v>
      </c>
      <c r="BJ1460" s="55">
        <f>G1460*H1460</f>
        <v>0</v>
      </c>
      <c r="BK1460" s="55"/>
      <c r="BL1460" s="55"/>
      <c r="BW1460" s="55">
        <v>21</v>
      </c>
    </row>
    <row r="1461" spans="1:12" ht="13.5" customHeight="1">
      <c r="A1461" s="59"/>
      <c r="D1461" s="218" t="s">
        <v>129</v>
      </c>
      <c r="E1461" s="219"/>
      <c r="F1461" s="219"/>
      <c r="G1461" s="219"/>
      <c r="H1461" s="220"/>
      <c r="I1461" s="219"/>
      <c r="J1461" s="219"/>
      <c r="K1461" s="219"/>
      <c r="L1461" s="221"/>
    </row>
    <row r="1462" spans="1:75" ht="13.5" customHeight="1">
      <c r="A1462" s="1" t="s">
        <v>2745</v>
      </c>
      <c r="B1462" s="2" t="s">
        <v>2629</v>
      </c>
      <c r="C1462" s="2" t="s">
        <v>2746</v>
      </c>
      <c r="D1462" s="147" t="s">
        <v>2747</v>
      </c>
      <c r="E1462" s="148"/>
      <c r="F1462" s="2" t="s">
        <v>250</v>
      </c>
      <c r="G1462" s="55">
        <v>5</v>
      </c>
      <c r="H1462" s="56">
        <v>0</v>
      </c>
      <c r="I1462" s="55">
        <f>G1462*H1462</f>
        <v>0</v>
      </c>
      <c r="J1462" s="55">
        <v>0</v>
      </c>
      <c r="K1462" s="55">
        <f>G1462*J1462</f>
        <v>0</v>
      </c>
      <c r="L1462" s="57" t="s">
        <v>124</v>
      </c>
      <c r="Z1462" s="55">
        <f>IF(AQ1462="5",BJ1462,0)</f>
        <v>0</v>
      </c>
      <c r="AB1462" s="55">
        <f>IF(AQ1462="1",BH1462,0)</f>
        <v>0</v>
      </c>
      <c r="AC1462" s="55">
        <f>IF(AQ1462="1",BI1462,0)</f>
        <v>0</v>
      </c>
      <c r="AD1462" s="55">
        <f>IF(AQ1462="7",BH1462,0)</f>
        <v>0</v>
      </c>
      <c r="AE1462" s="55">
        <f>IF(AQ1462="7",BI1462,0)</f>
        <v>0</v>
      </c>
      <c r="AF1462" s="55">
        <f>IF(AQ1462="2",BH1462,0)</f>
        <v>0</v>
      </c>
      <c r="AG1462" s="55">
        <f>IF(AQ1462="2",BI1462,0)</f>
        <v>0</v>
      </c>
      <c r="AH1462" s="55">
        <f>IF(AQ1462="0",BJ1462,0)</f>
        <v>0</v>
      </c>
      <c r="AI1462" s="34" t="s">
        <v>2629</v>
      </c>
      <c r="AJ1462" s="55">
        <f>IF(AN1462=0,I1462,0)</f>
        <v>0</v>
      </c>
      <c r="AK1462" s="55">
        <f>IF(AN1462=12,I1462,0)</f>
        <v>0</v>
      </c>
      <c r="AL1462" s="55">
        <f>IF(AN1462=21,I1462,0)</f>
        <v>0</v>
      </c>
      <c r="AN1462" s="55">
        <v>21</v>
      </c>
      <c r="AO1462" s="55">
        <f>H1462*0.882088714</f>
        <v>0</v>
      </c>
      <c r="AP1462" s="55">
        <f>H1462*(1-0.882088714)</f>
        <v>0</v>
      </c>
      <c r="AQ1462" s="58" t="s">
        <v>125</v>
      </c>
      <c r="AV1462" s="55">
        <f>AW1462+AX1462</f>
        <v>0</v>
      </c>
      <c r="AW1462" s="55">
        <f>G1462*AO1462</f>
        <v>0</v>
      </c>
      <c r="AX1462" s="55">
        <f>G1462*AP1462</f>
        <v>0</v>
      </c>
      <c r="AY1462" s="58" t="s">
        <v>2699</v>
      </c>
      <c r="AZ1462" s="58" t="s">
        <v>2633</v>
      </c>
      <c r="BA1462" s="34" t="s">
        <v>2634</v>
      </c>
      <c r="BC1462" s="55">
        <f>AW1462+AX1462</f>
        <v>0</v>
      </c>
      <c r="BD1462" s="55">
        <f>H1462/(100-BE1462)*100</f>
        <v>0</v>
      </c>
      <c r="BE1462" s="55">
        <v>0</v>
      </c>
      <c r="BF1462" s="55">
        <f>K1462</f>
        <v>0</v>
      </c>
      <c r="BH1462" s="55">
        <f>G1462*AO1462</f>
        <v>0</v>
      </c>
      <c r="BI1462" s="55">
        <f>G1462*AP1462</f>
        <v>0</v>
      </c>
      <c r="BJ1462" s="55">
        <f>G1462*H1462</f>
        <v>0</v>
      </c>
      <c r="BK1462" s="55"/>
      <c r="BL1462" s="55"/>
      <c r="BW1462" s="55">
        <v>21</v>
      </c>
    </row>
    <row r="1463" spans="1:12" ht="13.5" customHeight="1">
      <c r="A1463" s="59"/>
      <c r="D1463" s="218" t="s">
        <v>129</v>
      </c>
      <c r="E1463" s="219"/>
      <c r="F1463" s="219"/>
      <c r="G1463" s="219"/>
      <c r="H1463" s="220"/>
      <c r="I1463" s="219"/>
      <c r="J1463" s="219"/>
      <c r="K1463" s="219"/>
      <c r="L1463" s="221"/>
    </row>
    <row r="1464" spans="1:75" ht="13.5" customHeight="1">
      <c r="A1464" s="1" t="s">
        <v>2748</v>
      </c>
      <c r="B1464" s="2" t="s">
        <v>2629</v>
      </c>
      <c r="C1464" s="2" t="s">
        <v>2749</v>
      </c>
      <c r="D1464" s="147" t="s">
        <v>2750</v>
      </c>
      <c r="E1464" s="148"/>
      <c r="F1464" s="2" t="s">
        <v>250</v>
      </c>
      <c r="G1464" s="55">
        <v>28</v>
      </c>
      <c r="H1464" s="56">
        <v>0</v>
      </c>
      <c r="I1464" s="55">
        <f>G1464*H1464</f>
        <v>0</v>
      </c>
      <c r="J1464" s="55">
        <v>0</v>
      </c>
      <c r="K1464" s="55">
        <f>G1464*J1464</f>
        <v>0</v>
      </c>
      <c r="L1464" s="57" t="s">
        <v>124</v>
      </c>
      <c r="Z1464" s="55">
        <f>IF(AQ1464="5",BJ1464,0)</f>
        <v>0</v>
      </c>
      <c r="AB1464" s="55">
        <f>IF(AQ1464="1",BH1464,0)</f>
        <v>0</v>
      </c>
      <c r="AC1464" s="55">
        <f>IF(AQ1464="1",BI1464,0)</f>
        <v>0</v>
      </c>
      <c r="AD1464" s="55">
        <f>IF(AQ1464="7",BH1464,0)</f>
        <v>0</v>
      </c>
      <c r="AE1464" s="55">
        <f>IF(AQ1464="7",BI1464,0)</f>
        <v>0</v>
      </c>
      <c r="AF1464" s="55">
        <f>IF(AQ1464="2",BH1464,0)</f>
        <v>0</v>
      </c>
      <c r="AG1464" s="55">
        <f>IF(AQ1464="2",BI1464,0)</f>
        <v>0</v>
      </c>
      <c r="AH1464" s="55">
        <f>IF(AQ1464="0",BJ1464,0)</f>
        <v>0</v>
      </c>
      <c r="AI1464" s="34" t="s">
        <v>2629</v>
      </c>
      <c r="AJ1464" s="55">
        <f>IF(AN1464=0,I1464,0)</f>
        <v>0</v>
      </c>
      <c r="AK1464" s="55">
        <f>IF(AN1464=12,I1464,0)</f>
        <v>0</v>
      </c>
      <c r="AL1464" s="55">
        <f>IF(AN1464=21,I1464,0)</f>
        <v>0</v>
      </c>
      <c r="AN1464" s="55">
        <v>21</v>
      </c>
      <c r="AO1464" s="55">
        <f>H1464*0.615384615</f>
        <v>0</v>
      </c>
      <c r="AP1464" s="55">
        <f>H1464*(1-0.615384615)</f>
        <v>0</v>
      </c>
      <c r="AQ1464" s="58" t="s">
        <v>125</v>
      </c>
      <c r="AV1464" s="55">
        <f>AW1464+AX1464</f>
        <v>0</v>
      </c>
      <c r="AW1464" s="55">
        <f>G1464*AO1464</f>
        <v>0</v>
      </c>
      <c r="AX1464" s="55">
        <f>G1464*AP1464</f>
        <v>0</v>
      </c>
      <c r="AY1464" s="58" t="s">
        <v>2699</v>
      </c>
      <c r="AZ1464" s="58" t="s">
        <v>2633</v>
      </c>
      <c r="BA1464" s="34" t="s">
        <v>2634</v>
      </c>
      <c r="BC1464" s="55">
        <f>AW1464+AX1464</f>
        <v>0</v>
      </c>
      <c r="BD1464" s="55">
        <f>H1464/(100-BE1464)*100</f>
        <v>0</v>
      </c>
      <c r="BE1464" s="55">
        <v>0</v>
      </c>
      <c r="BF1464" s="55">
        <f>K1464</f>
        <v>0</v>
      </c>
      <c r="BH1464" s="55">
        <f>G1464*AO1464</f>
        <v>0</v>
      </c>
      <c r="BI1464" s="55">
        <f>G1464*AP1464</f>
        <v>0</v>
      </c>
      <c r="BJ1464" s="55">
        <f>G1464*H1464</f>
        <v>0</v>
      </c>
      <c r="BK1464" s="55"/>
      <c r="BL1464" s="55"/>
      <c r="BW1464" s="55">
        <v>21</v>
      </c>
    </row>
    <row r="1465" spans="1:12" ht="13.5" customHeight="1">
      <c r="A1465" s="59"/>
      <c r="D1465" s="218" t="s">
        <v>129</v>
      </c>
      <c r="E1465" s="219"/>
      <c r="F1465" s="219"/>
      <c r="G1465" s="219"/>
      <c r="H1465" s="220"/>
      <c r="I1465" s="219"/>
      <c r="J1465" s="219"/>
      <c r="K1465" s="219"/>
      <c r="L1465" s="221"/>
    </row>
    <row r="1466" spans="1:75" ht="13.5" customHeight="1">
      <c r="A1466" s="1" t="s">
        <v>2751</v>
      </c>
      <c r="B1466" s="2" t="s">
        <v>2629</v>
      </c>
      <c r="C1466" s="2" t="s">
        <v>2752</v>
      </c>
      <c r="D1466" s="147" t="s">
        <v>2753</v>
      </c>
      <c r="E1466" s="148"/>
      <c r="F1466" s="2" t="s">
        <v>250</v>
      </c>
      <c r="G1466" s="55">
        <v>80</v>
      </c>
      <c r="H1466" s="56">
        <v>0</v>
      </c>
      <c r="I1466" s="55">
        <f>G1466*H1466</f>
        <v>0</v>
      </c>
      <c r="J1466" s="55">
        <v>0</v>
      </c>
      <c r="K1466" s="55">
        <f>G1466*J1466</f>
        <v>0</v>
      </c>
      <c r="L1466" s="57" t="s">
        <v>124</v>
      </c>
      <c r="Z1466" s="55">
        <f>IF(AQ1466="5",BJ1466,0)</f>
        <v>0</v>
      </c>
      <c r="AB1466" s="55">
        <f>IF(AQ1466="1",BH1466,0)</f>
        <v>0</v>
      </c>
      <c r="AC1466" s="55">
        <f>IF(AQ1466="1",BI1466,0)</f>
        <v>0</v>
      </c>
      <c r="AD1466" s="55">
        <f>IF(AQ1466="7",BH1466,0)</f>
        <v>0</v>
      </c>
      <c r="AE1466" s="55">
        <f>IF(AQ1466="7",BI1466,0)</f>
        <v>0</v>
      </c>
      <c r="AF1466" s="55">
        <f>IF(AQ1466="2",BH1466,0)</f>
        <v>0</v>
      </c>
      <c r="AG1466" s="55">
        <f>IF(AQ1466="2",BI1466,0)</f>
        <v>0</v>
      </c>
      <c r="AH1466" s="55">
        <f>IF(AQ1466="0",BJ1466,0)</f>
        <v>0</v>
      </c>
      <c r="AI1466" s="34" t="s">
        <v>2629</v>
      </c>
      <c r="AJ1466" s="55">
        <f>IF(AN1466=0,I1466,0)</f>
        <v>0</v>
      </c>
      <c r="AK1466" s="55">
        <f>IF(AN1466=12,I1466,0)</f>
        <v>0</v>
      </c>
      <c r="AL1466" s="55">
        <f>IF(AN1466=21,I1466,0)</f>
        <v>0</v>
      </c>
      <c r="AN1466" s="55">
        <v>21</v>
      </c>
      <c r="AO1466" s="55">
        <f>H1466*0.664031621</f>
        <v>0</v>
      </c>
      <c r="AP1466" s="55">
        <f>H1466*(1-0.664031621)</f>
        <v>0</v>
      </c>
      <c r="AQ1466" s="58" t="s">
        <v>125</v>
      </c>
      <c r="AV1466" s="55">
        <f>AW1466+AX1466</f>
        <v>0</v>
      </c>
      <c r="AW1466" s="55">
        <f>G1466*AO1466</f>
        <v>0</v>
      </c>
      <c r="AX1466" s="55">
        <f>G1466*AP1466</f>
        <v>0</v>
      </c>
      <c r="AY1466" s="58" t="s">
        <v>2699</v>
      </c>
      <c r="AZ1466" s="58" t="s">
        <v>2633</v>
      </c>
      <c r="BA1466" s="34" t="s">
        <v>2634</v>
      </c>
      <c r="BC1466" s="55">
        <f>AW1466+AX1466</f>
        <v>0</v>
      </c>
      <c r="BD1466" s="55">
        <f>H1466/(100-BE1466)*100</f>
        <v>0</v>
      </c>
      <c r="BE1466" s="55">
        <v>0</v>
      </c>
      <c r="BF1466" s="55">
        <f>K1466</f>
        <v>0</v>
      </c>
      <c r="BH1466" s="55">
        <f>G1466*AO1466</f>
        <v>0</v>
      </c>
      <c r="BI1466" s="55">
        <f>G1466*AP1466</f>
        <v>0</v>
      </c>
      <c r="BJ1466" s="55">
        <f>G1466*H1466</f>
        <v>0</v>
      </c>
      <c r="BK1466" s="55"/>
      <c r="BL1466" s="55"/>
      <c r="BW1466" s="55">
        <v>21</v>
      </c>
    </row>
    <row r="1467" spans="1:12" ht="13.5" customHeight="1">
      <c r="A1467" s="59"/>
      <c r="D1467" s="218" t="s">
        <v>129</v>
      </c>
      <c r="E1467" s="219"/>
      <c r="F1467" s="219"/>
      <c r="G1467" s="219"/>
      <c r="H1467" s="220"/>
      <c r="I1467" s="219"/>
      <c r="J1467" s="219"/>
      <c r="K1467" s="219"/>
      <c r="L1467" s="221"/>
    </row>
    <row r="1468" spans="1:75" ht="13.5" customHeight="1">
      <c r="A1468" s="1" t="s">
        <v>2754</v>
      </c>
      <c r="B1468" s="2" t="s">
        <v>2629</v>
      </c>
      <c r="C1468" s="2" t="s">
        <v>2755</v>
      </c>
      <c r="D1468" s="147" t="s">
        <v>2756</v>
      </c>
      <c r="E1468" s="148"/>
      <c r="F1468" s="2" t="s">
        <v>250</v>
      </c>
      <c r="G1468" s="55">
        <v>105</v>
      </c>
      <c r="H1468" s="56">
        <v>0</v>
      </c>
      <c r="I1468" s="55">
        <f>G1468*H1468</f>
        <v>0</v>
      </c>
      <c r="J1468" s="55">
        <v>0</v>
      </c>
      <c r="K1468" s="55">
        <f>G1468*J1468</f>
        <v>0</v>
      </c>
      <c r="L1468" s="57" t="s">
        <v>124</v>
      </c>
      <c r="Z1468" s="55">
        <f>IF(AQ1468="5",BJ1468,0)</f>
        <v>0</v>
      </c>
      <c r="AB1468" s="55">
        <f>IF(AQ1468="1",BH1468,0)</f>
        <v>0</v>
      </c>
      <c r="AC1468" s="55">
        <f>IF(AQ1468="1",BI1468,0)</f>
        <v>0</v>
      </c>
      <c r="AD1468" s="55">
        <f>IF(AQ1468="7",BH1468,0)</f>
        <v>0</v>
      </c>
      <c r="AE1468" s="55">
        <f>IF(AQ1468="7",BI1468,0)</f>
        <v>0</v>
      </c>
      <c r="AF1468" s="55">
        <f>IF(AQ1468="2",BH1468,0)</f>
        <v>0</v>
      </c>
      <c r="AG1468" s="55">
        <f>IF(AQ1468="2",BI1468,0)</f>
        <v>0</v>
      </c>
      <c r="AH1468" s="55">
        <f>IF(AQ1468="0",BJ1468,0)</f>
        <v>0</v>
      </c>
      <c r="AI1468" s="34" t="s">
        <v>2629</v>
      </c>
      <c r="AJ1468" s="55">
        <f>IF(AN1468=0,I1468,0)</f>
        <v>0</v>
      </c>
      <c r="AK1468" s="55">
        <f>IF(AN1468=12,I1468,0)</f>
        <v>0</v>
      </c>
      <c r="AL1468" s="55">
        <f>IF(AN1468=21,I1468,0)</f>
        <v>0</v>
      </c>
      <c r="AN1468" s="55">
        <v>21</v>
      </c>
      <c r="AO1468" s="55">
        <f>H1468*0.559585492</f>
        <v>0</v>
      </c>
      <c r="AP1468" s="55">
        <f>H1468*(1-0.559585492)</f>
        <v>0</v>
      </c>
      <c r="AQ1468" s="58" t="s">
        <v>125</v>
      </c>
      <c r="AV1468" s="55">
        <f>AW1468+AX1468</f>
        <v>0</v>
      </c>
      <c r="AW1468" s="55">
        <f>G1468*AO1468</f>
        <v>0</v>
      </c>
      <c r="AX1468" s="55">
        <f>G1468*AP1468</f>
        <v>0</v>
      </c>
      <c r="AY1468" s="58" t="s">
        <v>2699</v>
      </c>
      <c r="AZ1468" s="58" t="s">
        <v>2633</v>
      </c>
      <c r="BA1468" s="34" t="s">
        <v>2634</v>
      </c>
      <c r="BC1468" s="55">
        <f>AW1468+AX1468</f>
        <v>0</v>
      </c>
      <c r="BD1468" s="55">
        <f>H1468/(100-BE1468)*100</f>
        <v>0</v>
      </c>
      <c r="BE1468" s="55">
        <v>0</v>
      </c>
      <c r="BF1468" s="55">
        <f>K1468</f>
        <v>0</v>
      </c>
      <c r="BH1468" s="55">
        <f>G1468*AO1468</f>
        <v>0</v>
      </c>
      <c r="BI1468" s="55">
        <f>G1468*AP1468</f>
        <v>0</v>
      </c>
      <c r="BJ1468" s="55">
        <f>G1468*H1468</f>
        <v>0</v>
      </c>
      <c r="BK1468" s="55"/>
      <c r="BL1468" s="55"/>
      <c r="BW1468" s="55">
        <v>21</v>
      </c>
    </row>
    <row r="1469" spans="1:12" ht="13.5" customHeight="1">
      <c r="A1469" s="59"/>
      <c r="D1469" s="218" t="s">
        <v>129</v>
      </c>
      <c r="E1469" s="219"/>
      <c r="F1469" s="219"/>
      <c r="G1469" s="219"/>
      <c r="H1469" s="220"/>
      <c r="I1469" s="219"/>
      <c r="J1469" s="219"/>
      <c r="K1469" s="219"/>
      <c r="L1469" s="221"/>
    </row>
    <row r="1470" spans="1:75" ht="13.5" customHeight="1">
      <c r="A1470" s="1" t="s">
        <v>2757</v>
      </c>
      <c r="B1470" s="2" t="s">
        <v>2629</v>
      </c>
      <c r="C1470" s="2" t="s">
        <v>2758</v>
      </c>
      <c r="D1470" s="147" t="s">
        <v>2759</v>
      </c>
      <c r="E1470" s="148"/>
      <c r="F1470" s="2" t="s">
        <v>174</v>
      </c>
      <c r="G1470" s="55">
        <v>240</v>
      </c>
      <c r="H1470" s="56">
        <v>0</v>
      </c>
      <c r="I1470" s="55">
        <f>G1470*H1470</f>
        <v>0</v>
      </c>
      <c r="J1470" s="55">
        <v>0</v>
      </c>
      <c r="K1470" s="55">
        <f>G1470*J1470</f>
        <v>0</v>
      </c>
      <c r="L1470" s="57" t="s">
        <v>124</v>
      </c>
      <c r="Z1470" s="55">
        <f>IF(AQ1470="5",BJ1470,0)</f>
        <v>0</v>
      </c>
      <c r="AB1470" s="55">
        <f>IF(AQ1470="1",BH1470,0)</f>
        <v>0</v>
      </c>
      <c r="AC1470" s="55">
        <f>IF(AQ1470="1",BI1470,0)</f>
        <v>0</v>
      </c>
      <c r="AD1470" s="55">
        <f>IF(AQ1470="7",BH1470,0)</f>
        <v>0</v>
      </c>
      <c r="AE1470" s="55">
        <f>IF(AQ1470="7",BI1470,0)</f>
        <v>0</v>
      </c>
      <c r="AF1470" s="55">
        <f>IF(AQ1470="2",BH1470,0)</f>
        <v>0</v>
      </c>
      <c r="AG1470" s="55">
        <f>IF(AQ1470="2",BI1470,0)</f>
        <v>0</v>
      </c>
      <c r="AH1470" s="55">
        <f>IF(AQ1470="0",BJ1470,0)</f>
        <v>0</v>
      </c>
      <c r="AI1470" s="34" t="s">
        <v>2629</v>
      </c>
      <c r="AJ1470" s="55">
        <f>IF(AN1470=0,I1470,0)</f>
        <v>0</v>
      </c>
      <c r="AK1470" s="55">
        <f>IF(AN1470=12,I1470,0)</f>
        <v>0</v>
      </c>
      <c r="AL1470" s="55">
        <f>IF(AN1470=21,I1470,0)</f>
        <v>0</v>
      </c>
      <c r="AN1470" s="55">
        <v>21</v>
      </c>
      <c r="AO1470" s="55">
        <f>H1470*0.960921144</f>
        <v>0</v>
      </c>
      <c r="AP1470" s="55">
        <f>H1470*(1-0.960921144)</f>
        <v>0</v>
      </c>
      <c r="AQ1470" s="58" t="s">
        <v>125</v>
      </c>
      <c r="AV1470" s="55">
        <f>AW1470+AX1470</f>
        <v>0</v>
      </c>
      <c r="AW1470" s="55">
        <f>G1470*AO1470</f>
        <v>0</v>
      </c>
      <c r="AX1470" s="55">
        <f>G1470*AP1470</f>
        <v>0</v>
      </c>
      <c r="AY1470" s="58" t="s">
        <v>2699</v>
      </c>
      <c r="AZ1470" s="58" t="s">
        <v>2633</v>
      </c>
      <c r="BA1470" s="34" t="s">
        <v>2634</v>
      </c>
      <c r="BC1470" s="55">
        <f>AW1470+AX1470</f>
        <v>0</v>
      </c>
      <c r="BD1470" s="55">
        <f>H1470/(100-BE1470)*100</f>
        <v>0</v>
      </c>
      <c r="BE1470" s="55">
        <v>0</v>
      </c>
      <c r="BF1470" s="55">
        <f>K1470</f>
        <v>0</v>
      </c>
      <c r="BH1470" s="55">
        <f>G1470*AO1470</f>
        <v>0</v>
      </c>
      <c r="BI1470" s="55">
        <f>G1470*AP1470</f>
        <v>0</v>
      </c>
      <c r="BJ1470" s="55">
        <f>G1470*H1470</f>
        <v>0</v>
      </c>
      <c r="BK1470" s="55"/>
      <c r="BL1470" s="55"/>
      <c r="BW1470" s="55">
        <v>21</v>
      </c>
    </row>
    <row r="1471" spans="1:12" ht="13.5" customHeight="1">
      <c r="A1471" s="59"/>
      <c r="D1471" s="218" t="s">
        <v>129</v>
      </c>
      <c r="E1471" s="219"/>
      <c r="F1471" s="219"/>
      <c r="G1471" s="219"/>
      <c r="H1471" s="220"/>
      <c r="I1471" s="219"/>
      <c r="J1471" s="219"/>
      <c r="K1471" s="219"/>
      <c r="L1471" s="221"/>
    </row>
    <row r="1472" spans="1:75" ht="13.5" customHeight="1">
      <c r="A1472" s="1" t="s">
        <v>2760</v>
      </c>
      <c r="B1472" s="2" t="s">
        <v>2629</v>
      </c>
      <c r="C1472" s="2" t="s">
        <v>2761</v>
      </c>
      <c r="D1472" s="147" t="s">
        <v>2762</v>
      </c>
      <c r="E1472" s="148"/>
      <c r="F1472" s="2" t="s">
        <v>250</v>
      </c>
      <c r="G1472" s="55">
        <v>9</v>
      </c>
      <c r="H1472" s="56">
        <v>0</v>
      </c>
      <c r="I1472" s="55">
        <f>G1472*H1472</f>
        <v>0</v>
      </c>
      <c r="J1472" s="55">
        <v>0</v>
      </c>
      <c r="K1472" s="55">
        <f>G1472*J1472</f>
        <v>0</v>
      </c>
      <c r="L1472" s="57" t="s">
        <v>124</v>
      </c>
      <c r="Z1472" s="55">
        <f>IF(AQ1472="5",BJ1472,0)</f>
        <v>0</v>
      </c>
      <c r="AB1472" s="55">
        <f>IF(AQ1472="1",BH1472,0)</f>
        <v>0</v>
      </c>
      <c r="AC1472" s="55">
        <f>IF(AQ1472="1",BI1472,0)</f>
        <v>0</v>
      </c>
      <c r="AD1472" s="55">
        <f>IF(AQ1472="7",BH1472,0)</f>
        <v>0</v>
      </c>
      <c r="AE1472" s="55">
        <f>IF(AQ1472="7",BI1472,0)</f>
        <v>0</v>
      </c>
      <c r="AF1472" s="55">
        <f>IF(AQ1472="2",BH1472,0)</f>
        <v>0</v>
      </c>
      <c r="AG1472" s="55">
        <f>IF(AQ1472="2",BI1472,0)</f>
        <v>0</v>
      </c>
      <c r="AH1472" s="55">
        <f>IF(AQ1472="0",BJ1472,0)</f>
        <v>0</v>
      </c>
      <c r="AI1472" s="34" t="s">
        <v>2629</v>
      </c>
      <c r="AJ1472" s="55">
        <f>IF(AN1472=0,I1472,0)</f>
        <v>0</v>
      </c>
      <c r="AK1472" s="55">
        <f>IF(AN1472=12,I1472,0)</f>
        <v>0</v>
      </c>
      <c r="AL1472" s="55">
        <f>IF(AN1472=21,I1472,0)</f>
        <v>0</v>
      </c>
      <c r="AN1472" s="55">
        <v>21</v>
      </c>
      <c r="AO1472" s="55">
        <f>H1472*0.764705882</f>
        <v>0</v>
      </c>
      <c r="AP1472" s="55">
        <f>H1472*(1-0.764705882)</f>
        <v>0</v>
      </c>
      <c r="AQ1472" s="58" t="s">
        <v>125</v>
      </c>
      <c r="AV1472" s="55">
        <f>AW1472+AX1472</f>
        <v>0</v>
      </c>
      <c r="AW1472" s="55">
        <f>G1472*AO1472</f>
        <v>0</v>
      </c>
      <c r="AX1472" s="55">
        <f>G1472*AP1472</f>
        <v>0</v>
      </c>
      <c r="AY1472" s="58" t="s">
        <v>2699</v>
      </c>
      <c r="AZ1472" s="58" t="s">
        <v>2633</v>
      </c>
      <c r="BA1472" s="34" t="s">
        <v>2634</v>
      </c>
      <c r="BC1472" s="55">
        <f>AW1472+AX1472</f>
        <v>0</v>
      </c>
      <c r="BD1472" s="55">
        <f>H1472/(100-BE1472)*100</f>
        <v>0</v>
      </c>
      <c r="BE1472" s="55">
        <v>0</v>
      </c>
      <c r="BF1472" s="55">
        <f>K1472</f>
        <v>0</v>
      </c>
      <c r="BH1472" s="55">
        <f>G1472*AO1472</f>
        <v>0</v>
      </c>
      <c r="BI1472" s="55">
        <f>G1472*AP1472</f>
        <v>0</v>
      </c>
      <c r="BJ1472" s="55">
        <f>G1472*H1472</f>
        <v>0</v>
      </c>
      <c r="BK1472" s="55"/>
      <c r="BL1472" s="55"/>
      <c r="BW1472" s="55">
        <v>21</v>
      </c>
    </row>
    <row r="1473" spans="1:12" ht="13.5" customHeight="1">
      <c r="A1473" s="59"/>
      <c r="D1473" s="218" t="s">
        <v>129</v>
      </c>
      <c r="E1473" s="219"/>
      <c r="F1473" s="219"/>
      <c r="G1473" s="219"/>
      <c r="H1473" s="220"/>
      <c r="I1473" s="219"/>
      <c r="J1473" s="219"/>
      <c r="K1473" s="219"/>
      <c r="L1473" s="221"/>
    </row>
    <row r="1474" spans="1:75" ht="13.5" customHeight="1">
      <c r="A1474" s="1" t="s">
        <v>2763</v>
      </c>
      <c r="B1474" s="2" t="s">
        <v>2629</v>
      </c>
      <c r="C1474" s="2" t="s">
        <v>2764</v>
      </c>
      <c r="D1474" s="147" t="s">
        <v>2765</v>
      </c>
      <c r="E1474" s="148"/>
      <c r="F1474" s="2" t="s">
        <v>250</v>
      </c>
      <c r="G1474" s="55">
        <v>5</v>
      </c>
      <c r="H1474" s="56">
        <v>0</v>
      </c>
      <c r="I1474" s="55">
        <f>G1474*H1474</f>
        <v>0</v>
      </c>
      <c r="J1474" s="55">
        <v>0</v>
      </c>
      <c r="K1474" s="55">
        <f>G1474*J1474</f>
        <v>0</v>
      </c>
      <c r="L1474" s="57" t="s">
        <v>124</v>
      </c>
      <c r="Z1474" s="55">
        <f>IF(AQ1474="5",BJ1474,0)</f>
        <v>0</v>
      </c>
      <c r="AB1474" s="55">
        <f>IF(AQ1474="1",BH1474,0)</f>
        <v>0</v>
      </c>
      <c r="AC1474" s="55">
        <f>IF(AQ1474="1",BI1474,0)</f>
        <v>0</v>
      </c>
      <c r="AD1474" s="55">
        <f>IF(AQ1474="7",BH1474,0)</f>
        <v>0</v>
      </c>
      <c r="AE1474" s="55">
        <f>IF(AQ1474="7",BI1474,0)</f>
        <v>0</v>
      </c>
      <c r="AF1474" s="55">
        <f>IF(AQ1474="2",BH1474,0)</f>
        <v>0</v>
      </c>
      <c r="AG1474" s="55">
        <f>IF(AQ1474="2",BI1474,0)</f>
        <v>0</v>
      </c>
      <c r="AH1474" s="55">
        <f>IF(AQ1474="0",BJ1474,0)</f>
        <v>0</v>
      </c>
      <c r="AI1474" s="34" t="s">
        <v>2629</v>
      </c>
      <c r="AJ1474" s="55">
        <f>IF(AN1474=0,I1474,0)</f>
        <v>0</v>
      </c>
      <c r="AK1474" s="55">
        <f>IF(AN1474=12,I1474,0)</f>
        <v>0</v>
      </c>
      <c r="AL1474" s="55">
        <f>IF(AN1474=21,I1474,0)</f>
        <v>0</v>
      </c>
      <c r="AN1474" s="55">
        <v>21</v>
      </c>
      <c r="AO1474" s="55">
        <f>H1474*0.936927772</f>
        <v>0</v>
      </c>
      <c r="AP1474" s="55">
        <f>H1474*(1-0.936927772)</f>
        <v>0</v>
      </c>
      <c r="AQ1474" s="58" t="s">
        <v>125</v>
      </c>
      <c r="AV1474" s="55">
        <f>AW1474+AX1474</f>
        <v>0</v>
      </c>
      <c r="AW1474" s="55">
        <f>G1474*AO1474</f>
        <v>0</v>
      </c>
      <c r="AX1474" s="55">
        <f>G1474*AP1474</f>
        <v>0</v>
      </c>
      <c r="AY1474" s="58" t="s">
        <v>2699</v>
      </c>
      <c r="AZ1474" s="58" t="s">
        <v>2633</v>
      </c>
      <c r="BA1474" s="34" t="s">
        <v>2634</v>
      </c>
      <c r="BC1474" s="55">
        <f>AW1474+AX1474</f>
        <v>0</v>
      </c>
      <c r="BD1474" s="55">
        <f>H1474/(100-BE1474)*100</f>
        <v>0</v>
      </c>
      <c r="BE1474" s="55">
        <v>0</v>
      </c>
      <c r="BF1474" s="55">
        <f>K1474</f>
        <v>0</v>
      </c>
      <c r="BH1474" s="55">
        <f>G1474*AO1474</f>
        <v>0</v>
      </c>
      <c r="BI1474" s="55">
        <f>G1474*AP1474</f>
        <v>0</v>
      </c>
      <c r="BJ1474" s="55">
        <f>G1474*H1474</f>
        <v>0</v>
      </c>
      <c r="BK1474" s="55"/>
      <c r="BL1474" s="55"/>
      <c r="BW1474" s="55">
        <v>21</v>
      </c>
    </row>
    <row r="1475" spans="1:12" ht="13.5" customHeight="1">
      <c r="A1475" s="59"/>
      <c r="D1475" s="218" t="s">
        <v>129</v>
      </c>
      <c r="E1475" s="219"/>
      <c r="F1475" s="219"/>
      <c r="G1475" s="219"/>
      <c r="H1475" s="220"/>
      <c r="I1475" s="219"/>
      <c r="J1475" s="219"/>
      <c r="K1475" s="219"/>
      <c r="L1475" s="221"/>
    </row>
    <row r="1476" spans="1:75" ht="13.5" customHeight="1">
      <c r="A1476" s="1" t="s">
        <v>2766</v>
      </c>
      <c r="B1476" s="2" t="s">
        <v>2629</v>
      </c>
      <c r="C1476" s="2" t="s">
        <v>2767</v>
      </c>
      <c r="D1476" s="147" t="s">
        <v>2768</v>
      </c>
      <c r="E1476" s="148"/>
      <c r="F1476" s="2" t="s">
        <v>250</v>
      </c>
      <c r="G1476" s="55">
        <v>13</v>
      </c>
      <c r="H1476" s="56">
        <v>0</v>
      </c>
      <c r="I1476" s="55">
        <f>G1476*H1476</f>
        <v>0</v>
      </c>
      <c r="J1476" s="55">
        <v>0</v>
      </c>
      <c r="K1476" s="55">
        <f>G1476*J1476</f>
        <v>0</v>
      </c>
      <c r="L1476" s="57" t="s">
        <v>124</v>
      </c>
      <c r="Z1476" s="55">
        <f>IF(AQ1476="5",BJ1476,0)</f>
        <v>0</v>
      </c>
      <c r="AB1476" s="55">
        <f>IF(AQ1476="1",BH1476,0)</f>
        <v>0</v>
      </c>
      <c r="AC1476" s="55">
        <f>IF(AQ1476="1",BI1476,0)</f>
        <v>0</v>
      </c>
      <c r="AD1476" s="55">
        <f>IF(AQ1476="7",BH1476,0)</f>
        <v>0</v>
      </c>
      <c r="AE1476" s="55">
        <f>IF(AQ1476="7",BI1476,0)</f>
        <v>0</v>
      </c>
      <c r="AF1476" s="55">
        <f>IF(AQ1476="2",BH1476,0)</f>
        <v>0</v>
      </c>
      <c r="AG1476" s="55">
        <f>IF(AQ1476="2",BI1476,0)</f>
        <v>0</v>
      </c>
      <c r="AH1476" s="55">
        <f>IF(AQ1476="0",BJ1476,0)</f>
        <v>0</v>
      </c>
      <c r="AI1476" s="34" t="s">
        <v>2629</v>
      </c>
      <c r="AJ1476" s="55">
        <f>IF(AN1476=0,I1476,0)</f>
        <v>0</v>
      </c>
      <c r="AK1476" s="55">
        <f>IF(AN1476=12,I1476,0)</f>
        <v>0</v>
      </c>
      <c r="AL1476" s="55">
        <f>IF(AN1476=21,I1476,0)</f>
        <v>0</v>
      </c>
      <c r="AN1476" s="55">
        <v>21</v>
      </c>
      <c r="AO1476" s="55">
        <f>H1476*0.834146341</f>
        <v>0</v>
      </c>
      <c r="AP1476" s="55">
        <f>H1476*(1-0.834146341)</f>
        <v>0</v>
      </c>
      <c r="AQ1476" s="58" t="s">
        <v>125</v>
      </c>
      <c r="AV1476" s="55">
        <f>AW1476+AX1476</f>
        <v>0</v>
      </c>
      <c r="AW1476" s="55">
        <f>G1476*AO1476</f>
        <v>0</v>
      </c>
      <c r="AX1476" s="55">
        <f>G1476*AP1476</f>
        <v>0</v>
      </c>
      <c r="AY1476" s="58" t="s">
        <v>2699</v>
      </c>
      <c r="AZ1476" s="58" t="s">
        <v>2633</v>
      </c>
      <c r="BA1476" s="34" t="s">
        <v>2634</v>
      </c>
      <c r="BC1476" s="55">
        <f>AW1476+AX1476</f>
        <v>0</v>
      </c>
      <c r="BD1476" s="55">
        <f>H1476/(100-BE1476)*100</f>
        <v>0</v>
      </c>
      <c r="BE1476" s="55">
        <v>0</v>
      </c>
      <c r="BF1476" s="55">
        <f>K1476</f>
        <v>0</v>
      </c>
      <c r="BH1476" s="55">
        <f>G1476*AO1476</f>
        <v>0</v>
      </c>
      <c r="BI1476" s="55">
        <f>G1476*AP1476</f>
        <v>0</v>
      </c>
      <c r="BJ1476" s="55">
        <f>G1476*H1476</f>
        <v>0</v>
      </c>
      <c r="BK1476" s="55"/>
      <c r="BL1476" s="55"/>
      <c r="BW1476" s="55">
        <v>21</v>
      </c>
    </row>
    <row r="1477" spans="1:12" ht="13.5" customHeight="1">
      <c r="A1477" s="59"/>
      <c r="D1477" s="218" t="s">
        <v>129</v>
      </c>
      <c r="E1477" s="219"/>
      <c r="F1477" s="219"/>
      <c r="G1477" s="219"/>
      <c r="H1477" s="220"/>
      <c r="I1477" s="219"/>
      <c r="J1477" s="219"/>
      <c r="K1477" s="219"/>
      <c r="L1477" s="221"/>
    </row>
    <row r="1478" spans="1:75" ht="13.5" customHeight="1">
      <c r="A1478" s="1" t="s">
        <v>2769</v>
      </c>
      <c r="B1478" s="2" t="s">
        <v>2629</v>
      </c>
      <c r="C1478" s="2" t="s">
        <v>2770</v>
      </c>
      <c r="D1478" s="147" t="s">
        <v>2771</v>
      </c>
      <c r="E1478" s="148"/>
      <c r="F1478" s="2" t="s">
        <v>123</v>
      </c>
      <c r="G1478" s="55">
        <v>5</v>
      </c>
      <c r="H1478" s="56">
        <v>0</v>
      </c>
      <c r="I1478" s="55">
        <f>G1478*H1478</f>
        <v>0</v>
      </c>
      <c r="J1478" s="55">
        <v>0</v>
      </c>
      <c r="K1478" s="55">
        <f>G1478*J1478</f>
        <v>0</v>
      </c>
      <c r="L1478" s="57" t="s">
        <v>124</v>
      </c>
      <c r="Z1478" s="55">
        <f>IF(AQ1478="5",BJ1478,0)</f>
        <v>0</v>
      </c>
      <c r="AB1478" s="55">
        <f>IF(AQ1478="1",BH1478,0)</f>
        <v>0</v>
      </c>
      <c r="AC1478" s="55">
        <f>IF(AQ1478="1",BI1478,0)</f>
        <v>0</v>
      </c>
      <c r="AD1478" s="55">
        <f>IF(AQ1478="7",BH1478,0)</f>
        <v>0</v>
      </c>
      <c r="AE1478" s="55">
        <f>IF(AQ1478="7",BI1478,0)</f>
        <v>0</v>
      </c>
      <c r="AF1478" s="55">
        <f>IF(AQ1478="2",BH1478,0)</f>
        <v>0</v>
      </c>
      <c r="AG1478" s="55">
        <f>IF(AQ1478="2",BI1478,0)</f>
        <v>0</v>
      </c>
      <c r="AH1478" s="55">
        <f>IF(AQ1478="0",BJ1478,0)</f>
        <v>0</v>
      </c>
      <c r="AI1478" s="34" t="s">
        <v>2629</v>
      </c>
      <c r="AJ1478" s="55">
        <f>IF(AN1478=0,I1478,0)</f>
        <v>0</v>
      </c>
      <c r="AK1478" s="55">
        <f>IF(AN1478=12,I1478,0)</f>
        <v>0</v>
      </c>
      <c r="AL1478" s="55">
        <f>IF(AN1478=21,I1478,0)</f>
        <v>0</v>
      </c>
      <c r="AN1478" s="55">
        <v>21</v>
      </c>
      <c r="AO1478" s="55">
        <f>H1478*0.84016157</f>
        <v>0</v>
      </c>
      <c r="AP1478" s="55">
        <f>H1478*(1-0.84016157)</f>
        <v>0</v>
      </c>
      <c r="AQ1478" s="58" t="s">
        <v>125</v>
      </c>
      <c r="AV1478" s="55">
        <f>AW1478+AX1478</f>
        <v>0</v>
      </c>
      <c r="AW1478" s="55">
        <f>G1478*AO1478</f>
        <v>0</v>
      </c>
      <c r="AX1478" s="55">
        <f>G1478*AP1478</f>
        <v>0</v>
      </c>
      <c r="AY1478" s="58" t="s">
        <v>2699</v>
      </c>
      <c r="AZ1478" s="58" t="s">
        <v>2633</v>
      </c>
      <c r="BA1478" s="34" t="s">
        <v>2634</v>
      </c>
      <c r="BC1478" s="55">
        <f>AW1478+AX1478</f>
        <v>0</v>
      </c>
      <c r="BD1478" s="55">
        <f>H1478/(100-BE1478)*100</f>
        <v>0</v>
      </c>
      <c r="BE1478" s="55">
        <v>0</v>
      </c>
      <c r="BF1478" s="55">
        <f>K1478</f>
        <v>0</v>
      </c>
      <c r="BH1478" s="55">
        <f>G1478*AO1478</f>
        <v>0</v>
      </c>
      <c r="BI1478" s="55">
        <f>G1478*AP1478</f>
        <v>0</v>
      </c>
      <c r="BJ1478" s="55">
        <f>G1478*H1478</f>
        <v>0</v>
      </c>
      <c r="BK1478" s="55"/>
      <c r="BL1478" s="55"/>
      <c r="BW1478" s="55">
        <v>21</v>
      </c>
    </row>
    <row r="1479" spans="1:12" ht="13.5" customHeight="1">
      <c r="A1479" s="59"/>
      <c r="D1479" s="218" t="s">
        <v>129</v>
      </c>
      <c r="E1479" s="219"/>
      <c r="F1479" s="219"/>
      <c r="G1479" s="219"/>
      <c r="H1479" s="220"/>
      <c r="I1479" s="219"/>
      <c r="J1479" s="219"/>
      <c r="K1479" s="219"/>
      <c r="L1479" s="221"/>
    </row>
    <row r="1480" spans="1:75" ht="13.5" customHeight="1">
      <c r="A1480" s="1" t="s">
        <v>2772</v>
      </c>
      <c r="B1480" s="2" t="s">
        <v>2629</v>
      </c>
      <c r="C1480" s="2" t="s">
        <v>2773</v>
      </c>
      <c r="D1480" s="147" t="s">
        <v>2774</v>
      </c>
      <c r="E1480" s="148"/>
      <c r="F1480" s="2" t="s">
        <v>250</v>
      </c>
      <c r="G1480" s="55">
        <v>1</v>
      </c>
      <c r="H1480" s="56">
        <v>0</v>
      </c>
      <c r="I1480" s="55">
        <f aca="true" t="shared" si="258" ref="I1480:I1485">G1480*H1480</f>
        <v>0</v>
      </c>
      <c r="J1480" s="55">
        <v>0</v>
      </c>
      <c r="K1480" s="55">
        <f aca="true" t="shared" si="259" ref="K1480:K1485">G1480*J1480</f>
        <v>0</v>
      </c>
      <c r="L1480" s="57" t="s">
        <v>124</v>
      </c>
      <c r="Z1480" s="55">
        <f aca="true" t="shared" si="260" ref="Z1480:Z1485">IF(AQ1480="5",BJ1480,0)</f>
        <v>0</v>
      </c>
      <c r="AB1480" s="55">
        <f aca="true" t="shared" si="261" ref="AB1480:AB1485">IF(AQ1480="1",BH1480,0)</f>
        <v>0</v>
      </c>
      <c r="AC1480" s="55">
        <f aca="true" t="shared" si="262" ref="AC1480:AC1485">IF(AQ1480="1",BI1480,0)</f>
        <v>0</v>
      </c>
      <c r="AD1480" s="55">
        <f aca="true" t="shared" si="263" ref="AD1480:AD1485">IF(AQ1480="7",BH1480,0)</f>
        <v>0</v>
      </c>
      <c r="AE1480" s="55">
        <f aca="true" t="shared" si="264" ref="AE1480:AE1485">IF(AQ1480="7",BI1480,0)</f>
        <v>0</v>
      </c>
      <c r="AF1480" s="55">
        <f aca="true" t="shared" si="265" ref="AF1480:AF1485">IF(AQ1480="2",BH1480,0)</f>
        <v>0</v>
      </c>
      <c r="AG1480" s="55">
        <f aca="true" t="shared" si="266" ref="AG1480:AG1485">IF(AQ1480="2",BI1480,0)</f>
        <v>0</v>
      </c>
      <c r="AH1480" s="55">
        <f aca="true" t="shared" si="267" ref="AH1480:AH1485">IF(AQ1480="0",BJ1480,0)</f>
        <v>0</v>
      </c>
      <c r="AI1480" s="34" t="s">
        <v>2629</v>
      </c>
      <c r="AJ1480" s="55">
        <f aca="true" t="shared" si="268" ref="AJ1480:AJ1485">IF(AN1480=0,I1480,0)</f>
        <v>0</v>
      </c>
      <c r="AK1480" s="55">
        <f aca="true" t="shared" si="269" ref="AK1480:AK1485">IF(AN1480=12,I1480,0)</f>
        <v>0</v>
      </c>
      <c r="AL1480" s="55">
        <f aca="true" t="shared" si="270" ref="AL1480:AL1485">IF(AN1480=21,I1480,0)</f>
        <v>0</v>
      </c>
      <c r="AN1480" s="55">
        <v>21</v>
      </c>
      <c r="AO1480" s="55">
        <f aca="true" t="shared" si="271" ref="AO1480:AO1485">H1480*0</f>
        <v>0</v>
      </c>
      <c r="AP1480" s="55">
        <f aca="true" t="shared" si="272" ref="AP1480:AP1485">H1480*(1-0)</f>
        <v>0</v>
      </c>
      <c r="AQ1480" s="58" t="s">
        <v>125</v>
      </c>
      <c r="AV1480" s="55">
        <f aca="true" t="shared" si="273" ref="AV1480:AV1485">AW1480+AX1480</f>
        <v>0</v>
      </c>
      <c r="AW1480" s="55">
        <f aca="true" t="shared" si="274" ref="AW1480:AW1485">G1480*AO1480</f>
        <v>0</v>
      </c>
      <c r="AX1480" s="55">
        <f aca="true" t="shared" si="275" ref="AX1480:AX1485">G1480*AP1480</f>
        <v>0</v>
      </c>
      <c r="AY1480" s="58" t="s">
        <v>2699</v>
      </c>
      <c r="AZ1480" s="58" t="s">
        <v>2633</v>
      </c>
      <c r="BA1480" s="34" t="s">
        <v>2634</v>
      </c>
      <c r="BC1480" s="55">
        <f aca="true" t="shared" si="276" ref="BC1480:BC1485">AW1480+AX1480</f>
        <v>0</v>
      </c>
      <c r="BD1480" s="55">
        <f aca="true" t="shared" si="277" ref="BD1480:BD1485">H1480/(100-BE1480)*100</f>
        <v>0</v>
      </c>
      <c r="BE1480" s="55">
        <v>0</v>
      </c>
      <c r="BF1480" s="55">
        <f aca="true" t="shared" si="278" ref="BF1480:BF1485">K1480</f>
        <v>0</v>
      </c>
      <c r="BH1480" s="55">
        <f aca="true" t="shared" si="279" ref="BH1480:BH1485">G1480*AO1480</f>
        <v>0</v>
      </c>
      <c r="BI1480" s="55">
        <f aca="true" t="shared" si="280" ref="BI1480:BI1485">G1480*AP1480</f>
        <v>0</v>
      </c>
      <c r="BJ1480" s="55">
        <f aca="true" t="shared" si="281" ref="BJ1480:BJ1485">G1480*H1480</f>
        <v>0</v>
      </c>
      <c r="BK1480" s="55"/>
      <c r="BL1480" s="55"/>
      <c r="BW1480" s="55">
        <v>21</v>
      </c>
    </row>
    <row r="1481" spans="1:75" ht="13.5" customHeight="1">
      <c r="A1481" s="1" t="s">
        <v>2775</v>
      </c>
      <c r="B1481" s="2" t="s">
        <v>2629</v>
      </c>
      <c r="C1481" s="2" t="s">
        <v>2776</v>
      </c>
      <c r="D1481" s="147" t="s">
        <v>2777</v>
      </c>
      <c r="E1481" s="148"/>
      <c r="F1481" s="2" t="s">
        <v>250</v>
      </c>
      <c r="G1481" s="55">
        <v>1</v>
      </c>
      <c r="H1481" s="56">
        <v>0</v>
      </c>
      <c r="I1481" s="55">
        <f t="shared" si="258"/>
        <v>0</v>
      </c>
      <c r="J1481" s="55">
        <v>0</v>
      </c>
      <c r="K1481" s="55">
        <f t="shared" si="259"/>
        <v>0</v>
      </c>
      <c r="L1481" s="57" t="s">
        <v>124</v>
      </c>
      <c r="Z1481" s="55">
        <f t="shared" si="260"/>
        <v>0</v>
      </c>
      <c r="AB1481" s="55">
        <f t="shared" si="261"/>
        <v>0</v>
      </c>
      <c r="AC1481" s="55">
        <f t="shared" si="262"/>
        <v>0</v>
      </c>
      <c r="AD1481" s="55">
        <f t="shared" si="263"/>
        <v>0</v>
      </c>
      <c r="AE1481" s="55">
        <f t="shared" si="264"/>
        <v>0</v>
      </c>
      <c r="AF1481" s="55">
        <f t="shared" si="265"/>
        <v>0</v>
      </c>
      <c r="AG1481" s="55">
        <f t="shared" si="266"/>
        <v>0</v>
      </c>
      <c r="AH1481" s="55">
        <f t="shared" si="267"/>
        <v>0</v>
      </c>
      <c r="AI1481" s="34" t="s">
        <v>2629</v>
      </c>
      <c r="AJ1481" s="55">
        <f t="shared" si="268"/>
        <v>0</v>
      </c>
      <c r="AK1481" s="55">
        <f t="shared" si="269"/>
        <v>0</v>
      </c>
      <c r="AL1481" s="55">
        <f t="shared" si="270"/>
        <v>0</v>
      </c>
      <c r="AN1481" s="55">
        <v>21</v>
      </c>
      <c r="AO1481" s="55">
        <f t="shared" si="271"/>
        <v>0</v>
      </c>
      <c r="AP1481" s="55">
        <f t="shared" si="272"/>
        <v>0</v>
      </c>
      <c r="AQ1481" s="58" t="s">
        <v>125</v>
      </c>
      <c r="AV1481" s="55">
        <f t="shared" si="273"/>
        <v>0</v>
      </c>
      <c r="AW1481" s="55">
        <f t="shared" si="274"/>
        <v>0</v>
      </c>
      <c r="AX1481" s="55">
        <f t="shared" si="275"/>
        <v>0</v>
      </c>
      <c r="AY1481" s="58" t="s">
        <v>2699</v>
      </c>
      <c r="AZ1481" s="58" t="s">
        <v>2633</v>
      </c>
      <c r="BA1481" s="34" t="s">
        <v>2634</v>
      </c>
      <c r="BC1481" s="55">
        <f t="shared" si="276"/>
        <v>0</v>
      </c>
      <c r="BD1481" s="55">
        <f t="shared" si="277"/>
        <v>0</v>
      </c>
      <c r="BE1481" s="55">
        <v>0</v>
      </c>
      <c r="BF1481" s="55">
        <f t="shared" si="278"/>
        <v>0</v>
      </c>
      <c r="BH1481" s="55">
        <f t="shared" si="279"/>
        <v>0</v>
      </c>
      <c r="BI1481" s="55">
        <f t="shared" si="280"/>
        <v>0</v>
      </c>
      <c r="BJ1481" s="55">
        <f t="shared" si="281"/>
        <v>0</v>
      </c>
      <c r="BK1481" s="55"/>
      <c r="BL1481" s="55"/>
      <c r="BW1481" s="55">
        <v>21</v>
      </c>
    </row>
    <row r="1482" spans="1:75" ht="13.5" customHeight="1">
      <c r="A1482" s="1" t="s">
        <v>2778</v>
      </c>
      <c r="B1482" s="2" t="s">
        <v>2629</v>
      </c>
      <c r="C1482" s="2" t="s">
        <v>2779</v>
      </c>
      <c r="D1482" s="147" t="s">
        <v>2780</v>
      </c>
      <c r="E1482" s="148"/>
      <c r="F1482" s="2" t="s">
        <v>250</v>
      </c>
      <c r="G1482" s="55">
        <v>1</v>
      </c>
      <c r="H1482" s="56">
        <v>0</v>
      </c>
      <c r="I1482" s="55">
        <f t="shared" si="258"/>
        <v>0</v>
      </c>
      <c r="J1482" s="55">
        <v>0</v>
      </c>
      <c r="K1482" s="55">
        <f t="shared" si="259"/>
        <v>0</v>
      </c>
      <c r="L1482" s="57" t="s">
        <v>124</v>
      </c>
      <c r="Z1482" s="55">
        <f t="shared" si="260"/>
        <v>0</v>
      </c>
      <c r="AB1482" s="55">
        <f t="shared" si="261"/>
        <v>0</v>
      </c>
      <c r="AC1482" s="55">
        <f t="shared" si="262"/>
        <v>0</v>
      </c>
      <c r="AD1482" s="55">
        <f t="shared" si="263"/>
        <v>0</v>
      </c>
      <c r="AE1482" s="55">
        <f t="shared" si="264"/>
        <v>0</v>
      </c>
      <c r="AF1482" s="55">
        <f t="shared" si="265"/>
        <v>0</v>
      </c>
      <c r="AG1482" s="55">
        <f t="shared" si="266"/>
        <v>0</v>
      </c>
      <c r="AH1482" s="55">
        <f t="shared" si="267"/>
        <v>0</v>
      </c>
      <c r="AI1482" s="34" t="s">
        <v>2629</v>
      </c>
      <c r="AJ1482" s="55">
        <f t="shared" si="268"/>
        <v>0</v>
      </c>
      <c r="AK1482" s="55">
        <f t="shared" si="269"/>
        <v>0</v>
      </c>
      <c r="AL1482" s="55">
        <f t="shared" si="270"/>
        <v>0</v>
      </c>
      <c r="AN1482" s="55">
        <v>21</v>
      </c>
      <c r="AO1482" s="55">
        <f t="shared" si="271"/>
        <v>0</v>
      </c>
      <c r="AP1482" s="55">
        <f t="shared" si="272"/>
        <v>0</v>
      </c>
      <c r="AQ1482" s="58" t="s">
        <v>125</v>
      </c>
      <c r="AV1482" s="55">
        <f t="shared" si="273"/>
        <v>0</v>
      </c>
      <c r="AW1482" s="55">
        <f t="shared" si="274"/>
        <v>0</v>
      </c>
      <c r="AX1482" s="55">
        <f t="shared" si="275"/>
        <v>0</v>
      </c>
      <c r="AY1482" s="58" t="s">
        <v>2699</v>
      </c>
      <c r="AZ1482" s="58" t="s">
        <v>2633</v>
      </c>
      <c r="BA1482" s="34" t="s">
        <v>2634</v>
      </c>
      <c r="BC1482" s="55">
        <f t="shared" si="276"/>
        <v>0</v>
      </c>
      <c r="BD1482" s="55">
        <f t="shared" si="277"/>
        <v>0</v>
      </c>
      <c r="BE1482" s="55">
        <v>0</v>
      </c>
      <c r="BF1482" s="55">
        <f t="shared" si="278"/>
        <v>0</v>
      </c>
      <c r="BH1482" s="55">
        <f t="shared" si="279"/>
        <v>0</v>
      </c>
      <c r="BI1482" s="55">
        <f t="shared" si="280"/>
        <v>0</v>
      </c>
      <c r="BJ1482" s="55">
        <f t="shared" si="281"/>
        <v>0</v>
      </c>
      <c r="BK1482" s="55"/>
      <c r="BL1482" s="55"/>
      <c r="BW1482" s="55">
        <v>21</v>
      </c>
    </row>
    <row r="1483" spans="1:75" ht="13.5" customHeight="1">
      <c r="A1483" s="1" t="s">
        <v>2781</v>
      </c>
      <c r="B1483" s="2" t="s">
        <v>2629</v>
      </c>
      <c r="C1483" s="2" t="s">
        <v>2782</v>
      </c>
      <c r="D1483" s="147" t="s">
        <v>2783</v>
      </c>
      <c r="E1483" s="148"/>
      <c r="F1483" s="2" t="s">
        <v>250</v>
      </c>
      <c r="G1483" s="55">
        <v>1</v>
      </c>
      <c r="H1483" s="56">
        <v>0</v>
      </c>
      <c r="I1483" s="55">
        <f t="shared" si="258"/>
        <v>0</v>
      </c>
      <c r="J1483" s="55">
        <v>0</v>
      </c>
      <c r="K1483" s="55">
        <f t="shared" si="259"/>
        <v>0</v>
      </c>
      <c r="L1483" s="57" t="s">
        <v>124</v>
      </c>
      <c r="Z1483" s="55">
        <f t="shared" si="260"/>
        <v>0</v>
      </c>
      <c r="AB1483" s="55">
        <f t="shared" si="261"/>
        <v>0</v>
      </c>
      <c r="AC1483" s="55">
        <f t="shared" si="262"/>
        <v>0</v>
      </c>
      <c r="AD1483" s="55">
        <f t="shared" si="263"/>
        <v>0</v>
      </c>
      <c r="AE1483" s="55">
        <f t="shared" si="264"/>
        <v>0</v>
      </c>
      <c r="AF1483" s="55">
        <f t="shared" si="265"/>
        <v>0</v>
      </c>
      <c r="AG1483" s="55">
        <f t="shared" si="266"/>
        <v>0</v>
      </c>
      <c r="AH1483" s="55">
        <f t="shared" si="267"/>
        <v>0</v>
      </c>
      <c r="AI1483" s="34" t="s">
        <v>2629</v>
      </c>
      <c r="AJ1483" s="55">
        <f t="shared" si="268"/>
        <v>0</v>
      </c>
      <c r="AK1483" s="55">
        <f t="shared" si="269"/>
        <v>0</v>
      </c>
      <c r="AL1483" s="55">
        <f t="shared" si="270"/>
        <v>0</v>
      </c>
      <c r="AN1483" s="55">
        <v>21</v>
      </c>
      <c r="AO1483" s="55">
        <f t="shared" si="271"/>
        <v>0</v>
      </c>
      <c r="AP1483" s="55">
        <f t="shared" si="272"/>
        <v>0</v>
      </c>
      <c r="AQ1483" s="58" t="s">
        <v>125</v>
      </c>
      <c r="AV1483" s="55">
        <f t="shared" si="273"/>
        <v>0</v>
      </c>
      <c r="AW1483" s="55">
        <f t="shared" si="274"/>
        <v>0</v>
      </c>
      <c r="AX1483" s="55">
        <f t="shared" si="275"/>
        <v>0</v>
      </c>
      <c r="AY1483" s="58" t="s">
        <v>2699</v>
      </c>
      <c r="AZ1483" s="58" t="s">
        <v>2633</v>
      </c>
      <c r="BA1483" s="34" t="s">
        <v>2634</v>
      </c>
      <c r="BC1483" s="55">
        <f t="shared" si="276"/>
        <v>0</v>
      </c>
      <c r="BD1483" s="55">
        <f t="shared" si="277"/>
        <v>0</v>
      </c>
      <c r="BE1483" s="55">
        <v>0</v>
      </c>
      <c r="BF1483" s="55">
        <f t="shared" si="278"/>
        <v>0</v>
      </c>
      <c r="BH1483" s="55">
        <f t="shared" si="279"/>
        <v>0</v>
      </c>
      <c r="BI1483" s="55">
        <f t="shared" si="280"/>
        <v>0</v>
      </c>
      <c r="BJ1483" s="55">
        <f t="shared" si="281"/>
        <v>0</v>
      </c>
      <c r="BK1483" s="55"/>
      <c r="BL1483" s="55"/>
      <c r="BW1483" s="55">
        <v>21</v>
      </c>
    </row>
    <row r="1484" spans="1:75" ht="13.5" customHeight="1">
      <c r="A1484" s="1" t="s">
        <v>2784</v>
      </c>
      <c r="B1484" s="2" t="s">
        <v>2629</v>
      </c>
      <c r="C1484" s="2" t="s">
        <v>2785</v>
      </c>
      <c r="D1484" s="147" t="s">
        <v>2786</v>
      </c>
      <c r="E1484" s="148"/>
      <c r="F1484" s="2" t="s">
        <v>250</v>
      </c>
      <c r="G1484" s="55">
        <v>1</v>
      </c>
      <c r="H1484" s="56">
        <v>0</v>
      </c>
      <c r="I1484" s="55">
        <f t="shared" si="258"/>
        <v>0</v>
      </c>
      <c r="J1484" s="55">
        <v>0</v>
      </c>
      <c r="K1484" s="55">
        <f t="shared" si="259"/>
        <v>0</v>
      </c>
      <c r="L1484" s="57" t="s">
        <v>124</v>
      </c>
      <c r="Z1484" s="55">
        <f t="shared" si="260"/>
        <v>0</v>
      </c>
      <c r="AB1484" s="55">
        <f t="shared" si="261"/>
        <v>0</v>
      </c>
      <c r="AC1484" s="55">
        <f t="shared" si="262"/>
        <v>0</v>
      </c>
      <c r="AD1484" s="55">
        <f t="shared" si="263"/>
        <v>0</v>
      </c>
      <c r="AE1484" s="55">
        <f t="shared" si="264"/>
        <v>0</v>
      </c>
      <c r="AF1484" s="55">
        <f t="shared" si="265"/>
        <v>0</v>
      </c>
      <c r="AG1484" s="55">
        <f t="shared" si="266"/>
        <v>0</v>
      </c>
      <c r="AH1484" s="55">
        <f t="shared" si="267"/>
        <v>0</v>
      </c>
      <c r="AI1484" s="34" t="s">
        <v>2629</v>
      </c>
      <c r="AJ1484" s="55">
        <f t="shared" si="268"/>
        <v>0</v>
      </c>
      <c r="AK1484" s="55">
        <f t="shared" si="269"/>
        <v>0</v>
      </c>
      <c r="AL1484" s="55">
        <f t="shared" si="270"/>
        <v>0</v>
      </c>
      <c r="AN1484" s="55">
        <v>21</v>
      </c>
      <c r="AO1484" s="55">
        <f t="shared" si="271"/>
        <v>0</v>
      </c>
      <c r="AP1484" s="55">
        <f t="shared" si="272"/>
        <v>0</v>
      </c>
      <c r="AQ1484" s="58" t="s">
        <v>125</v>
      </c>
      <c r="AV1484" s="55">
        <f t="shared" si="273"/>
        <v>0</v>
      </c>
      <c r="AW1484" s="55">
        <f t="shared" si="274"/>
        <v>0</v>
      </c>
      <c r="AX1484" s="55">
        <f t="shared" si="275"/>
        <v>0</v>
      </c>
      <c r="AY1484" s="58" t="s">
        <v>2699</v>
      </c>
      <c r="AZ1484" s="58" t="s">
        <v>2633</v>
      </c>
      <c r="BA1484" s="34" t="s">
        <v>2634</v>
      </c>
      <c r="BC1484" s="55">
        <f t="shared" si="276"/>
        <v>0</v>
      </c>
      <c r="BD1484" s="55">
        <f t="shared" si="277"/>
        <v>0</v>
      </c>
      <c r="BE1484" s="55">
        <v>0</v>
      </c>
      <c r="BF1484" s="55">
        <f t="shared" si="278"/>
        <v>0</v>
      </c>
      <c r="BH1484" s="55">
        <f t="shared" si="279"/>
        <v>0</v>
      </c>
      <c r="BI1484" s="55">
        <f t="shared" si="280"/>
        <v>0</v>
      </c>
      <c r="BJ1484" s="55">
        <f t="shared" si="281"/>
        <v>0</v>
      </c>
      <c r="BK1484" s="55"/>
      <c r="BL1484" s="55"/>
      <c r="BW1484" s="55">
        <v>21</v>
      </c>
    </row>
    <row r="1485" spans="1:75" ht="13.5" customHeight="1">
      <c r="A1485" s="1" t="s">
        <v>2787</v>
      </c>
      <c r="B1485" s="2" t="s">
        <v>2629</v>
      </c>
      <c r="C1485" s="2" t="s">
        <v>2788</v>
      </c>
      <c r="D1485" s="147" t="s">
        <v>2789</v>
      </c>
      <c r="E1485" s="148"/>
      <c r="F1485" s="2" t="s">
        <v>250</v>
      </c>
      <c r="G1485" s="55">
        <v>1</v>
      </c>
      <c r="H1485" s="56">
        <v>0</v>
      </c>
      <c r="I1485" s="55">
        <f t="shared" si="258"/>
        <v>0</v>
      </c>
      <c r="J1485" s="55">
        <v>0</v>
      </c>
      <c r="K1485" s="55">
        <f t="shared" si="259"/>
        <v>0</v>
      </c>
      <c r="L1485" s="57" t="s">
        <v>124</v>
      </c>
      <c r="Z1485" s="55">
        <f t="shared" si="260"/>
        <v>0</v>
      </c>
      <c r="AB1485" s="55">
        <f t="shared" si="261"/>
        <v>0</v>
      </c>
      <c r="AC1485" s="55">
        <f t="shared" si="262"/>
        <v>0</v>
      </c>
      <c r="AD1485" s="55">
        <f t="shared" si="263"/>
        <v>0</v>
      </c>
      <c r="AE1485" s="55">
        <f t="shared" si="264"/>
        <v>0</v>
      </c>
      <c r="AF1485" s="55">
        <f t="shared" si="265"/>
        <v>0</v>
      </c>
      <c r="AG1485" s="55">
        <f t="shared" si="266"/>
        <v>0</v>
      </c>
      <c r="AH1485" s="55">
        <f t="shared" si="267"/>
        <v>0</v>
      </c>
      <c r="AI1485" s="34" t="s">
        <v>2629</v>
      </c>
      <c r="AJ1485" s="55">
        <f t="shared" si="268"/>
        <v>0</v>
      </c>
      <c r="AK1485" s="55">
        <f t="shared" si="269"/>
        <v>0</v>
      </c>
      <c r="AL1485" s="55">
        <f t="shared" si="270"/>
        <v>0</v>
      </c>
      <c r="AN1485" s="55">
        <v>21</v>
      </c>
      <c r="AO1485" s="55">
        <f t="shared" si="271"/>
        <v>0</v>
      </c>
      <c r="AP1485" s="55">
        <f t="shared" si="272"/>
        <v>0</v>
      </c>
      <c r="AQ1485" s="58" t="s">
        <v>125</v>
      </c>
      <c r="AV1485" s="55">
        <f t="shared" si="273"/>
        <v>0</v>
      </c>
      <c r="AW1485" s="55">
        <f t="shared" si="274"/>
        <v>0</v>
      </c>
      <c r="AX1485" s="55">
        <f t="shared" si="275"/>
        <v>0</v>
      </c>
      <c r="AY1485" s="58" t="s">
        <v>2699</v>
      </c>
      <c r="AZ1485" s="58" t="s">
        <v>2633</v>
      </c>
      <c r="BA1485" s="34" t="s">
        <v>2634</v>
      </c>
      <c r="BC1485" s="55">
        <f t="shared" si="276"/>
        <v>0</v>
      </c>
      <c r="BD1485" s="55">
        <f t="shared" si="277"/>
        <v>0</v>
      </c>
      <c r="BE1485" s="55">
        <v>0</v>
      </c>
      <c r="BF1485" s="55">
        <f t="shared" si="278"/>
        <v>0</v>
      </c>
      <c r="BH1485" s="55">
        <f t="shared" si="279"/>
        <v>0</v>
      </c>
      <c r="BI1485" s="55">
        <f t="shared" si="280"/>
        <v>0</v>
      </c>
      <c r="BJ1485" s="55">
        <f t="shared" si="281"/>
        <v>0</v>
      </c>
      <c r="BK1485" s="55"/>
      <c r="BL1485" s="55"/>
      <c r="BW1485" s="55">
        <v>21</v>
      </c>
    </row>
    <row r="1486" spans="1:47" ht="14.4">
      <c r="A1486" s="50" t="s">
        <v>4</v>
      </c>
      <c r="B1486" s="51" t="s">
        <v>2629</v>
      </c>
      <c r="C1486" s="51" t="s">
        <v>2790</v>
      </c>
      <c r="D1486" s="222" t="s">
        <v>2791</v>
      </c>
      <c r="E1486" s="223"/>
      <c r="F1486" s="52" t="s">
        <v>79</v>
      </c>
      <c r="G1486" s="52" t="s">
        <v>79</v>
      </c>
      <c r="H1486" s="53" t="s">
        <v>79</v>
      </c>
      <c r="I1486" s="27">
        <f>SUM(I1487:I1575)</f>
        <v>0</v>
      </c>
      <c r="J1486" s="34" t="s">
        <v>4</v>
      </c>
      <c r="K1486" s="27">
        <f>SUM(K1487:K1575)</f>
        <v>0</v>
      </c>
      <c r="L1486" s="54" t="s">
        <v>4</v>
      </c>
      <c r="AI1486" s="34" t="s">
        <v>2629</v>
      </c>
      <c r="AS1486" s="27">
        <f>SUM(AJ1487:AJ1575)</f>
        <v>0</v>
      </c>
      <c r="AT1486" s="27">
        <f>SUM(AK1487:AK1575)</f>
        <v>0</v>
      </c>
      <c r="AU1486" s="27">
        <f>SUM(AL1487:AL1575)</f>
        <v>0</v>
      </c>
    </row>
    <row r="1487" spans="1:75" ht="27" customHeight="1">
      <c r="A1487" s="1" t="s">
        <v>2792</v>
      </c>
      <c r="B1487" s="2" t="s">
        <v>2629</v>
      </c>
      <c r="C1487" s="2" t="s">
        <v>2793</v>
      </c>
      <c r="D1487" s="147" t="s">
        <v>2794</v>
      </c>
      <c r="E1487" s="148"/>
      <c r="F1487" s="2" t="s">
        <v>374</v>
      </c>
      <c r="G1487" s="55">
        <v>204</v>
      </c>
      <c r="H1487" s="56">
        <v>0</v>
      </c>
      <c r="I1487" s="55">
        <f>G1487*H1487</f>
        <v>0</v>
      </c>
      <c r="J1487" s="55">
        <v>0</v>
      </c>
      <c r="K1487" s="55">
        <f>G1487*J1487</f>
        <v>0</v>
      </c>
      <c r="L1487" s="57" t="s">
        <v>124</v>
      </c>
      <c r="Z1487" s="55">
        <f>IF(AQ1487="5",BJ1487,0)</f>
        <v>0</v>
      </c>
      <c r="AB1487" s="55">
        <f>IF(AQ1487="1",BH1487,0)</f>
        <v>0</v>
      </c>
      <c r="AC1487" s="55">
        <f>IF(AQ1487="1",BI1487,0)</f>
        <v>0</v>
      </c>
      <c r="AD1487" s="55">
        <f>IF(AQ1487="7",BH1487,0)</f>
        <v>0</v>
      </c>
      <c r="AE1487" s="55">
        <f>IF(AQ1487="7",BI1487,0)</f>
        <v>0</v>
      </c>
      <c r="AF1487" s="55">
        <f>IF(AQ1487="2",BH1487,0)</f>
        <v>0</v>
      </c>
      <c r="AG1487" s="55">
        <f>IF(AQ1487="2",BI1487,0)</f>
        <v>0</v>
      </c>
      <c r="AH1487" s="55">
        <f>IF(AQ1487="0",BJ1487,0)</f>
        <v>0</v>
      </c>
      <c r="AI1487" s="34" t="s">
        <v>2629</v>
      </c>
      <c r="AJ1487" s="55">
        <f>IF(AN1487=0,I1487,0)</f>
        <v>0</v>
      </c>
      <c r="AK1487" s="55">
        <f>IF(AN1487=12,I1487,0)</f>
        <v>0</v>
      </c>
      <c r="AL1487" s="55">
        <f>IF(AN1487=21,I1487,0)</f>
        <v>0</v>
      </c>
      <c r="AN1487" s="55">
        <v>21</v>
      </c>
      <c r="AO1487" s="55">
        <f>H1487*0</f>
        <v>0</v>
      </c>
      <c r="AP1487" s="55">
        <f>H1487*(1-0)</f>
        <v>0</v>
      </c>
      <c r="AQ1487" s="58" t="s">
        <v>125</v>
      </c>
      <c r="AV1487" s="55">
        <f>AW1487+AX1487</f>
        <v>0</v>
      </c>
      <c r="AW1487" s="55">
        <f>G1487*AO1487</f>
        <v>0</v>
      </c>
      <c r="AX1487" s="55">
        <f>G1487*AP1487</f>
        <v>0</v>
      </c>
      <c r="AY1487" s="58" t="s">
        <v>2795</v>
      </c>
      <c r="AZ1487" s="58" t="s">
        <v>2633</v>
      </c>
      <c r="BA1487" s="34" t="s">
        <v>2634</v>
      </c>
      <c r="BC1487" s="55">
        <f>AW1487+AX1487</f>
        <v>0</v>
      </c>
      <c r="BD1487" s="55">
        <f>H1487/(100-BE1487)*100</f>
        <v>0</v>
      </c>
      <c r="BE1487" s="55">
        <v>0</v>
      </c>
      <c r="BF1487" s="55">
        <f>K1487</f>
        <v>0</v>
      </c>
      <c r="BH1487" s="55">
        <f>G1487*AO1487</f>
        <v>0</v>
      </c>
      <c r="BI1487" s="55">
        <f>G1487*AP1487</f>
        <v>0</v>
      </c>
      <c r="BJ1487" s="55">
        <f>G1487*H1487</f>
        <v>0</v>
      </c>
      <c r="BK1487" s="55"/>
      <c r="BL1487" s="55"/>
      <c r="BW1487" s="55">
        <v>21</v>
      </c>
    </row>
    <row r="1488" spans="1:12" ht="13.5" customHeight="1">
      <c r="A1488" s="59"/>
      <c r="D1488" s="218" t="s">
        <v>2796</v>
      </c>
      <c r="E1488" s="219"/>
      <c r="F1488" s="219"/>
      <c r="G1488" s="219"/>
      <c r="H1488" s="220"/>
      <c r="I1488" s="219"/>
      <c r="J1488" s="219"/>
      <c r="K1488" s="219"/>
      <c r="L1488" s="221"/>
    </row>
    <row r="1489" spans="1:75" ht="13.5" customHeight="1">
      <c r="A1489" s="1" t="s">
        <v>2797</v>
      </c>
      <c r="B1489" s="2" t="s">
        <v>2629</v>
      </c>
      <c r="C1489" s="2" t="s">
        <v>2798</v>
      </c>
      <c r="D1489" s="147" t="s">
        <v>2799</v>
      </c>
      <c r="E1489" s="148"/>
      <c r="F1489" s="2" t="s">
        <v>174</v>
      </c>
      <c r="G1489" s="55">
        <v>238</v>
      </c>
      <c r="H1489" s="56">
        <v>0</v>
      </c>
      <c r="I1489" s="55">
        <f aca="true" t="shared" si="282" ref="I1489:I1495">G1489*H1489</f>
        <v>0</v>
      </c>
      <c r="J1489" s="55">
        <v>0</v>
      </c>
      <c r="K1489" s="55">
        <f aca="true" t="shared" si="283" ref="K1489:K1495">G1489*J1489</f>
        <v>0</v>
      </c>
      <c r="L1489" s="57" t="s">
        <v>124</v>
      </c>
      <c r="Z1489" s="55">
        <f aca="true" t="shared" si="284" ref="Z1489:Z1495">IF(AQ1489="5",BJ1489,0)</f>
        <v>0</v>
      </c>
      <c r="AB1489" s="55">
        <f aca="true" t="shared" si="285" ref="AB1489:AB1495">IF(AQ1489="1",BH1489,0)</f>
        <v>0</v>
      </c>
      <c r="AC1489" s="55">
        <f aca="true" t="shared" si="286" ref="AC1489:AC1495">IF(AQ1489="1",BI1489,0)</f>
        <v>0</v>
      </c>
      <c r="AD1489" s="55">
        <f aca="true" t="shared" si="287" ref="AD1489:AD1495">IF(AQ1489="7",BH1489,0)</f>
        <v>0</v>
      </c>
      <c r="AE1489" s="55">
        <f aca="true" t="shared" si="288" ref="AE1489:AE1495">IF(AQ1489="7",BI1489,0)</f>
        <v>0</v>
      </c>
      <c r="AF1489" s="55">
        <f aca="true" t="shared" si="289" ref="AF1489:AF1495">IF(AQ1489="2",BH1489,0)</f>
        <v>0</v>
      </c>
      <c r="AG1489" s="55">
        <f aca="true" t="shared" si="290" ref="AG1489:AG1495">IF(AQ1489="2",BI1489,0)</f>
        <v>0</v>
      </c>
      <c r="AH1489" s="55">
        <f aca="true" t="shared" si="291" ref="AH1489:AH1495">IF(AQ1489="0",BJ1489,0)</f>
        <v>0</v>
      </c>
      <c r="AI1489" s="34" t="s">
        <v>2629</v>
      </c>
      <c r="AJ1489" s="55">
        <f aca="true" t="shared" si="292" ref="AJ1489:AJ1495">IF(AN1489=0,I1489,0)</f>
        <v>0</v>
      </c>
      <c r="AK1489" s="55">
        <f aca="true" t="shared" si="293" ref="AK1489:AK1495">IF(AN1489=12,I1489,0)</f>
        <v>0</v>
      </c>
      <c r="AL1489" s="55">
        <f aca="true" t="shared" si="294" ref="AL1489:AL1495">IF(AN1489=21,I1489,0)</f>
        <v>0</v>
      </c>
      <c r="AN1489" s="55">
        <v>21</v>
      </c>
      <c r="AO1489" s="55">
        <f>H1489*0</f>
        <v>0</v>
      </c>
      <c r="AP1489" s="55">
        <f>H1489*(1-0)</f>
        <v>0</v>
      </c>
      <c r="AQ1489" s="58" t="s">
        <v>125</v>
      </c>
      <c r="AV1489" s="55">
        <f aca="true" t="shared" si="295" ref="AV1489:AV1495">AW1489+AX1489</f>
        <v>0</v>
      </c>
      <c r="AW1489" s="55">
        <f aca="true" t="shared" si="296" ref="AW1489:AW1495">G1489*AO1489</f>
        <v>0</v>
      </c>
      <c r="AX1489" s="55">
        <f aca="true" t="shared" si="297" ref="AX1489:AX1495">G1489*AP1489</f>
        <v>0</v>
      </c>
      <c r="AY1489" s="58" t="s">
        <v>2795</v>
      </c>
      <c r="AZ1489" s="58" t="s">
        <v>2633</v>
      </c>
      <c r="BA1489" s="34" t="s">
        <v>2634</v>
      </c>
      <c r="BC1489" s="55">
        <f aca="true" t="shared" si="298" ref="BC1489:BC1495">AW1489+AX1489</f>
        <v>0</v>
      </c>
      <c r="BD1489" s="55">
        <f aca="true" t="shared" si="299" ref="BD1489:BD1495">H1489/(100-BE1489)*100</f>
        <v>0</v>
      </c>
      <c r="BE1489" s="55">
        <v>0</v>
      </c>
      <c r="BF1489" s="55">
        <f aca="true" t="shared" si="300" ref="BF1489:BF1495">K1489</f>
        <v>0</v>
      </c>
      <c r="BH1489" s="55">
        <f aca="true" t="shared" si="301" ref="BH1489:BH1495">G1489*AO1489</f>
        <v>0</v>
      </c>
      <c r="BI1489" s="55">
        <f aca="true" t="shared" si="302" ref="BI1489:BI1495">G1489*AP1489</f>
        <v>0</v>
      </c>
      <c r="BJ1489" s="55">
        <f aca="true" t="shared" si="303" ref="BJ1489:BJ1495">G1489*H1489</f>
        <v>0</v>
      </c>
      <c r="BK1489" s="55"/>
      <c r="BL1489" s="55"/>
      <c r="BW1489" s="55">
        <v>21</v>
      </c>
    </row>
    <row r="1490" spans="1:75" ht="27" customHeight="1">
      <c r="A1490" s="61" t="s">
        <v>2800</v>
      </c>
      <c r="B1490" s="62" t="s">
        <v>2629</v>
      </c>
      <c r="C1490" s="62" t="s">
        <v>2801</v>
      </c>
      <c r="D1490" s="224" t="s">
        <v>2802</v>
      </c>
      <c r="E1490" s="225"/>
      <c r="F1490" s="62" t="s">
        <v>2803</v>
      </c>
      <c r="G1490" s="63">
        <v>1</v>
      </c>
      <c r="H1490" s="64">
        <v>0</v>
      </c>
      <c r="I1490" s="63">
        <f t="shared" si="282"/>
        <v>0</v>
      </c>
      <c r="J1490" s="63">
        <v>0</v>
      </c>
      <c r="K1490" s="63">
        <f t="shared" si="283"/>
        <v>0</v>
      </c>
      <c r="L1490" s="65" t="s">
        <v>124</v>
      </c>
      <c r="Z1490" s="55">
        <f t="shared" si="284"/>
        <v>0</v>
      </c>
      <c r="AB1490" s="55">
        <f t="shared" si="285"/>
        <v>0</v>
      </c>
      <c r="AC1490" s="55">
        <f t="shared" si="286"/>
        <v>0</v>
      </c>
      <c r="AD1490" s="55">
        <f t="shared" si="287"/>
        <v>0</v>
      </c>
      <c r="AE1490" s="55">
        <f t="shared" si="288"/>
        <v>0</v>
      </c>
      <c r="AF1490" s="55">
        <f t="shared" si="289"/>
        <v>0</v>
      </c>
      <c r="AG1490" s="55">
        <f t="shared" si="290"/>
        <v>0</v>
      </c>
      <c r="AH1490" s="55">
        <f t="shared" si="291"/>
        <v>0</v>
      </c>
      <c r="AI1490" s="34" t="s">
        <v>2629</v>
      </c>
      <c r="AJ1490" s="63">
        <f t="shared" si="292"/>
        <v>0</v>
      </c>
      <c r="AK1490" s="63">
        <f t="shared" si="293"/>
        <v>0</v>
      </c>
      <c r="AL1490" s="63">
        <f t="shared" si="294"/>
        <v>0</v>
      </c>
      <c r="AN1490" s="55">
        <v>21</v>
      </c>
      <c r="AO1490" s="55">
        <f>H1490*1</f>
        <v>0</v>
      </c>
      <c r="AP1490" s="55">
        <f>H1490*(1-1)</f>
        <v>0</v>
      </c>
      <c r="AQ1490" s="66" t="s">
        <v>125</v>
      </c>
      <c r="AV1490" s="55">
        <f t="shared" si="295"/>
        <v>0</v>
      </c>
      <c r="AW1490" s="55">
        <f t="shared" si="296"/>
        <v>0</v>
      </c>
      <c r="AX1490" s="55">
        <f t="shared" si="297"/>
        <v>0</v>
      </c>
      <c r="AY1490" s="58" t="s">
        <v>2795</v>
      </c>
      <c r="AZ1490" s="58" t="s">
        <v>2633</v>
      </c>
      <c r="BA1490" s="34" t="s">
        <v>2634</v>
      </c>
      <c r="BC1490" s="55">
        <f t="shared" si="298"/>
        <v>0</v>
      </c>
      <c r="BD1490" s="55">
        <f t="shared" si="299"/>
        <v>0</v>
      </c>
      <c r="BE1490" s="55">
        <v>0</v>
      </c>
      <c r="BF1490" s="55">
        <f t="shared" si="300"/>
        <v>0</v>
      </c>
      <c r="BH1490" s="63">
        <f t="shared" si="301"/>
        <v>0</v>
      </c>
      <c r="BI1490" s="63">
        <f t="shared" si="302"/>
        <v>0</v>
      </c>
      <c r="BJ1490" s="63">
        <f t="shared" si="303"/>
        <v>0</v>
      </c>
      <c r="BK1490" s="63"/>
      <c r="BL1490" s="55"/>
      <c r="BW1490" s="55">
        <v>21</v>
      </c>
    </row>
    <row r="1491" spans="1:75" ht="27" customHeight="1">
      <c r="A1491" s="1" t="s">
        <v>2804</v>
      </c>
      <c r="B1491" s="2" t="s">
        <v>2629</v>
      </c>
      <c r="C1491" s="2" t="s">
        <v>2805</v>
      </c>
      <c r="D1491" s="147" t="s">
        <v>2806</v>
      </c>
      <c r="E1491" s="148"/>
      <c r="F1491" s="2" t="s">
        <v>174</v>
      </c>
      <c r="G1491" s="55">
        <v>80</v>
      </c>
      <c r="H1491" s="56">
        <v>0</v>
      </c>
      <c r="I1491" s="55">
        <f t="shared" si="282"/>
        <v>0</v>
      </c>
      <c r="J1491" s="55">
        <v>0</v>
      </c>
      <c r="K1491" s="55">
        <f t="shared" si="283"/>
        <v>0</v>
      </c>
      <c r="L1491" s="57" t="s">
        <v>124</v>
      </c>
      <c r="Z1491" s="55">
        <f t="shared" si="284"/>
        <v>0</v>
      </c>
      <c r="AB1491" s="55">
        <f t="shared" si="285"/>
        <v>0</v>
      </c>
      <c r="AC1491" s="55">
        <f t="shared" si="286"/>
        <v>0</v>
      </c>
      <c r="AD1491" s="55">
        <f t="shared" si="287"/>
        <v>0</v>
      </c>
      <c r="AE1491" s="55">
        <f t="shared" si="288"/>
        <v>0</v>
      </c>
      <c r="AF1491" s="55">
        <f t="shared" si="289"/>
        <v>0</v>
      </c>
      <c r="AG1491" s="55">
        <f t="shared" si="290"/>
        <v>0</v>
      </c>
      <c r="AH1491" s="55">
        <f t="shared" si="291"/>
        <v>0</v>
      </c>
      <c r="AI1491" s="34" t="s">
        <v>2629</v>
      </c>
      <c r="AJ1491" s="55">
        <f t="shared" si="292"/>
        <v>0</v>
      </c>
      <c r="AK1491" s="55">
        <f t="shared" si="293"/>
        <v>0</v>
      </c>
      <c r="AL1491" s="55">
        <f t="shared" si="294"/>
        <v>0</v>
      </c>
      <c r="AN1491" s="55">
        <v>21</v>
      </c>
      <c r="AO1491" s="55">
        <f>H1491*0</f>
        <v>0</v>
      </c>
      <c r="AP1491" s="55">
        <f>H1491*(1-0)</f>
        <v>0</v>
      </c>
      <c r="AQ1491" s="58" t="s">
        <v>125</v>
      </c>
      <c r="AV1491" s="55">
        <f t="shared" si="295"/>
        <v>0</v>
      </c>
      <c r="AW1491" s="55">
        <f t="shared" si="296"/>
        <v>0</v>
      </c>
      <c r="AX1491" s="55">
        <f t="shared" si="297"/>
        <v>0</v>
      </c>
      <c r="AY1491" s="58" t="s">
        <v>2795</v>
      </c>
      <c r="AZ1491" s="58" t="s">
        <v>2633</v>
      </c>
      <c r="BA1491" s="34" t="s">
        <v>2634</v>
      </c>
      <c r="BC1491" s="55">
        <f t="shared" si="298"/>
        <v>0</v>
      </c>
      <c r="BD1491" s="55">
        <f t="shared" si="299"/>
        <v>0</v>
      </c>
      <c r="BE1491" s="55">
        <v>0</v>
      </c>
      <c r="BF1491" s="55">
        <f t="shared" si="300"/>
        <v>0</v>
      </c>
      <c r="BH1491" s="55">
        <f t="shared" si="301"/>
        <v>0</v>
      </c>
      <c r="BI1491" s="55">
        <f t="shared" si="302"/>
        <v>0</v>
      </c>
      <c r="BJ1491" s="55">
        <f t="shared" si="303"/>
        <v>0</v>
      </c>
      <c r="BK1491" s="55"/>
      <c r="BL1491" s="55"/>
      <c r="BW1491" s="55">
        <v>21</v>
      </c>
    </row>
    <row r="1492" spans="1:75" ht="13.5" customHeight="1">
      <c r="A1492" s="61" t="s">
        <v>2807</v>
      </c>
      <c r="B1492" s="62" t="s">
        <v>2629</v>
      </c>
      <c r="C1492" s="62" t="s">
        <v>2808</v>
      </c>
      <c r="D1492" s="224" t="s">
        <v>2809</v>
      </c>
      <c r="E1492" s="225"/>
      <c r="F1492" s="62" t="s">
        <v>174</v>
      </c>
      <c r="G1492" s="63">
        <v>80</v>
      </c>
      <c r="H1492" s="64">
        <v>0</v>
      </c>
      <c r="I1492" s="63">
        <f t="shared" si="282"/>
        <v>0</v>
      </c>
      <c r="J1492" s="63">
        <v>0</v>
      </c>
      <c r="K1492" s="63">
        <f t="shared" si="283"/>
        <v>0</v>
      </c>
      <c r="L1492" s="65" t="s">
        <v>124</v>
      </c>
      <c r="Z1492" s="55">
        <f t="shared" si="284"/>
        <v>0</v>
      </c>
      <c r="AB1492" s="55">
        <f t="shared" si="285"/>
        <v>0</v>
      </c>
      <c r="AC1492" s="55">
        <f t="shared" si="286"/>
        <v>0</v>
      </c>
      <c r="AD1492" s="55">
        <f t="shared" si="287"/>
        <v>0</v>
      </c>
      <c r="AE1492" s="55">
        <f t="shared" si="288"/>
        <v>0</v>
      </c>
      <c r="AF1492" s="55">
        <f t="shared" si="289"/>
        <v>0</v>
      </c>
      <c r="AG1492" s="55">
        <f t="shared" si="290"/>
        <v>0</v>
      </c>
      <c r="AH1492" s="55">
        <f t="shared" si="291"/>
        <v>0</v>
      </c>
      <c r="AI1492" s="34" t="s">
        <v>2629</v>
      </c>
      <c r="AJ1492" s="63">
        <f t="shared" si="292"/>
        <v>0</v>
      </c>
      <c r="AK1492" s="63">
        <f t="shared" si="293"/>
        <v>0</v>
      </c>
      <c r="AL1492" s="63">
        <f t="shared" si="294"/>
        <v>0</v>
      </c>
      <c r="AN1492" s="55">
        <v>21</v>
      </c>
      <c r="AO1492" s="55">
        <f>H1492*1</f>
        <v>0</v>
      </c>
      <c r="AP1492" s="55">
        <f>H1492*(1-1)</f>
        <v>0</v>
      </c>
      <c r="AQ1492" s="66" t="s">
        <v>125</v>
      </c>
      <c r="AV1492" s="55">
        <f t="shared" si="295"/>
        <v>0</v>
      </c>
      <c r="AW1492" s="55">
        <f t="shared" si="296"/>
        <v>0</v>
      </c>
      <c r="AX1492" s="55">
        <f t="shared" si="297"/>
        <v>0</v>
      </c>
      <c r="AY1492" s="58" t="s">
        <v>2795</v>
      </c>
      <c r="AZ1492" s="58" t="s">
        <v>2633</v>
      </c>
      <c r="BA1492" s="34" t="s">
        <v>2634</v>
      </c>
      <c r="BC1492" s="55">
        <f t="shared" si="298"/>
        <v>0</v>
      </c>
      <c r="BD1492" s="55">
        <f t="shared" si="299"/>
        <v>0</v>
      </c>
      <c r="BE1492" s="55">
        <v>0</v>
      </c>
      <c r="BF1492" s="55">
        <f t="shared" si="300"/>
        <v>0</v>
      </c>
      <c r="BH1492" s="63">
        <f t="shared" si="301"/>
        <v>0</v>
      </c>
      <c r="BI1492" s="63">
        <f t="shared" si="302"/>
        <v>0</v>
      </c>
      <c r="BJ1492" s="63">
        <f t="shared" si="303"/>
        <v>0</v>
      </c>
      <c r="BK1492" s="63"/>
      <c r="BL1492" s="55"/>
      <c r="BW1492" s="55">
        <v>21</v>
      </c>
    </row>
    <row r="1493" spans="1:75" ht="27" customHeight="1">
      <c r="A1493" s="1" t="s">
        <v>2810</v>
      </c>
      <c r="B1493" s="2" t="s">
        <v>2629</v>
      </c>
      <c r="C1493" s="2" t="s">
        <v>2811</v>
      </c>
      <c r="D1493" s="147" t="s">
        <v>2806</v>
      </c>
      <c r="E1493" s="148"/>
      <c r="F1493" s="2" t="s">
        <v>174</v>
      </c>
      <c r="G1493" s="55">
        <v>51</v>
      </c>
      <c r="H1493" s="56">
        <v>0</v>
      </c>
      <c r="I1493" s="55">
        <f t="shared" si="282"/>
        <v>0</v>
      </c>
      <c r="J1493" s="55">
        <v>0</v>
      </c>
      <c r="K1493" s="55">
        <f t="shared" si="283"/>
        <v>0</v>
      </c>
      <c r="L1493" s="57" t="s">
        <v>124</v>
      </c>
      <c r="Z1493" s="55">
        <f t="shared" si="284"/>
        <v>0</v>
      </c>
      <c r="AB1493" s="55">
        <f t="shared" si="285"/>
        <v>0</v>
      </c>
      <c r="AC1493" s="55">
        <f t="shared" si="286"/>
        <v>0</v>
      </c>
      <c r="AD1493" s="55">
        <f t="shared" si="287"/>
        <v>0</v>
      </c>
      <c r="AE1493" s="55">
        <f t="shared" si="288"/>
        <v>0</v>
      </c>
      <c r="AF1493" s="55">
        <f t="shared" si="289"/>
        <v>0</v>
      </c>
      <c r="AG1493" s="55">
        <f t="shared" si="290"/>
        <v>0</v>
      </c>
      <c r="AH1493" s="55">
        <f t="shared" si="291"/>
        <v>0</v>
      </c>
      <c r="AI1493" s="34" t="s">
        <v>2629</v>
      </c>
      <c r="AJ1493" s="55">
        <f t="shared" si="292"/>
        <v>0</v>
      </c>
      <c r="AK1493" s="55">
        <f t="shared" si="293"/>
        <v>0</v>
      </c>
      <c r="AL1493" s="55">
        <f t="shared" si="294"/>
        <v>0</v>
      </c>
      <c r="AN1493" s="55">
        <v>21</v>
      </c>
      <c r="AO1493" s="55">
        <f>H1493*0</f>
        <v>0</v>
      </c>
      <c r="AP1493" s="55">
        <f>H1493*(1-0)</f>
        <v>0</v>
      </c>
      <c r="AQ1493" s="58" t="s">
        <v>125</v>
      </c>
      <c r="AV1493" s="55">
        <f t="shared" si="295"/>
        <v>0</v>
      </c>
      <c r="AW1493" s="55">
        <f t="shared" si="296"/>
        <v>0</v>
      </c>
      <c r="AX1493" s="55">
        <f t="shared" si="297"/>
        <v>0</v>
      </c>
      <c r="AY1493" s="58" t="s">
        <v>2795</v>
      </c>
      <c r="AZ1493" s="58" t="s">
        <v>2633</v>
      </c>
      <c r="BA1493" s="34" t="s">
        <v>2634</v>
      </c>
      <c r="BC1493" s="55">
        <f t="shared" si="298"/>
        <v>0</v>
      </c>
      <c r="BD1493" s="55">
        <f t="shared" si="299"/>
        <v>0</v>
      </c>
      <c r="BE1493" s="55">
        <v>0</v>
      </c>
      <c r="BF1493" s="55">
        <f t="shared" si="300"/>
        <v>0</v>
      </c>
      <c r="BH1493" s="55">
        <f t="shared" si="301"/>
        <v>0</v>
      </c>
      <c r="BI1493" s="55">
        <f t="shared" si="302"/>
        <v>0</v>
      </c>
      <c r="BJ1493" s="55">
        <f t="shared" si="303"/>
        <v>0</v>
      </c>
      <c r="BK1493" s="55"/>
      <c r="BL1493" s="55"/>
      <c r="BW1493" s="55">
        <v>21</v>
      </c>
    </row>
    <row r="1494" spans="1:75" ht="13.5" customHeight="1">
      <c r="A1494" s="61" t="s">
        <v>2812</v>
      </c>
      <c r="B1494" s="62" t="s">
        <v>2629</v>
      </c>
      <c r="C1494" s="62" t="s">
        <v>2813</v>
      </c>
      <c r="D1494" s="224" t="s">
        <v>2814</v>
      </c>
      <c r="E1494" s="225"/>
      <c r="F1494" s="62" t="s">
        <v>2815</v>
      </c>
      <c r="G1494" s="63">
        <v>51</v>
      </c>
      <c r="H1494" s="64">
        <v>0</v>
      </c>
      <c r="I1494" s="63">
        <f t="shared" si="282"/>
        <v>0</v>
      </c>
      <c r="J1494" s="63">
        <v>0</v>
      </c>
      <c r="K1494" s="63">
        <f t="shared" si="283"/>
        <v>0</v>
      </c>
      <c r="L1494" s="65" t="s">
        <v>124</v>
      </c>
      <c r="Z1494" s="55">
        <f t="shared" si="284"/>
        <v>0</v>
      </c>
      <c r="AB1494" s="55">
        <f t="shared" si="285"/>
        <v>0</v>
      </c>
      <c r="AC1494" s="55">
        <f t="shared" si="286"/>
        <v>0</v>
      </c>
      <c r="AD1494" s="55">
        <f t="shared" si="287"/>
        <v>0</v>
      </c>
      <c r="AE1494" s="55">
        <f t="shared" si="288"/>
        <v>0</v>
      </c>
      <c r="AF1494" s="55">
        <f t="shared" si="289"/>
        <v>0</v>
      </c>
      <c r="AG1494" s="55">
        <f t="shared" si="290"/>
        <v>0</v>
      </c>
      <c r="AH1494" s="55">
        <f t="shared" si="291"/>
        <v>0</v>
      </c>
      <c r="AI1494" s="34" t="s">
        <v>2629</v>
      </c>
      <c r="AJ1494" s="63">
        <f t="shared" si="292"/>
        <v>0</v>
      </c>
      <c r="AK1494" s="63">
        <f t="shared" si="293"/>
        <v>0</v>
      </c>
      <c r="AL1494" s="63">
        <f t="shared" si="294"/>
        <v>0</v>
      </c>
      <c r="AN1494" s="55">
        <v>21</v>
      </c>
      <c r="AO1494" s="55">
        <f>H1494*1</f>
        <v>0</v>
      </c>
      <c r="AP1494" s="55">
        <f>H1494*(1-1)</f>
        <v>0</v>
      </c>
      <c r="AQ1494" s="66" t="s">
        <v>125</v>
      </c>
      <c r="AV1494" s="55">
        <f t="shared" si="295"/>
        <v>0</v>
      </c>
      <c r="AW1494" s="55">
        <f t="shared" si="296"/>
        <v>0</v>
      </c>
      <c r="AX1494" s="55">
        <f t="shared" si="297"/>
        <v>0</v>
      </c>
      <c r="AY1494" s="58" t="s">
        <v>2795</v>
      </c>
      <c r="AZ1494" s="58" t="s">
        <v>2633</v>
      </c>
      <c r="BA1494" s="34" t="s">
        <v>2634</v>
      </c>
      <c r="BC1494" s="55">
        <f t="shared" si="298"/>
        <v>0</v>
      </c>
      <c r="BD1494" s="55">
        <f t="shared" si="299"/>
        <v>0</v>
      </c>
      <c r="BE1494" s="55">
        <v>0</v>
      </c>
      <c r="BF1494" s="55">
        <f t="shared" si="300"/>
        <v>0</v>
      </c>
      <c r="BH1494" s="63">
        <f t="shared" si="301"/>
        <v>0</v>
      </c>
      <c r="BI1494" s="63">
        <f t="shared" si="302"/>
        <v>0</v>
      </c>
      <c r="BJ1494" s="63">
        <f t="shared" si="303"/>
        <v>0</v>
      </c>
      <c r="BK1494" s="63"/>
      <c r="BL1494" s="55"/>
      <c r="BW1494" s="55">
        <v>21</v>
      </c>
    </row>
    <row r="1495" spans="1:75" ht="13.5" customHeight="1">
      <c r="A1495" s="1" t="s">
        <v>2816</v>
      </c>
      <c r="B1495" s="2" t="s">
        <v>2629</v>
      </c>
      <c r="C1495" s="2" t="s">
        <v>2817</v>
      </c>
      <c r="D1495" s="147" t="s">
        <v>2818</v>
      </c>
      <c r="E1495" s="148"/>
      <c r="F1495" s="2" t="s">
        <v>360</v>
      </c>
      <c r="G1495" s="55">
        <v>12</v>
      </c>
      <c r="H1495" s="56">
        <v>0</v>
      </c>
      <c r="I1495" s="55">
        <f t="shared" si="282"/>
        <v>0</v>
      </c>
      <c r="J1495" s="55">
        <v>0</v>
      </c>
      <c r="K1495" s="55">
        <f t="shared" si="283"/>
        <v>0</v>
      </c>
      <c r="L1495" s="57" t="s">
        <v>124</v>
      </c>
      <c r="Z1495" s="55">
        <f t="shared" si="284"/>
        <v>0</v>
      </c>
      <c r="AB1495" s="55">
        <f t="shared" si="285"/>
        <v>0</v>
      </c>
      <c r="AC1495" s="55">
        <f t="shared" si="286"/>
        <v>0</v>
      </c>
      <c r="AD1495" s="55">
        <f t="shared" si="287"/>
        <v>0</v>
      </c>
      <c r="AE1495" s="55">
        <f t="shared" si="288"/>
        <v>0</v>
      </c>
      <c r="AF1495" s="55">
        <f t="shared" si="289"/>
        <v>0</v>
      </c>
      <c r="AG1495" s="55">
        <f t="shared" si="290"/>
        <v>0</v>
      </c>
      <c r="AH1495" s="55">
        <f t="shared" si="291"/>
        <v>0</v>
      </c>
      <c r="AI1495" s="34" t="s">
        <v>2629</v>
      </c>
      <c r="AJ1495" s="55">
        <f t="shared" si="292"/>
        <v>0</v>
      </c>
      <c r="AK1495" s="55">
        <f t="shared" si="293"/>
        <v>0</v>
      </c>
      <c r="AL1495" s="55">
        <f t="shared" si="294"/>
        <v>0</v>
      </c>
      <c r="AN1495" s="55">
        <v>21</v>
      </c>
      <c r="AO1495" s="55">
        <f>H1495*0</f>
        <v>0</v>
      </c>
      <c r="AP1495" s="55">
        <f>H1495*(1-0)</f>
        <v>0</v>
      </c>
      <c r="AQ1495" s="58" t="s">
        <v>125</v>
      </c>
      <c r="AV1495" s="55">
        <f t="shared" si="295"/>
        <v>0</v>
      </c>
      <c r="AW1495" s="55">
        <f t="shared" si="296"/>
        <v>0</v>
      </c>
      <c r="AX1495" s="55">
        <f t="shared" si="297"/>
        <v>0</v>
      </c>
      <c r="AY1495" s="58" t="s">
        <v>2795</v>
      </c>
      <c r="AZ1495" s="58" t="s">
        <v>2633</v>
      </c>
      <c r="BA1495" s="34" t="s">
        <v>2634</v>
      </c>
      <c r="BC1495" s="55">
        <f t="shared" si="298"/>
        <v>0</v>
      </c>
      <c r="BD1495" s="55">
        <f t="shared" si="299"/>
        <v>0</v>
      </c>
      <c r="BE1495" s="55">
        <v>0</v>
      </c>
      <c r="BF1495" s="55">
        <f t="shared" si="300"/>
        <v>0</v>
      </c>
      <c r="BH1495" s="55">
        <f t="shared" si="301"/>
        <v>0</v>
      </c>
      <c r="BI1495" s="55">
        <f t="shared" si="302"/>
        <v>0</v>
      </c>
      <c r="BJ1495" s="55">
        <f t="shared" si="303"/>
        <v>0</v>
      </c>
      <c r="BK1495" s="55"/>
      <c r="BL1495" s="55"/>
      <c r="BW1495" s="55">
        <v>21</v>
      </c>
    </row>
    <row r="1496" spans="1:12" ht="13.5" customHeight="1">
      <c r="A1496" s="59"/>
      <c r="D1496" s="218" t="s">
        <v>2819</v>
      </c>
      <c r="E1496" s="219"/>
      <c r="F1496" s="219"/>
      <c r="G1496" s="219"/>
      <c r="H1496" s="220"/>
      <c r="I1496" s="219"/>
      <c r="J1496" s="219"/>
      <c r="K1496" s="219"/>
      <c r="L1496" s="221"/>
    </row>
    <row r="1497" spans="1:75" ht="27" customHeight="1">
      <c r="A1497" s="1" t="s">
        <v>2820</v>
      </c>
      <c r="B1497" s="2" t="s">
        <v>2629</v>
      </c>
      <c r="C1497" s="2" t="s">
        <v>2821</v>
      </c>
      <c r="D1497" s="147" t="s">
        <v>2822</v>
      </c>
      <c r="E1497" s="148"/>
      <c r="F1497" s="2" t="s">
        <v>374</v>
      </c>
      <c r="G1497" s="55">
        <v>51</v>
      </c>
      <c r="H1497" s="56">
        <v>0</v>
      </c>
      <c r="I1497" s="55">
        <f aca="true" t="shared" si="304" ref="I1497:I1507">G1497*H1497</f>
        <v>0</v>
      </c>
      <c r="J1497" s="55">
        <v>0</v>
      </c>
      <c r="K1497" s="55">
        <f aca="true" t="shared" si="305" ref="K1497:K1507">G1497*J1497</f>
        <v>0</v>
      </c>
      <c r="L1497" s="57" t="s">
        <v>124</v>
      </c>
      <c r="Z1497" s="55">
        <f aca="true" t="shared" si="306" ref="Z1497:Z1507">IF(AQ1497="5",BJ1497,0)</f>
        <v>0</v>
      </c>
      <c r="AB1497" s="55">
        <f aca="true" t="shared" si="307" ref="AB1497:AB1507">IF(AQ1497="1",BH1497,0)</f>
        <v>0</v>
      </c>
      <c r="AC1497" s="55">
        <f aca="true" t="shared" si="308" ref="AC1497:AC1507">IF(AQ1497="1",BI1497,0)</f>
        <v>0</v>
      </c>
      <c r="AD1497" s="55">
        <f aca="true" t="shared" si="309" ref="AD1497:AD1507">IF(AQ1497="7",BH1497,0)</f>
        <v>0</v>
      </c>
      <c r="AE1497" s="55">
        <f aca="true" t="shared" si="310" ref="AE1497:AE1507">IF(AQ1497="7",BI1497,0)</f>
        <v>0</v>
      </c>
      <c r="AF1497" s="55">
        <f aca="true" t="shared" si="311" ref="AF1497:AF1507">IF(AQ1497="2",BH1497,0)</f>
        <v>0</v>
      </c>
      <c r="AG1497" s="55">
        <f aca="true" t="shared" si="312" ref="AG1497:AG1507">IF(AQ1497="2",BI1497,0)</f>
        <v>0</v>
      </c>
      <c r="AH1497" s="55">
        <f aca="true" t="shared" si="313" ref="AH1497:AH1507">IF(AQ1497="0",BJ1497,0)</f>
        <v>0</v>
      </c>
      <c r="AI1497" s="34" t="s">
        <v>2629</v>
      </c>
      <c r="AJ1497" s="55">
        <f aca="true" t="shared" si="314" ref="AJ1497:AJ1507">IF(AN1497=0,I1497,0)</f>
        <v>0</v>
      </c>
      <c r="AK1497" s="55">
        <f aca="true" t="shared" si="315" ref="AK1497:AK1507">IF(AN1497=12,I1497,0)</f>
        <v>0</v>
      </c>
      <c r="AL1497" s="55">
        <f aca="true" t="shared" si="316" ref="AL1497:AL1507">IF(AN1497=21,I1497,0)</f>
        <v>0</v>
      </c>
      <c r="AN1497" s="55">
        <v>21</v>
      </c>
      <c r="AO1497" s="55">
        <f>H1497*0</f>
        <v>0</v>
      </c>
      <c r="AP1497" s="55">
        <f>H1497*(1-0)</f>
        <v>0</v>
      </c>
      <c r="AQ1497" s="58" t="s">
        <v>125</v>
      </c>
      <c r="AV1497" s="55">
        <f aca="true" t="shared" si="317" ref="AV1497:AV1507">AW1497+AX1497</f>
        <v>0</v>
      </c>
      <c r="AW1497" s="55">
        <f aca="true" t="shared" si="318" ref="AW1497:AW1507">G1497*AO1497</f>
        <v>0</v>
      </c>
      <c r="AX1497" s="55">
        <f aca="true" t="shared" si="319" ref="AX1497:AX1507">G1497*AP1497</f>
        <v>0</v>
      </c>
      <c r="AY1497" s="58" t="s">
        <v>2795</v>
      </c>
      <c r="AZ1497" s="58" t="s">
        <v>2633</v>
      </c>
      <c r="BA1497" s="34" t="s">
        <v>2634</v>
      </c>
      <c r="BC1497" s="55">
        <f aca="true" t="shared" si="320" ref="BC1497:BC1507">AW1497+AX1497</f>
        <v>0</v>
      </c>
      <c r="BD1497" s="55">
        <f aca="true" t="shared" si="321" ref="BD1497:BD1507">H1497/(100-BE1497)*100</f>
        <v>0</v>
      </c>
      <c r="BE1497" s="55">
        <v>0</v>
      </c>
      <c r="BF1497" s="55">
        <f aca="true" t="shared" si="322" ref="BF1497:BF1507">K1497</f>
        <v>0</v>
      </c>
      <c r="BH1497" s="55">
        <f aca="true" t="shared" si="323" ref="BH1497:BH1507">G1497*AO1497</f>
        <v>0</v>
      </c>
      <c r="BI1497" s="55">
        <f aca="true" t="shared" si="324" ref="BI1497:BI1507">G1497*AP1497</f>
        <v>0</v>
      </c>
      <c r="BJ1497" s="55">
        <f aca="true" t="shared" si="325" ref="BJ1497:BJ1507">G1497*H1497</f>
        <v>0</v>
      </c>
      <c r="BK1497" s="55"/>
      <c r="BL1497" s="55"/>
      <c r="BW1497" s="55">
        <v>21</v>
      </c>
    </row>
    <row r="1498" spans="1:75" ht="27" customHeight="1">
      <c r="A1498" s="61" t="s">
        <v>2823</v>
      </c>
      <c r="B1498" s="62" t="s">
        <v>2629</v>
      </c>
      <c r="C1498" s="62" t="s">
        <v>2824</v>
      </c>
      <c r="D1498" s="224" t="s">
        <v>2825</v>
      </c>
      <c r="E1498" s="225"/>
      <c r="F1498" s="62" t="s">
        <v>374</v>
      </c>
      <c r="G1498" s="63">
        <v>51</v>
      </c>
      <c r="H1498" s="64">
        <v>0</v>
      </c>
      <c r="I1498" s="63">
        <f t="shared" si="304"/>
        <v>0</v>
      </c>
      <c r="J1498" s="63">
        <v>0</v>
      </c>
      <c r="K1498" s="63">
        <f t="shared" si="305"/>
        <v>0</v>
      </c>
      <c r="L1498" s="65" t="s">
        <v>124</v>
      </c>
      <c r="Z1498" s="55">
        <f t="shared" si="306"/>
        <v>0</v>
      </c>
      <c r="AB1498" s="55">
        <f t="shared" si="307"/>
        <v>0</v>
      </c>
      <c r="AC1498" s="55">
        <f t="shared" si="308"/>
        <v>0</v>
      </c>
      <c r="AD1498" s="55">
        <f t="shared" si="309"/>
        <v>0</v>
      </c>
      <c r="AE1498" s="55">
        <f t="shared" si="310"/>
        <v>0</v>
      </c>
      <c r="AF1498" s="55">
        <f t="shared" si="311"/>
        <v>0</v>
      </c>
      <c r="AG1498" s="55">
        <f t="shared" si="312"/>
        <v>0</v>
      </c>
      <c r="AH1498" s="55">
        <f t="shared" si="313"/>
        <v>0</v>
      </c>
      <c r="AI1498" s="34" t="s">
        <v>2629</v>
      </c>
      <c r="AJ1498" s="63">
        <f t="shared" si="314"/>
        <v>0</v>
      </c>
      <c r="AK1498" s="63">
        <f t="shared" si="315"/>
        <v>0</v>
      </c>
      <c r="AL1498" s="63">
        <f t="shared" si="316"/>
        <v>0</v>
      </c>
      <c r="AN1498" s="55">
        <v>21</v>
      </c>
      <c r="AO1498" s="55">
        <f>H1498*1</f>
        <v>0</v>
      </c>
      <c r="AP1498" s="55">
        <f>H1498*(1-1)</f>
        <v>0</v>
      </c>
      <c r="AQ1498" s="66" t="s">
        <v>125</v>
      </c>
      <c r="AV1498" s="55">
        <f t="shared" si="317"/>
        <v>0</v>
      </c>
      <c r="AW1498" s="55">
        <f t="shared" si="318"/>
        <v>0</v>
      </c>
      <c r="AX1498" s="55">
        <f t="shared" si="319"/>
        <v>0</v>
      </c>
      <c r="AY1498" s="58" t="s">
        <v>2795</v>
      </c>
      <c r="AZ1498" s="58" t="s">
        <v>2633</v>
      </c>
      <c r="BA1498" s="34" t="s">
        <v>2634</v>
      </c>
      <c r="BC1498" s="55">
        <f t="shared" si="320"/>
        <v>0</v>
      </c>
      <c r="BD1498" s="55">
        <f t="shared" si="321"/>
        <v>0</v>
      </c>
      <c r="BE1498" s="55">
        <v>0</v>
      </c>
      <c r="BF1498" s="55">
        <f t="shared" si="322"/>
        <v>0</v>
      </c>
      <c r="BH1498" s="63">
        <f t="shared" si="323"/>
        <v>0</v>
      </c>
      <c r="BI1498" s="63">
        <f t="shared" si="324"/>
        <v>0</v>
      </c>
      <c r="BJ1498" s="63">
        <f t="shared" si="325"/>
        <v>0</v>
      </c>
      <c r="BK1498" s="63"/>
      <c r="BL1498" s="55"/>
      <c r="BW1498" s="55">
        <v>21</v>
      </c>
    </row>
    <row r="1499" spans="1:75" ht="13.5" customHeight="1">
      <c r="A1499" s="1" t="s">
        <v>2826</v>
      </c>
      <c r="B1499" s="2" t="s">
        <v>2629</v>
      </c>
      <c r="C1499" s="2" t="s">
        <v>2827</v>
      </c>
      <c r="D1499" s="147" t="s">
        <v>2828</v>
      </c>
      <c r="E1499" s="148"/>
      <c r="F1499" s="2" t="s">
        <v>374</v>
      </c>
      <c r="G1499" s="55">
        <v>6</v>
      </c>
      <c r="H1499" s="56">
        <v>0</v>
      </c>
      <c r="I1499" s="55">
        <f t="shared" si="304"/>
        <v>0</v>
      </c>
      <c r="J1499" s="55">
        <v>0</v>
      </c>
      <c r="K1499" s="55">
        <f t="shared" si="305"/>
        <v>0</v>
      </c>
      <c r="L1499" s="57" t="s">
        <v>124</v>
      </c>
      <c r="Z1499" s="55">
        <f t="shared" si="306"/>
        <v>0</v>
      </c>
      <c r="AB1499" s="55">
        <f t="shared" si="307"/>
        <v>0</v>
      </c>
      <c r="AC1499" s="55">
        <f t="shared" si="308"/>
        <v>0</v>
      </c>
      <c r="AD1499" s="55">
        <f t="shared" si="309"/>
        <v>0</v>
      </c>
      <c r="AE1499" s="55">
        <f t="shared" si="310"/>
        <v>0</v>
      </c>
      <c r="AF1499" s="55">
        <f t="shared" si="311"/>
        <v>0</v>
      </c>
      <c r="AG1499" s="55">
        <f t="shared" si="312"/>
        <v>0</v>
      </c>
      <c r="AH1499" s="55">
        <f t="shared" si="313"/>
        <v>0</v>
      </c>
      <c r="AI1499" s="34" t="s">
        <v>2629</v>
      </c>
      <c r="AJ1499" s="55">
        <f t="shared" si="314"/>
        <v>0</v>
      </c>
      <c r="AK1499" s="55">
        <f t="shared" si="315"/>
        <v>0</v>
      </c>
      <c r="AL1499" s="55">
        <f t="shared" si="316"/>
        <v>0</v>
      </c>
      <c r="AN1499" s="55">
        <v>21</v>
      </c>
      <c r="AO1499" s="55">
        <f>H1499*0</f>
        <v>0</v>
      </c>
      <c r="AP1499" s="55">
        <f>H1499*(1-0)</f>
        <v>0</v>
      </c>
      <c r="AQ1499" s="58" t="s">
        <v>125</v>
      </c>
      <c r="AV1499" s="55">
        <f t="shared" si="317"/>
        <v>0</v>
      </c>
      <c r="AW1499" s="55">
        <f t="shared" si="318"/>
        <v>0</v>
      </c>
      <c r="AX1499" s="55">
        <f t="shared" si="319"/>
        <v>0</v>
      </c>
      <c r="AY1499" s="58" t="s">
        <v>2795</v>
      </c>
      <c r="AZ1499" s="58" t="s">
        <v>2633</v>
      </c>
      <c r="BA1499" s="34" t="s">
        <v>2634</v>
      </c>
      <c r="BC1499" s="55">
        <f t="shared" si="320"/>
        <v>0</v>
      </c>
      <c r="BD1499" s="55">
        <f t="shared" si="321"/>
        <v>0</v>
      </c>
      <c r="BE1499" s="55">
        <v>0</v>
      </c>
      <c r="BF1499" s="55">
        <f t="shared" si="322"/>
        <v>0</v>
      </c>
      <c r="BH1499" s="55">
        <f t="shared" si="323"/>
        <v>0</v>
      </c>
      <c r="BI1499" s="55">
        <f t="shared" si="324"/>
        <v>0</v>
      </c>
      <c r="BJ1499" s="55">
        <f t="shared" si="325"/>
        <v>0</v>
      </c>
      <c r="BK1499" s="55"/>
      <c r="BL1499" s="55"/>
      <c r="BW1499" s="55">
        <v>21</v>
      </c>
    </row>
    <row r="1500" spans="1:75" ht="27" customHeight="1">
      <c r="A1500" s="61" t="s">
        <v>2829</v>
      </c>
      <c r="B1500" s="62" t="s">
        <v>2629</v>
      </c>
      <c r="C1500" s="62" t="s">
        <v>2830</v>
      </c>
      <c r="D1500" s="224" t="s">
        <v>2831</v>
      </c>
      <c r="E1500" s="225"/>
      <c r="F1500" s="62" t="s">
        <v>374</v>
      </c>
      <c r="G1500" s="63">
        <v>6</v>
      </c>
      <c r="H1500" s="64">
        <v>0</v>
      </c>
      <c r="I1500" s="63">
        <f t="shared" si="304"/>
        <v>0</v>
      </c>
      <c r="J1500" s="63">
        <v>0</v>
      </c>
      <c r="K1500" s="63">
        <f t="shared" si="305"/>
        <v>0</v>
      </c>
      <c r="L1500" s="65" t="s">
        <v>124</v>
      </c>
      <c r="Z1500" s="55">
        <f t="shared" si="306"/>
        <v>0</v>
      </c>
      <c r="AB1500" s="55">
        <f t="shared" si="307"/>
        <v>0</v>
      </c>
      <c r="AC1500" s="55">
        <f t="shared" si="308"/>
        <v>0</v>
      </c>
      <c r="AD1500" s="55">
        <f t="shared" si="309"/>
        <v>0</v>
      </c>
      <c r="AE1500" s="55">
        <f t="shared" si="310"/>
        <v>0</v>
      </c>
      <c r="AF1500" s="55">
        <f t="shared" si="311"/>
        <v>0</v>
      </c>
      <c r="AG1500" s="55">
        <f t="shared" si="312"/>
        <v>0</v>
      </c>
      <c r="AH1500" s="55">
        <f t="shared" si="313"/>
        <v>0</v>
      </c>
      <c r="AI1500" s="34" t="s">
        <v>2629</v>
      </c>
      <c r="AJ1500" s="63">
        <f t="shared" si="314"/>
        <v>0</v>
      </c>
      <c r="AK1500" s="63">
        <f t="shared" si="315"/>
        <v>0</v>
      </c>
      <c r="AL1500" s="63">
        <f t="shared" si="316"/>
        <v>0</v>
      </c>
      <c r="AN1500" s="55">
        <v>21</v>
      </c>
      <c r="AO1500" s="55">
        <f>H1500*1</f>
        <v>0</v>
      </c>
      <c r="AP1500" s="55">
        <f>H1500*(1-1)</f>
        <v>0</v>
      </c>
      <c r="AQ1500" s="66" t="s">
        <v>125</v>
      </c>
      <c r="AV1500" s="55">
        <f t="shared" si="317"/>
        <v>0</v>
      </c>
      <c r="AW1500" s="55">
        <f t="shared" si="318"/>
        <v>0</v>
      </c>
      <c r="AX1500" s="55">
        <f t="shared" si="319"/>
        <v>0</v>
      </c>
      <c r="AY1500" s="58" t="s">
        <v>2795</v>
      </c>
      <c r="AZ1500" s="58" t="s">
        <v>2633</v>
      </c>
      <c r="BA1500" s="34" t="s">
        <v>2634</v>
      </c>
      <c r="BC1500" s="55">
        <f t="shared" si="320"/>
        <v>0</v>
      </c>
      <c r="BD1500" s="55">
        <f t="shared" si="321"/>
        <v>0</v>
      </c>
      <c r="BE1500" s="55">
        <v>0</v>
      </c>
      <c r="BF1500" s="55">
        <f t="shared" si="322"/>
        <v>0</v>
      </c>
      <c r="BH1500" s="63">
        <f t="shared" si="323"/>
        <v>0</v>
      </c>
      <c r="BI1500" s="63">
        <f t="shared" si="324"/>
        <v>0</v>
      </c>
      <c r="BJ1500" s="63">
        <f t="shared" si="325"/>
        <v>0</v>
      </c>
      <c r="BK1500" s="63"/>
      <c r="BL1500" s="55"/>
      <c r="BW1500" s="55">
        <v>21</v>
      </c>
    </row>
    <row r="1501" spans="1:75" ht="13.5" customHeight="1">
      <c r="A1501" s="1" t="s">
        <v>2832</v>
      </c>
      <c r="B1501" s="2" t="s">
        <v>2629</v>
      </c>
      <c r="C1501" s="2" t="s">
        <v>2833</v>
      </c>
      <c r="D1501" s="147" t="s">
        <v>2834</v>
      </c>
      <c r="E1501" s="148"/>
      <c r="F1501" s="2" t="s">
        <v>174</v>
      </c>
      <c r="G1501" s="55">
        <v>420</v>
      </c>
      <c r="H1501" s="56">
        <v>0</v>
      </c>
      <c r="I1501" s="55">
        <f t="shared" si="304"/>
        <v>0</v>
      </c>
      <c r="J1501" s="55">
        <v>0</v>
      </c>
      <c r="K1501" s="55">
        <f t="shared" si="305"/>
        <v>0</v>
      </c>
      <c r="L1501" s="57" t="s">
        <v>124</v>
      </c>
      <c r="Z1501" s="55">
        <f t="shared" si="306"/>
        <v>0</v>
      </c>
      <c r="AB1501" s="55">
        <f t="shared" si="307"/>
        <v>0</v>
      </c>
      <c r="AC1501" s="55">
        <f t="shared" si="308"/>
        <v>0</v>
      </c>
      <c r="AD1501" s="55">
        <f t="shared" si="309"/>
        <v>0</v>
      </c>
      <c r="AE1501" s="55">
        <f t="shared" si="310"/>
        <v>0</v>
      </c>
      <c r="AF1501" s="55">
        <f t="shared" si="311"/>
        <v>0</v>
      </c>
      <c r="AG1501" s="55">
        <f t="shared" si="312"/>
        <v>0</v>
      </c>
      <c r="AH1501" s="55">
        <f t="shared" si="313"/>
        <v>0</v>
      </c>
      <c r="AI1501" s="34" t="s">
        <v>2629</v>
      </c>
      <c r="AJ1501" s="55">
        <f t="shared" si="314"/>
        <v>0</v>
      </c>
      <c r="AK1501" s="55">
        <f t="shared" si="315"/>
        <v>0</v>
      </c>
      <c r="AL1501" s="55">
        <f t="shared" si="316"/>
        <v>0</v>
      </c>
      <c r="AN1501" s="55">
        <v>21</v>
      </c>
      <c r="AO1501" s="55">
        <f>H1501*0</f>
        <v>0</v>
      </c>
      <c r="AP1501" s="55">
        <f>H1501*(1-0)</f>
        <v>0</v>
      </c>
      <c r="AQ1501" s="58" t="s">
        <v>125</v>
      </c>
      <c r="AV1501" s="55">
        <f t="shared" si="317"/>
        <v>0</v>
      </c>
      <c r="AW1501" s="55">
        <f t="shared" si="318"/>
        <v>0</v>
      </c>
      <c r="AX1501" s="55">
        <f t="shared" si="319"/>
        <v>0</v>
      </c>
      <c r="AY1501" s="58" t="s">
        <v>2795</v>
      </c>
      <c r="AZ1501" s="58" t="s">
        <v>2633</v>
      </c>
      <c r="BA1501" s="34" t="s">
        <v>2634</v>
      </c>
      <c r="BC1501" s="55">
        <f t="shared" si="320"/>
        <v>0</v>
      </c>
      <c r="BD1501" s="55">
        <f t="shared" si="321"/>
        <v>0</v>
      </c>
      <c r="BE1501" s="55">
        <v>0</v>
      </c>
      <c r="BF1501" s="55">
        <f t="shared" si="322"/>
        <v>0</v>
      </c>
      <c r="BH1501" s="55">
        <f t="shared" si="323"/>
        <v>0</v>
      </c>
      <c r="BI1501" s="55">
        <f t="shared" si="324"/>
        <v>0</v>
      </c>
      <c r="BJ1501" s="55">
        <f t="shared" si="325"/>
        <v>0</v>
      </c>
      <c r="BK1501" s="55"/>
      <c r="BL1501" s="55"/>
      <c r="BW1501" s="55">
        <v>21</v>
      </c>
    </row>
    <row r="1502" spans="1:75" ht="27" customHeight="1">
      <c r="A1502" s="61" t="s">
        <v>2835</v>
      </c>
      <c r="B1502" s="62" t="s">
        <v>2629</v>
      </c>
      <c r="C1502" s="62" t="s">
        <v>2836</v>
      </c>
      <c r="D1502" s="224" t="s">
        <v>2837</v>
      </c>
      <c r="E1502" s="225"/>
      <c r="F1502" s="62" t="s">
        <v>174</v>
      </c>
      <c r="G1502" s="63">
        <v>420</v>
      </c>
      <c r="H1502" s="64">
        <v>0</v>
      </c>
      <c r="I1502" s="63">
        <f t="shared" si="304"/>
        <v>0</v>
      </c>
      <c r="J1502" s="63">
        <v>0</v>
      </c>
      <c r="K1502" s="63">
        <f t="shared" si="305"/>
        <v>0</v>
      </c>
      <c r="L1502" s="65" t="s">
        <v>124</v>
      </c>
      <c r="Z1502" s="55">
        <f t="shared" si="306"/>
        <v>0</v>
      </c>
      <c r="AB1502" s="55">
        <f t="shared" si="307"/>
        <v>0</v>
      </c>
      <c r="AC1502" s="55">
        <f t="shared" si="308"/>
        <v>0</v>
      </c>
      <c r="AD1502" s="55">
        <f t="shared" si="309"/>
        <v>0</v>
      </c>
      <c r="AE1502" s="55">
        <f t="shared" si="310"/>
        <v>0</v>
      </c>
      <c r="AF1502" s="55">
        <f t="shared" si="311"/>
        <v>0</v>
      </c>
      <c r="AG1502" s="55">
        <f t="shared" si="312"/>
        <v>0</v>
      </c>
      <c r="AH1502" s="55">
        <f t="shared" si="313"/>
        <v>0</v>
      </c>
      <c r="AI1502" s="34" t="s">
        <v>2629</v>
      </c>
      <c r="AJ1502" s="63">
        <f t="shared" si="314"/>
        <v>0</v>
      </c>
      <c r="AK1502" s="63">
        <f t="shared" si="315"/>
        <v>0</v>
      </c>
      <c r="AL1502" s="63">
        <f t="shared" si="316"/>
        <v>0</v>
      </c>
      <c r="AN1502" s="55">
        <v>21</v>
      </c>
      <c r="AO1502" s="55">
        <f>H1502*1</f>
        <v>0</v>
      </c>
      <c r="AP1502" s="55">
        <f>H1502*(1-1)</f>
        <v>0</v>
      </c>
      <c r="AQ1502" s="66" t="s">
        <v>125</v>
      </c>
      <c r="AV1502" s="55">
        <f t="shared" si="317"/>
        <v>0</v>
      </c>
      <c r="AW1502" s="55">
        <f t="shared" si="318"/>
        <v>0</v>
      </c>
      <c r="AX1502" s="55">
        <f t="shared" si="319"/>
        <v>0</v>
      </c>
      <c r="AY1502" s="58" t="s">
        <v>2795</v>
      </c>
      <c r="AZ1502" s="58" t="s">
        <v>2633</v>
      </c>
      <c r="BA1502" s="34" t="s">
        <v>2634</v>
      </c>
      <c r="BC1502" s="55">
        <f t="shared" si="320"/>
        <v>0</v>
      </c>
      <c r="BD1502" s="55">
        <f t="shared" si="321"/>
        <v>0</v>
      </c>
      <c r="BE1502" s="55">
        <v>0</v>
      </c>
      <c r="BF1502" s="55">
        <f t="shared" si="322"/>
        <v>0</v>
      </c>
      <c r="BH1502" s="63">
        <f t="shared" si="323"/>
        <v>0</v>
      </c>
      <c r="BI1502" s="63">
        <f t="shared" si="324"/>
        <v>0</v>
      </c>
      <c r="BJ1502" s="63">
        <f t="shared" si="325"/>
        <v>0</v>
      </c>
      <c r="BK1502" s="63"/>
      <c r="BL1502" s="55"/>
      <c r="BW1502" s="55">
        <v>21</v>
      </c>
    </row>
    <row r="1503" spans="1:75" ht="27" customHeight="1">
      <c r="A1503" s="1" t="s">
        <v>2838</v>
      </c>
      <c r="B1503" s="2" t="s">
        <v>2629</v>
      </c>
      <c r="C1503" s="2" t="s">
        <v>2839</v>
      </c>
      <c r="D1503" s="147" t="s">
        <v>2840</v>
      </c>
      <c r="E1503" s="148"/>
      <c r="F1503" s="2" t="s">
        <v>374</v>
      </c>
      <c r="G1503" s="55">
        <v>6</v>
      </c>
      <c r="H1503" s="56">
        <v>0</v>
      </c>
      <c r="I1503" s="55">
        <f t="shared" si="304"/>
        <v>0</v>
      </c>
      <c r="J1503" s="55">
        <v>0</v>
      </c>
      <c r="K1503" s="55">
        <f t="shared" si="305"/>
        <v>0</v>
      </c>
      <c r="L1503" s="57" t="s">
        <v>124</v>
      </c>
      <c r="Z1503" s="55">
        <f t="shared" si="306"/>
        <v>0</v>
      </c>
      <c r="AB1503" s="55">
        <f t="shared" si="307"/>
        <v>0</v>
      </c>
      <c r="AC1503" s="55">
        <f t="shared" si="308"/>
        <v>0</v>
      </c>
      <c r="AD1503" s="55">
        <f t="shared" si="309"/>
        <v>0</v>
      </c>
      <c r="AE1503" s="55">
        <f t="shared" si="310"/>
        <v>0</v>
      </c>
      <c r="AF1503" s="55">
        <f t="shared" si="311"/>
        <v>0</v>
      </c>
      <c r="AG1503" s="55">
        <f t="shared" si="312"/>
        <v>0</v>
      </c>
      <c r="AH1503" s="55">
        <f t="shared" si="313"/>
        <v>0</v>
      </c>
      <c r="AI1503" s="34" t="s">
        <v>2629</v>
      </c>
      <c r="AJ1503" s="55">
        <f t="shared" si="314"/>
        <v>0</v>
      </c>
      <c r="AK1503" s="55">
        <f t="shared" si="315"/>
        <v>0</v>
      </c>
      <c r="AL1503" s="55">
        <f t="shared" si="316"/>
        <v>0</v>
      </c>
      <c r="AN1503" s="55">
        <v>21</v>
      </c>
      <c r="AO1503" s="55">
        <f>H1503*0</f>
        <v>0</v>
      </c>
      <c r="AP1503" s="55">
        <f>H1503*(1-0)</f>
        <v>0</v>
      </c>
      <c r="AQ1503" s="58" t="s">
        <v>125</v>
      </c>
      <c r="AV1503" s="55">
        <f t="shared" si="317"/>
        <v>0</v>
      </c>
      <c r="AW1503" s="55">
        <f t="shared" si="318"/>
        <v>0</v>
      </c>
      <c r="AX1503" s="55">
        <f t="shared" si="319"/>
        <v>0</v>
      </c>
      <c r="AY1503" s="58" t="s">
        <v>2795</v>
      </c>
      <c r="AZ1503" s="58" t="s">
        <v>2633</v>
      </c>
      <c r="BA1503" s="34" t="s">
        <v>2634</v>
      </c>
      <c r="BC1503" s="55">
        <f t="shared" si="320"/>
        <v>0</v>
      </c>
      <c r="BD1503" s="55">
        <f t="shared" si="321"/>
        <v>0</v>
      </c>
      <c r="BE1503" s="55">
        <v>0</v>
      </c>
      <c r="BF1503" s="55">
        <f t="shared" si="322"/>
        <v>0</v>
      </c>
      <c r="BH1503" s="55">
        <f t="shared" si="323"/>
        <v>0</v>
      </c>
      <c r="BI1503" s="55">
        <f t="shared" si="324"/>
        <v>0</v>
      </c>
      <c r="BJ1503" s="55">
        <f t="shared" si="325"/>
        <v>0</v>
      </c>
      <c r="BK1503" s="55"/>
      <c r="BL1503" s="55"/>
      <c r="BW1503" s="55">
        <v>21</v>
      </c>
    </row>
    <row r="1504" spans="1:75" ht="27" customHeight="1">
      <c r="A1504" s="61" t="s">
        <v>2841</v>
      </c>
      <c r="B1504" s="62" t="s">
        <v>2629</v>
      </c>
      <c r="C1504" s="62" t="s">
        <v>2842</v>
      </c>
      <c r="D1504" s="224" t="s">
        <v>2843</v>
      </c>
      <c r="E1504" s="225"/>
      <c r="F1504" s="62" t="s">
        <v>374</v>
      </c>
      <c r="G1504" s="63">
        <v>6</v>
      </c>
      <c r="H1504" s="64">
        <v>0</v>
      </c>
      <c r="I1504" s="63">
        <f t="shared" si="304"/>
        <v>0</v>
      </c>
      <c r="J1504" s="63">
        <v>0</v>
      </c>
      <c r="K1504" s="63">
        <f t="shared" si="305"/>
        <v>0</v>
      </c>
      <c r="L1504" s="65" t="s">
        <v>124</v>
      </c>
      <c r="Z1504" s="55">
        <f t="shared" si="306"/>
        <v>0</v>
      </c>
      <c r="AB1504" s="55">
        <f t="shared" si="307"/>
        <v>0</v>
      </c>
      <c r="AC1504" s="55">
        <f t="shared" si="308"/>
        <v>0</v>
      </c>
      <c r="AD1504" s="55">
        <f t="shared" si="309"/>
        <v>0</v>
      </c>
      <c r="AE1504" s="55">
        <f t="shared" si="310"/>
        <v>0</v>
      </c>
      <c r="AF1504" s="55">
        <f t="shared" si="311"/>
        <v>0</v>
      </c>
      <c r="AG1504" s="55">
        <f t="shared" si="312"/>
        <v>0</v>
      </c>
      <c r="AH1504" s="55">
        <f t="shared" si="313"/>
        <v>0</v>
      </c>
      <c r="AI1504" s="34" t="s">
        <v>2629</v>
      </c>
      <c r="AJ1504" s="63">
        <f t="shared" si="314"/>
        <v>0</v>
      </c>
      <c r="AK1504" s="63">
        <f t="shared" si="315"/>
        <v>0</v>
      </c>
      <c r="AL1504" s="63">
        <f t="shared" si="316"/>
        <v>0</v>
      </c>
      <c r="AN1504" s="55">
        <v>21</v>
      </c>
      <c r="AO1504" s="55">
        <f>H1504*1</f>
        <v>0</v>
      </c>
      <c r="AP1504" s="55">
        <f>H1504*(1-1)</f>
        <v>0</v>
      </c>
      <c r="AQ1504" s="66" t="s">
        <v>125</v>
      </c>
      <c r="AV1504" s="55">
        <f t="shared" si="317"/>
        <v>0</v>
      </c>
      <c r="AW1504" s="55">
        <f t="shared" si="318"/>
        <v>0</v>
      </c>
      <c r="AX1504" s="55">
        <f t="shared" si="319"/>
        <v>0</v>
      </c>
      <c r="AY1504" s="58" t="s">
        <v>2795</v>
      </c>
      <c r="AZ1504" s="58" t="s">
        <v>2633</v>
      </c>
      <c r="BA1504" s="34" t="s">
        <v>2634</v>
      </c>
      <c r="BC1504" s="55">
        <f t="shared" si="320"/>
        <v>0</v>
      </c>
      <c r="BD1504" s="55">
        <f t="shared" si="321"/>
        <v>0</v>
      </c>
      <c r="BE1504" s="55">
        <v>0</v>
      </c>
      <c r="BF1504" s="55">
        <f t="shared" si="322"/>
        <v>0</v>
      </c>
      <c r="BH1504" s="63">
        <f t="shared" si="323"/>
        <v>0</v>
      </c>
      <c r="BI1504" s="63">
        <f t="shared" si="324"/>
        <v>0</v>
      </c>
      <c r="BJ1504" s="63">
        <f t="shared" si="325"/>
        <v>0</v>
      </c>
      <c r="BK1504" s="63"/>
      <c r="BL1504" s="55"/>
      <c r="BW1504" s="55">
        <v>21</v>
      </c>
    </row>
    <row r="1505" spans="1:75" ht="27" customHeight="1">
      <c r="A1505" s="1" t="s">
        <v>2844</v>
      </c>
      <c r="B1505" s="2" t="s">
        <v>2629</v>
      </c>
      <c r="C1505" s="2" t="s">
        <v>2805</v>
      </c>
      <c r="D1505" s="147" t="s">
        <v>2806</v>
      </c>
      <c r="E1505" s="148"/>
      <c r="F1505" s="2" t="s">
        <v>174</v>
      </c>
      <c r="G1505" s="55">
        <v>130</v>
      </c>
      <c r="H1505" s="56">
        <v>0</v>
      </c>
      <c r="I1505" s="55">
        <f t="shared" si="304"/>
        <v>0</v>
      </c>
      <c r="J1505" s="55">
        <v>0</v>
      </c>
      <c r="K1505" s="55">
        <f t="shared" si="305"/>
        <v>0</v>
      </c>
      <c r="L1505" s="57" t="s">
        <v>124</v>
      </c>
      <c r="Z1505" s="55">
        <f t="shared" si="306"/>
        <v>0</v>
      </c>
      <c r="AB1505" s="55">
        <f t="shared" si="307"/>
        <v>0</v>
      </c>
      <c r="AC1505" s="55">
        <f t="shared" si="308"/>
        <v>0</v>
      </c>
      <c r="AD1505" s="55">
        <f t="shared" si="309"/>
        <v>0</v>
      </c>
      <c r="AE1505" s="55">
        <f t="shared" si="310"/>
        <v>0</v>
      </c>
      <c r="AF1505" s="55">
        <f t="shared" si="311"/>
        <v>0</v>
      </c>
      <c r="AG1505" s="55">
        <f t="shared" si="312"/>
        <v>0</v>
      </c>
      <c r="AH1505" s="55">
        <f t="shared" si="313"/>
        <v>0</v>
      </c>
      <c r="AI1505" s="34" t="s">
        <v>2629</v>
      </c>
      <c r="AJ1505" s="55">
        <f t="shared" si="314"/>
        <v>0</v>
      </c>
      <c r="AK1505" s="55">
        <f t="shared" si="315"/>
        <v>0</v>
      </c>
      <c r="AL1505" s="55">
        <f t="shared" si="316"/>
        <v>0</v>
      </c>
      <c r="AN1505" s="55">
        <v>21</v>
      </c>
      <c r="AO1505" s="55">
        <f>H1505*0</f>
        <v>0</v>
      </c>
      <c r="AP1505" s="55">
        <f>H1505*(1-0)</f>
        <v>0</v>
      </c>
      <c r="AQ1505" s="58" t="s">
        <v>125</v>
      </c>
      <c r="AV1505" s="55">
        <f t="shared" si="317"/>
        <v>0</v>
      </c>
      <c r="AW1505" s="55">
        <f t="shared" si="318"/>
        <v>0</v>
      </c>
      <c r="AX1505" s="55">
        <f t="shared" si="319"/>
        <v>0</v>
      </c>
      <c r="AY1505" s="58" t="s">
        <v>2795</v>
      </c>
      <c r="AZ1505" s="58" t="s">
        <v>2633</v>
      </c>
      <c r="BA1505" s="34" t="s">
        <v>2634</v>
      </c>
      <c r="BC1505" s="55">
        <f t="shared" si="320"/>
        <v>0</v>
      </c>
      <c r="BD1505" s="55">
        <f t="shared" si="321"/>
        <v>0</v>
      </c>
      <c r="BE1505" s="55">
        <v>0</v>
      </c>
      <c r="BF1505" s="55">
        <f t="shared" si="322"/>
        <v>0</v>
      </c>
      <c r="BH1505" s="55">
        <f t="shared" si="323"/>
        <v>0</v>
      </c>
      <c r="BI1505" s="55">
        <f t="shared" si="324"/>
        <v>0</v>
      </c>
      <c r="BJ1505" s="55">
        <f t="shared" si="325"/>
        <v>0</v>
      </c>
      <c r="BK1505" s="55"/>
      <c r="BL1505" s="55"/>
      <c r="BW1505" s="55">
        <v>21</v>
      </c>
    </row>
    <row r="1506" spans="1:75" ht="13.5" customHeight="1">
      <c r="A1506" s="61" t="s">
        <v>2845</v>
      </c>
      <c r="B1506" s="62" t="s">
        <v>2629</v>
      </c>
      <c r="C1506" s="62" t="s">
        <v>2808</v>
      </c>
      <c r="D1506" s="224" t="s">
        <v>2809</v>
      </c>
      <c r="E1506" s="225"/>
      <c r="F1506" s="62" t="s">
        <v>174</v>
      </c>
      <c r="G1506" s="63">
        <v>130</v>
      </c>
      <c r="H1506" s="64">
        <v>0</v>
      </c>
      <c r="I1506" s="63">
        <f t="shared" si="304"/>
        <v>0</v>
      </c>
      <c r="J1506" s="63">
        <v>0</v>
      </c>
      <c r="K1506" s="63">
        <f t="shared" si="305"/>
        <v>0</v>
      </c>
      <c r="L1506" s="65" t="s">
        <v>124</v>
      </c>
      <c r="Z1506" s="55">
        <f t="shared" si="306"/>
        <v>0</v>
      </c>
      <c r="AB1506" s="55">
        <f t="shared" si="307"/>
        <v>0</v>
      </c>
      <c r="AC1506" s="55">
        <f t="shared" si="308"/>
        <v>0</v>
      </c>
      <c r="AD1506" s="55">
        <f t="shared" si="309"/>
        <v>0</v>
      </c>
      <c r="AE1506" s="55">
        <f t="shared" si="310"/>
        <v>0</v>
      </c>
      <c r="AF1506" s="55">
        <f t="shared" si="311"/>
        <v>0</v>
      </c>
      <c r="AG1506" s="55">
        <f t="shared" si="312"/>
        <v>0</v>
      </c>
      <c r="AH1506" s="55">
        <f t="shared" si="313"/>
        <v>0</v>
      </c>
      <c r="AI1506" s="34" t="s">
        <v>2629</v>
      </c>
      <c r="AJ1506" s="63">
        <f t="shared" si="314"/>
        <v>0</v>
      </c>
      <c r="AK1506" s="63">
        <f t="shared" si="315"/>
        <v>0</v>
      </c>
      <c r="AL1506" s="63">
        <f t="shared" si="316"/>
        <v>0</v>
      </c>
      <c r="AN1506" s="55">
        <v>21</v>
      </c>
      <c r="AO1506" s="55">
        <f>H1506*1</f>
        <v>0</v>
      </c>
      <c r="AP1506" s="55">
        <f>H1506*(1-1)</f>
        <v>0</v>
      </c>
      <c r="AQ1506" s="66" t="s">
        <v>125</v>
      </c>
      <c r="AV1506" s="55">
        <f t="shared" si="317"/>
        <v>0</v>
      </c>
      <c r="AW1506" s="55">
        <f t="shared" si="318"/>
        <v>0</v>
      </c>
      <c r="AX1506" s="55">
        <f t="shared" si="319"/>
        <v>0</v>
      </c>
      <c r="AY1506" s="58" t="s">
        <v>2795</v>
      </c>
      <c r="AZ1506" s="58" t="s">
        <v>2633</v>
      </c>
      <c r="BA1506" s="34" t="s">
        <v>2634</v>
      </c>
      <c r="BC1506" s="55">
        <f t="shared" si="320"/>
        <v>0</v>
      </c>
      <c r="BD1506" s="55">
        <f t="shared" si="321"/>
        <v>0</v>
      </c>
      <c r="BE1506" s="55">
        <v>0</v>
      </c>
      <c r="BF1506" s="55">
        <f t="shared" si="322"/>
        <v>0</v>
      </c>
      <c r="BH1506" s="63">
        <f t="shared" si="323"/>
        <v>0</v>
      </c>
      <c r="BI1506" s="63">
        <f t="shared" si="324"/>
        <v>0</v>
      </c>
      <c r="BJ1506" s="63">
        <f t="shared" si="325"/>
        <v>0</v>
      </c>
      <c r="BK1506" s="63"/>
      <c r="BL1506" s="55"/>
      <c r="BW1506" s="55">
        <v>21</v>
      </c>
    </row>
    <row r="1507" spans="1:75" ht="27" customHeight="1">
      <c r="A1507" s="1" t="s">
        <v>2846</v>
      </c>
      <c r="B1507" s="2" t="s">
        <v>2629</v>
      </c>
      <c r="C1507" s="2" t="s">
        <v>2847</v>
      </c>
      <c r="D1507" s="147" t="s">
        <v>2848</v>
      </c>
      <c r="E1507" s="148"/>
      <c r="F1507" s="2" t="s">
        <v>374</v>
      </c>
      <c r="G1507" s="55">
        <v>1</v>
      </c>
      <c r="H1507" s="56">
        <v>0</v>
      </c>
      <c r="I1507" s="55">
        <f t="shared" si="304"/>
        <v>0</v>
      </c>
      <c r="J1507" s="55">
        <v>0</v>
      </c>
      <c r="K1507" s="55">
        <f t="shared" si="305"/>
        <v>0</v>
      </c>
      <c r="L1507" s="57" t="s">
        <v>124</v>
      </c>
      <c r="Z1507" s="55">
        <f t="shared" si="306"/>
        <v>0</v>
      </c>
      <c r="AB1507" s="55">
        <f t="shared" si="307"/>
        <v>0</v>
      </c>
      <c r="AC1507" s="55">
        <f t="shared" si="308"/>
        <v>0</v>
      </c>
      <c r="AD1507" s="55">
        <f t="shared" si="309"/>
        <v>0</v>
      </c>
      <c r="AE1507" s="55">
        <f t="shared" si="310"/>
        <v>0</v>
      </c>
      <c r="AF1507" s="55">
        <f t="shared" si="311"/>
        <v>0</v>
      </c>
      <c r="AG1507" s="55">
        <f t="shared" si="312"/>
        <v>0</v>
      </c>
      <c r="AH1507" s="55">
        <f t="shared" si="313"/>
        <v>0</v>
      </c>
      <c r="AI1507" s="34" t="s">
        <v>2629</v>
      </c>
      <c r="AJ1507" s="55">
        <f t="shared" si="314"/>
        <v>0</v>
      </c>
      <c r="AK1507" s="55">
        <f t="shared" si="315"/>
        <v>0</v>
      </c>
      <c r="AL1507" s="55">
        <f t="shared" si="316"/>
        <v>0</v>
      </c>
      <c r="AN1507" s="55">
        <v>21</v>
      </c>
      <c r="AO1507" s="55">
        <f>H1507*0</f>
        <v>0</v>
      </c>
      <c r="AP1507" s="55">
        <f>H1507*(1-0)</f>
        <v>0</v>
      </c>
      <c r="AQ1507" s="58" t="s">
        <v>125</v>
      </c>
      <c r="AV1507" s="55">
        <f t="shared" si="317"/>
        <v>0</v>
      </c>
      <c r="AW1507" s="55">
        <f t="shared" si="318"/>
        <v>0</v>
      </c>
      <c r="AX1507" s="55">
        <f t="shared" si="319"/>
        <v>0</v>
      </c>
      <c r="AY1507" s="58" t="s">
        <v>2795</v>
      </c>
      <c r="AZ1507" s="58" t="s">
        <v>2633</v>
      </c>
      <c r="BA1507" s="34" t="s">
        <v>2634</v>
      </c>
      <c r="BC1507" s="55">
        <f t="shared" si="320"/>
        <v>0</v>
      </c>
      <c r="BD1507" s="55">
        <f t="shared" si="321"/>
        <v>0</v>
      </c>
      <c r="BE1507" s="55">
        <v>0</v>
      </c>
      <c r="BF1507" s="55">
        <f t="shared" si="322"/>
        <v>0</v>
      </c>
      <c r="BH1507" s="55">
        <f t="shared" si="323"/>
        <v>0</v>
      </c>
      <c r="BI1507" s="55">
        <f t="shared" si="324"/>
        <v>0</v>
      </c>
      <c r="BJ1507" s="55">
        <f t="shared" si="325"/>
        <v>0</v>
      </c>
      <c r="BK1507" s="55"/>
      <c r="BL1507" s="55"/>
      <c r="BW1507" s="55">
        <v>21</v>
      </c>
    </row>
    <row r="1508" spans="1:12" ht="13.5" customHeight="1">
      <c r="A1508" s="59"/>
      <c r="D1508" s="218" t="s">
        <v>2849</v>
      </c>
      <c r="E1508" s="219"/>
      <c r="F1508" s="219"/>
      <c r="G1508" s="219"/>
      <c r="H1508" s="220"/>
      <c r="I1508" s="219"/>
      <c r="J1508" s="219"/>
      <c r="K1508" s="219"/>
      <c r="L1508" s="221"/>
    </row>
    <row r="1509" spans="1:75" ht="27" customHeight="1">
      <c r="A1509" s="61" t="s">
        <v>2850</v>
      </c>
      <c r="B1509" s="62" t="s">
        <v>2629</v>
      </c>
      <c r="C1509" s="62" t="s">
        <v>2851</v>
      </c>
      <c r="D1509" s="224" t="s">
        <v>2852</v>
      </c>
      <c r="E1509" s="225"/>
      <c r="F1509" s="62" t="s">
        <v>374</v>
      </c>
      <c r="G1509" s="63">
        <v>1</v>
      </c>
      <c r="H1509" s="64">
        <v>0</v>
      </c>
      <c r="I1509" s="63">
        <f aca="true" t="shared" si="326" ref="I1509:I1517">G1509*H1509</f>
        <v>0</v>
      </c>
      <c r="J1509" s="63">
        <v>0</v>
      </c>
      <c r="K1509" s="63">
        <f aca="true" t="shared" si="327" ref="K1509:K1517">G1509*J1509</f>
        <v>0</v>
      </c>
      <c r="L1509" s="65" t="s">
        <v>124</v>
      </c>
      <c r="Z1509" s="55">
        <f aca="true" t="shared" si="328" ref="Z1509:Z1517">IF(AQ1509="5",BJ1509,0)</f>
        <v>0</v>
      </c>
      <c r="AB1509" s="55">
        <f aca="true" t="shared" si="329" ref="AB1509:AB1517">IF(AQ1509="1",BH1509,0)</f>
        <v>0</v>
      </c>
      <c r="AC1509" s="55">
        <f aca="true" t="shared" si="330" ref="AC1509:AC1517">IF(AQ1509="1",BI1509,0)</f>
        <v>0</v>
      </c>
      <c r="AD1509" s="55">
        <f aca="true" t="shared" si="331" ref="AD1509:AD1517">IF(AQ1509="7",BH1509,0)</f>
        <v>0</v>
      </c>
      <c r="AE1509" s="55">
        <f aca="true" t="shared" si="332" ref="AE1509:AE1517">IF(AQ1509="7",BI1509,0)</f>
        <v>0</v>
      </c>
      <c r="AF1509" s="55">
        <f aca="true" t="shared" si="333" ref="AF1509:AF1517">IF(AQ1509="2",BH1509,0)</f>
        <v>0</v>
      </c>
      <c r="AG1509" s="55">
        <f aca="true" t="shared" si="334" ref="AG1509:AG1517">IF(AQ1509="2",BI1509,0)</f>
        <v>0</v>
      </c>
      <c r="AH1509" s="55">
        <f aca="true" t="shared" si="335" ref="AH1509:AH1517">IF(AQ1509="0",BJ1509,0)</f>
        <v>0</v>
      </c>
      <c r="AI1509" s="34" t="s">
        <v>2629</v>
      </c>
      <c r="AJ1509" s="63">
        <f aca="true" t="shared" si="336" ref="AJ1509:AJ1517">IF(AN1509=0,I1509,0)</f>
        <v>0</v>
      </c>
      <c r="AK1509" s="63">
        <f aca="true" t="shared" si="337" ref="AK1509:AK1517">IF(AN1509=12,I1509,0)</f>
        <v>0</v>
      </c>
      <c r="AL1509" s="63">
        <f aca="true" t="shared" si="338" ref="AL1509:AL1517">IF(AN1509=21,I1509,0)</f>
        <v>0</v>
      </c>
      <c r="AN1509" s="55">
        <v>21</v>
      </c>
      <c r="AO1509" s="55">
        <f>H1509*1</f>
        <v>0</v>
      </c>
      <c r="AP1509" s="55">
        <f>H1509*(1-1)</f>
        <v>0</v>
      </c>
      <c r="AQ1509" s="66" t="s">
        <v>125</v>
      </c>
      <c r="AV1509" s="55">
        <f aca="true" t="shared" si="339" ref="AV1509:AV1517">AW1509+AX1509</f>
        <v>0</v>
      </c>
      <c r="AW1509" s="55">
        <f aca="true" t="shared" si="340" ref="AW1509:AW1517">G1509*AO1509</f>
        <v>0</v>
      </c>
      <c r="AX1509" s="55">
        <f aca="true" t="shared" si="341" ref="AX1509:AX1517">G1509*AP1509</f>
        <v>0</v>
      </c>
      <c r="AY1509" s="58" t="s">
        <v>2795</v>
      </c>
      <c r="AZ1509" s="58" t="s">
        <v>2633</v>
      </c>
      <c r="BA1509" s="34" t="s">
        <v>2634</v>
      </c>
      <c r="BC1509" s="55">
        <f aca="true" t="shared" si="342" ref="BC1509:BC1517">AW1509+AX1509</f>
        <v>0</v>
      </c>
      <c r="BD1509" s="55">
        <f aca="true" t="shared" si="343" ref="BD1509:BD1517">H1509/(100-BE1509)*100</f>
        <v>0</v>
      </c>
      <c r="BE1509" s="55">
        <v>0</v>
      </c>
      <c r="BF1509" s="55">
        <f aca="true" t="shared" si="344" ref="BF1509:BF1517">K1509</f>
        <v>0</v>
      </c>
      <c r="BH1509" s="63">
        <f aca="true" t="shared" si="345" ref="BH1509:BH1517">G1509*AO1509</f>
        <v>0</v>
      </c>
      <c r="BI1509" s="63">
        <f aca="true" t="shared" si="346" ref="BI1509:BI1517">G1509*AP1509</f>
        <v>0</v>
      </c>
      <c r="BJ1509" s="63">
        <f aca="true" t="shared" si="347" ref="BJ1509:BJ1517">G1509*H1509</f>
        <v>0</v>
      </c>
      <c r="BK1509" s="63"/>
      <c r="BL1509" s="55"/>
      <c r="BW1509" s="55">
        <v>21</v>
      </c>
    </row>
    <row r="1510" spans="1:75" ht="27" customHeight="1">
      <c r="A1510" s="61" t="s">
        <v>2853</v>
      </c>
      <c r="B1510" s="62" t="s">
        <v>2629</v>
      </c>
      <c r="C1510" s="62" t="s">
        <v>2854</v>
      </c>
      <c r="D1510" s="224" t="s">
        <v>2855</v>
      </c>
      <c r="E1510" s="225"/>
      <c r="F1510" s="62" t="s">
        <v>374</v>
      </c>
      <c r="G1510" s="63">
        <v>1</v>
      </c>
      <c r="H1510" s="64">
        <v>0</v>
      </c>
      <c r="I1510" s="63">
        <f t="shared" si="326"/>
        <v>0</v>
      </c>
      <c r="J1510" s="63">
        <v>0</v>
      </c>
      <c r="K1510" s="63">
        <f t="shared" si="327"/>
        <v>0</v>
      </c>
      <c r="L1510" s="65" t="s">
        <v>124</v>
      </c>
      <c r="Z1510" s="55">
        <f t="shared" si="328"/>
        <v>0</v>
      </c>
      <c r="AB1510" s="55">
        <f t="shared" si="329"/>
        <v>0</v>
      </c>
      <c r="AC1510" s="55">
        <f t="shared" si="330"/>
        <v>0</v>
      </c>
      <c r="AD1510" s="55">
        <f t="shared" si="331"/>
        <v>0</v>
      </c>
      <c r="AE1510" s="55">
        <f t="shared" si="332"/>
        <v>0</v>
      </c>
      <c r="AF1510" s="55">
        <f t="shared" si="333"/>
        <v>0</v>
      </c>
      <c r="AG1510" s="55">
        <f t="shared" si="334"/>
        <v>0</v>
      </c>
      <c r="AH1510" s="55">
        <f t="shared" si="335"/>
        <v>0</v>
      </c>
      <c r="AI1510" s="34" t="s">
        <v>2629</v>
      </c>
      <c r="AJ1510" s="63">
        <f t="shared" si="336"/>
        <v>0</v>
      </c>
      <c r="AK1510" s="63">
        <f t="shared" si="337"/>
        <v>0</v>
      </c>
      <c r="AL1510" s="63">
        <f t="shared" si="338"/>
        <v>0</v>
      </c>
      <c r="AN1510" s="55">
        <v>21</v>
      </c>
      <c r="AO1510" s="55">
        <f>H1510*1</f>
        <v>0</v>
      </c>
      <c r="AP1510" s="55">
        <f>H1510*(1-1)</f>
        <v>0</v>
      </c>
      <c r="AQ1510" s="66" t="s">
        <v>125</v>
      </c>
      <c r="AV1510" s="55">
        <f t="shared" si="339"/>
        <v>0</v>
      </c>
      <c r="AW1510" s="55">
        <f t="shared" si="340"/>
        <v>0</v>
      </c>
      <c r="AX1510" s="55">
        <f t="shared" si="341"/>
        <v>0</v>
      </c>
      <c r="AY1510" s="58" t="s">
        <v>2795</v>
      </c>
      <c r="AZ1510" s="58" t="s">
        <v>2633</v>
      </c>
      <c r="BA1510" s="34" t="s">
        <v>2634</v>
      </c>
      <c r="BC1510" s="55">
        <f t="shared" si="342"/>
        <v>0</v>
      </c>
      <c r="BD1510" s="55">
        <f t="shared" si="343"/>
        <v>0</v>
      </c>
      <c r="BE1510" s="55">
        <v>0</v>
      </c>
      <c r="BF1510" s="55">
        <f t="shared" si="344"/>
        <v>0</v>
      </c>
      <c r="BH1510" s="63">
        <f t="shared" si="345"/>
        <v>0</v>
      </c>
      <c r="BI1510" s="63">
        <f t="shared" si="346"/>
        <v>0</v>
      </c>
      <c r="BJ1510" s="63">
        <f t="shared" si="347"/>
        <v>0</v>
      </c>
      <c r="BK1510" s="63"/>
      <c r="BL1510" s="55"/>
      <c r="BW1510" s="55">
        <v>21</v>
      </c>
    </row>
    <row r="1511" spans="1:75" ht="13.5" customHeight="1">
      <c r="A1511" s="1" t="s">
        <v>2856</v>
      </c>
      <c r="B1511" s="2" t="s">
        <v>2629</v>
      </c>
      <c r="C1511" s="2" t="s">
        <v>2827</v>
      </c>
      <c r="D1511" s="147" t="s">
        <v>2828</v>
      </c>
      <c r="E1511" s="148"/>
      <c r="F1511" s="2" t="s">
        <v>374</v>
      </c>
      <c r="G1511" s="55">
        <v>6</v>
      </c>
      <c r="H1511" s="56">
        <v>0</v>
      </c>
      <c r="I1511" s="55">
        <f t="shared" si="326"/>
        <v>0</v>
      </c>
      <c r="J1511" s="55">
        <v>0</v>
      </c>
      <c r="K1511" s="55">
        <f t="shared" si="327"/>
        <v>0</v>
      </c>
      <c r="L1511" s="57" t="s">
        <v>124</v>
      </c>
      <c r="Z1511" s="55">
        <f t="shared" si="328"/>
        <v>0</v>
      </c>
      <c r="AB1511" s="55">
        <f t="shared" si="329"/>
        <v>0</v>
      </c>
      <c r="AC1511" s="55">
        <f t="shared" si="330"/>
        <v>0</v>
      </c>
      <c r="AD1511" s="55">
        <f t="shared" si="331"/>
        <v>0</v>
      </c>
      <c r="AE1511" s="55">
        <f t="shared" si="332"/>
        <v>0</v>
      </c>
      <c r="AF1511" s="55">
        <f t="shared" si="333"/>
        <v>0</v>
      </c>
      <c r="AG1511" s="55">
        <f t="shared" si="334"/>
        <v>0</v>
      </c>
      <c r="AH1511" s="55">
        <f t="shared" si="335"/>
        <v>0</v>
      </c>
      <c r="AI1511" s="34" t="s">
        <v>2629</v>
      </c>
      <c r="AJ1511" s="55">
        <f t="shared" si="336"/>
        <v>0</v>
      </c>
      <c r="AK1511" s="55">
        <f t="shared" si="337"/>
        <v>0</v>
      </c>
      <c r="AL1511" s="55">
        <f t="shared" si="338"/>
        <v>0</v>
      </c>
      <c r="AN1511" s="55">
        <v>21</v>
      </c>
      <c r="AO1511" s="55">
        <f>H1511*0</f>
        <v>0</v>
      </c>
      <c r="AP1511" s="55">
        <f>H1511*(1-0)</f>
        <v>0</v>
      </c>
      <c r="AQ1511" s="58" t="s">
        <v>125</v>
      </c>
      <c r="AV1511" s="55">
        <f t="shared" si="339"/>
        <v>0</v>
      </c>
      <c r="AW1511" s="55">
        <f t="shared" si="340"/>
        <v>0</v>
      </c>
      <c r="AX1511" s="55">
        <f t="shared" si="341"/>
        <v>0</v>
      </c>
      <c r="AY1511" s="58" t="s">
        <v>2795</v>
      </c>
      <c r="AZ1511" s="58" t="s">
        <v>2633</v>
      </c>
      <c r="BA1511" s="34" t="s">
        <v>2634</v>
      </c>
      <c r="BC1511" s="55">
        <f t="shared" si="342"/>
        <v>0</v>
      </c>
      <c r="BD1511" s="55">
        <f t="shared" si="343"/>
        <v>0</v>
      </c>
      <c r="BE1511" s="55">
        <v>0</v>
      </c>
      <c r="BF1511" s="55">
        <f t="shared" si="344"/>
        <v>0</v>
      </c>
      <c r="BH1511" s="55">
        <f t="shared" si="345"/>
        <v>0</v>
      </c>
      <c r="BI1511" s="55">
        <f t="shared" si="346"/>
        <v>0</v>
      </c>
      <c r="BJ1511" s="55">
        <f t="shared" si="347"/>
        <v>0</v>
      </c>
      <c r="BK1511" s="55"/>
      <c r="BL1511" s="55"/>
      <c r="BW1511" s="55">
        <v>21</v>
      </c>
    </row>
    <row r="1512" spans="1:75" ht="27" customHeight="1">
      <c r="A1512" s="61" t="s">
        <v>2857</v>
      </c>
      <c r="B1512" s="62" t="s">
        <v>2629</v>
      </c>
      <c r="C1512" s="62" t="s">
        <v>2830</v>
      </c>
      <c r="D1512" s="224" t="s">
        <v>2831</v>
      </c>
      <c r="E1512" s="225"/>
      <c r="F1512" s="62" t="s">
        <v>374</v>
      </c>
      <c r="G1512" s="63">
        <v>6</v>
      </c>
      <c r="H1512" s="64">
        <v>0</v>
      </c>
      <c r="I1512" s="63">
        <f t="shared" si="326"/>
        <v>0</v>
      </c>
      <c r="J1512" s="63">
        <v>0</v>
      </c>
      <c r="K1512" s="63">
        <f t="shared" si="327"/>
        <v>0</v>
      </c>
      <c r="L1512" s="65" t="s">
        <v>124</v>
      </c>
      <c r="Z1512" s="55">
        <f t="shared" si="328"/>
        <v>0</v>
      </c>
      <c r="AB1512" s="55">
        <f t="shared" si="329"/>
        <v>0</v>
      </c>
      <c r="AC1512" s="55">
        <f t="shared" si="330"/>
        <v>0</v>
      </c>
      <c r="AD1512" s="55">
        <f t="shared" si="331"/>
        <v>0</v>
      </c>
      <c r="AE1512" s="55">
        <f t="shared" si="332"/>
        <v>0</v>
      </c>
      <c r="AF1512" s="55">
        <f t="shared" si="333"/>
        <v>0</v>
      </c>
      <c r="AG1512" s="55">
        <f t="shared" si="334"/>
        <v>0</v>
      </c>
      <c r="AH1512" s="55">
        <f t="shared" si="335"/>
        <v>0</v>
      </c>
      <c r="AI1512" s="34" t="s">
        <v>2629</v>
      </c>
      <c r="AJ1512" s="63">
        <f t="shared" si="336"/>
        <v>0</v>
      </c>
      <c r="AK1512" s="63">
        <f t="shared" si="337"/>
        <v>0</v>
      </c>
      <c r="AL1512" s="63">
        <f t="shared" si="338"/>
        <v>0</v>
      </c>
      <c r="AN1512" s="55">
        <v>21</v>
      </c>
      <c r="AO1512" s="55">
        <f>H1512*1</f>
        <v>0</v>
      </c>
      <c r="AP1512" s="55">
        <f>H1512*(1-1)</f>
        <v>0</v>
      </c>
      <c r="AQ1512" s="66" t="s">
        <v>125</v>
      </c>
      <c r="AV1512" s="55">
        <f t="shared" si="339"/>
        <v>0</v>
      </c>
      <c r="AW1512" s="55">
        <f t="shared" si="340"/>
        <v>0</v>
      </c>
      <c r="AX1512" s="55">
        <f t="shared" si="341"/>
        <v>0</v>
      </c>
      <c r="AY1512" s="58" t="s">
        <v>2795</v>
      </c>
      <c r="AZ1512" s="58" t="s">
        <v>2633</v>
      </c>
      <c r="BA1512" s="34" t="s">
        <v>2634</v>
      </c>
      <c r="BC1512" s="55">
        <f t="shared" si="342"/>
        <v>0</v>
      </c>
      <c r="BD1512" s="55">
        <f t="shared" si="343"/>
        <v>0</v>
      </c>
      <c r="BE1512" s="55">
        <v>0</v>
      </c>
      <c r="BF1512" s="55">
        <f t="shared" si="344"/>
        <v>0</v>
      </c>
      <c r="BH1512" s="63">
        <f t="shared" si="345"/>
        <v>0</v>
      </c>
      <c r="BI1512" s="63">
        <f t="shared" si="346"/>
        <v>0</v>
      </c>
      <c r="BJ1512" s="63">
        <f t="shared" si="347"/>
        <v>0</v>
      </c>
      <c r="BK1512" s="63"/>
      <c r="BL1512" s="55"/>
      <c r="BW1512" s="55">
        <v>21</v>
      </c>
    </row>
    <row r="1513" spans="1:75" ht="27" customHeight="1">
      <c r="A1513" s="1" t="s">
        <v>2858</v>
      </c>
      <c r="B1513" s="2" t="s">
        <v>2629</v>
      </c>
      <c r="C1513" s="2" t="s">
        <v>2859</v>
      </c>
      <c r="D1513" s="147" t="s">
        <v>2860</v>
      </c>
      <c r="E1513" s="148"/>
      <c r="F1513" s="2" t="s">
        <v>374</v>
      </c>
      <c r="G1513" s="55">
        <v>6</v>
      </c>
      <c r="H1513" s="56">
        <v>0</v>
      </c>
      <c r="I1513" s="55">
        <f t="shared" si="326"/>
        <v>0</v>
      </c>
      <c r="J1513" s="55">
        <v>0</v>
      </c>
      <c r="K1513" s="55">
        <f t="shared" si="327"/>
        <v>0</v>
      </c>
      <c r="L1513" s="57" t="s">
        <v>124</v>
      </c>
      <c r="Z1513" s="55">
        <f t="shared" si="328"/>
        <v>0</v>
      </c>
      <c r="AB1513" s="55">
        <f t="shared" si="329"/>
        <v>0</v>
      </c>
      <c r="AC1513" s="55">
        <f t="shared" si="330"/>
        <v>0</v>
      </c>
      <c r="AD1513" s="55">
        <f t="shared" si="331"/>
        <v>0</v>
      </c>
      <c r="AE1513" s="55">
        <f t="shared" si="332"/>
        <v>0</v>
      </c>
      <c r="AF1513" s="55">
        <f t="shared" si="333"/>
        <v>0</v>
      </c>
      <c r="AG1513" s="55">
        <f t="shared" si="334"/>
        <v>0</v>
      </c>
      <c r="AH1513" s="55">
        <f t="shared" si="335"/>
        <v>0</v>
      </c>
      <c r="AI1513" s="34" t="s">
        <v>2629</v>
      </c>
      <c r="AJ1513" s="55">
        <f t="shared" si="336"/>
        <v>0</v>
      </c>
      <c r="AK1513" s="55">
        <f t="shared" si="337"/>
        <v>0</v>
      </c>
      <c r="AL1513" s="55">
        <f t="shared" si="338"/>
        <v>0</v>
      </c>
      <c r="AN1513" s="55">
        <v>21</v>
      </c>
      <c r="AO1513" s="55">
        <f>H1513*0</f>
        <v>0</v>
      </c>
      <c r="AP1513" s="55">
        <f>H1513*(1-0)</f>
        <v>0</v>
      </c>
      <c r="AQ1513" s="58" t="s">
        <v>125</v>
      </c>
      <c r="AV1513" s="55">
        <f t="shared" si="339"/>
        <v>0</v>
      </c>
      <c r="AW1513" s="55">
        <f t="shared" si="340"/>
        <v>0</v>
      </c>
      <c r="AX1513" s="55">
        <f t="shared" si="341"/>
        <v>0</v>
      </c>
      <c r="AY1513" s="58" t="s">
        <v>2795</v>
      </c>
      <c r="AZ1513" s="58" t="s">
        <v>2633</v>
      </c>
      <c r="BA1513" s="34" t="s">
        <v>2634</v>
      </c>
      <c r="BC1513" s="55">
        <f t="shared" si="342"/>
        <v>0</v>
      </c>
      <c r="BD1513" s="55">
        <f t="shared" si="343"/>
        <v>0</v>
      </c>
      <c r="BE1513" s="55">
        <v>0</v>
      </c>
      <c r="BF1513" s="55">
        <f t="shared" si="344"/>
        <v>0</v>
      </c>
      <c r="BH1513" s="55">
        <f t="shared" si="345"/>
        <v>0</v>
      </c>
      <c r="BI1513" s="55">
        <f t="shared" si="346"/>
        <v>0</v>
      </c>
      <c r="BJ1513" s="55">
        <f t="shared" si="347"/>
        <v>0</v>
      </c>
      <c r="BK1513" s="55"/>
      <c r="BL1513" s="55"/>
      <c r="BW1513" s="55">
        <v>21</v>
      </c>
    </row>
    <row r="1514" spans="1:75" ht="13.5" customHeight="1">
      <c r="A1514" s="1" t="s">
        <v>2861</v>
      </c>
      <c r="B1514" s="2" t="s">
        <v>2629</v>
      </c>
      <c r="C1514" s="2" t="s">
        <v>2862</v>
      </c>
      <c r="D1514" s="147" t="s">
        <v>2863</v>
      </c>
      <c r="E1514" s="148"/>
      <c r="F1514" s="2" t="s">
        <v>374</v>
      </c>
      <c r="G1514" s="55">
        <v>1</v>
      </c>
      <c r="H1514" s="56">
        <v>0</v>
      </c>
      <c r="I1514" s="55">
        <f t="shared" si="326"/>
        <v>0</v>
      </c>
      <c r="J1514" s="55">
        <v>0</v>
      </c>
      <c r="K1514" s="55">
        <f t="shared" si="327"/>
        <v>0</v>
      </c>
      <c r="L1514" s="57" t="s">
        <v>124</v>
      </c>
      <c r="Z1514" s="55">
        <f t="shared" si="328"/>
        <v>0</v>
      </c>
      <c r="AB1514" s="55">
        <f t="shared" si="329"/>
        <v>0</v>
      </c>
      <c r="AC1514" s="55">
        <f t="shared" si="330"/>
        <v>0</v>
      </c>
      <c r="AD1514" s="55">
        <f t="shared" si="331"/>
        <v>0</v>
      </c>
      <c r="AE1514" s="55">
        <f t="shared" si="332"/>
        <v>0</v>
      </c>
      <c r="AF1514" s="55">
        <f t="shared" si="333"/>
        <v>0</v>
      </c>
      <c r="AG1514" s="55">
        <f t="shared" si="334"/>
        <v>0</v>
      </c>
      <c r="AH1514" s="55">
        <f t="shared" si="335"/>
        <v>0</v>
      </c>
      <c r="AI1514" s="34" t="s">
        <v>2629</v>
      </c>
      <c r="AJ1514" s="55">
        <f t="shared" si="336"/>
        <v>0</v>
      </c>
      <c r="AK1514" s="55">
        <f t="shared" si="337"/>
        <v>0</v>
      </c>
      <c r="AL1514" s="55">
        <f t="shared" si="338"/>
        <v>0</v>
      </c>
      <c r="AN1514" s="55">
        <v>21</v>
      </c>
      <c r="AO1514" s="55">
        <f>H1514*0</f>
        <v>0</v>
      </c>
      <c r="AP1514" s="55">
        <f>H1514*(1-0)</f>
        <v>0</v>
      </c>
      <c r="AQ1514" s="58" t="s">
        <v>125</v>
      </c>
      <c r="AV1514" s="55">
        <f t="shared" si="339"/>
        <v>0</v>
      </c>
      <c r="AW1514" s="55">
        <f t="shared" si="340"/>
        <v>0</v>
      </c>
      <c r="AX1514" s="55">
        <f t="shared" si="341"/>
        <v>0</v>
      </c>
      <c r="AY1514" s="58" t="s">
        <v>2795</v>
      </c>
      <c r="AZ1514" s="58" t="s">
        <v>2633</v>
      </c>
      <c r="BA1514" s="34" t="s">
        <v>2634</v>
      </c>
      <c r="BC1514" s="55">
        <f t="shared" si="342"/>
        <v>0</v>
      </c>
      <c r="BD1514" s="55">
        <f t="shared" si="343"/>
        <v>0</v>
      </c>
      <c r="BE1514" s="55">
        <v>0</v>
      </c>
      <c r="BF1514" s="55">
        <f t="shared" si="344"/>
        <v>0</v>
      </c>
      <c r="BH1514" s="55">
        <f t="shared" si="345"/>
        <v>0</v>
      </c>
      <c r="BI1514" s="55">
        <f t="shared" si="346"/>
        <v>0</v>
      </c>
      <c r="BJ1514" s="55">
        <f t="shared" si="347"/>
        <v>0</v>
      </c>
      <c r="BK1514" s="55"/>
      <c r="BL1514" s="55"/>
      <c r="BW1514" s="55">
        <v>21</v>
      </c>
    </row>
    <row r="1515" spans="1:75" ht="27" customHeight="1">
      <c r="A1515" s="1" t="s">
        <v>2864</v>
      </c>
      <c r="B1515" s="2" t="s">
        <v>2629</v>
      </c>
      <c r="C1515" s="2" t="s">
        <v>2865</v>
      </c>
      <c r="D1515" s="147" t="s">
        <v>2866</v>
      </c>
      <c r="E1515" s="148"/>
      <c r="F1515" s="2" t="s">
        <v>174</v>
      </c>
      <c r="G1515" s="55">
        <v>92</v>
      </c>
      <c r="H1515" s="56">
        <v>0</v>
      </c>
      <c r="I1515" s="55">
        <f t="shared" si="326"/>
        <v>0</v>
      </c>
      <c r="J1515" s="55">
        <v>0</v>
      </c>
      <c r="K1515" s="55">
        <f t="shared" si="327"/>
        <v>0</v>
      </c>
      <c r="L1515" s="57" t="s">
        <v>124</v>
      </c>
      <c r="Z1515" s="55">
        <f t="shared" si="328"/>
        <v>0</v>
      </c>
      <c r="AB1515" s="55">
        <f t="shared" si="329"/>
        <v>0</v>
      </c>
      <c r="AC1515" s="55">
        <f t="shared" si="330"/>
        <v>0</v>
      </c>
      <c r="AD1515" s="55">
        <f t="shared" si="331"/>
        <v>0</v>
      </c>
      <c r="AE1515" s="55">
        <f t="shared" si="332"/>
        <v>0</v>
      </c>
      <c r="AF1515" s="55">
        <f t="shared" si="333"/>
        <v>0</v>
      </c>
      <c r="AG1515" s="55">
        <f t="shared" si="334"/>
        <v>0</v>
      </c>
      <c r="AH1515" s="55">
        <f t="shared" si="335"/>
        <v>0</v>
      </c>
      <c r="AI1515" s="34" t="s">
        <v>2629</v>
      </c>
      <c r="AJ1515" s="55">
        <f t="shared" si="336"/>
        <v>0</v>
      </c>
      <c r="AK1515" s="55">
        <f t="shared" si="337"/>
        <v>0</v>
      </c>
      <c r="AL1515" s="55">
        <f t="shared" si="338"/>
        <v>0</v>
      </c>
      <c r="AN1515" s="55">
        <v>21</v>
      </c>
      <c r="AO1515" s="55">
        <f>H1515*0</f>
        <v>0</v>
      </c>
      <c r="AP1515" s="55">
        <f>H1515*(1-0)</f>
        <v>0</v>
      </c>
      <c r="AQ1515" s="58" t="s">
        <v>125</v>
      </c>
      <c r="AV1515" s="55">
        <f t="shared" si="339"/>
        <v>0</v>
      </c>
      <c r="AW1515" s="55">
        <f t="shared" si="340"/>
        <v>0</v>
      </c>
      <c r="AX1515" s="55">
        <f t="shared" si="341"/>
        <v>0</v>
      </c>
      <c r="AY1515" s="58" t="s">
        <v>2795</v>
      </c>
      <c r="AZ1515" s="58" t="s">
        <v>2633</v>
      </c>
      <c r="BA1515" s="34" t="s">
        <v>2634</v>
      </c>
      <c r="BC1515" s="55">
        <f t="shared" si="342"/>
        <v>0</v>
      </c>
      <c r="BD1515" s="55">
        <f t="shared" si="343"/>
        <v>0</v>
      </c>
      <c r="BE1515" s="55">
        <v>0</v>
      </c>
      <c r="BF1515" s="55">
        <f t="shared" si="344"/>
        <v>0</v>
      </c>
      <c r="BH1515" s="55">
        <f t="shared" si="345"/>
        <v>0</v>
      </c>
      <c r="BI1515" s="55">
        <f t="shared" si="346"/>
        <v>0</v>
      </c>
      <c r="BJ1515" s="55">
        <f t="shared" si="347"/>
        <v>0</v>
      </c>
      <c r="BK1515" s="55"/>
      <c r="BL1515" s="55"/>
      <c r="BW1515" s="55">
        <v>21</v>
      </c>
    </row>
    <row r="1516" spans="1:75" ht="13.5" customHeight="1">
      <c r="A1516" s="61" t="s">
        <v>2867</v>
      </c>
      <c r="B1516" s="62" t="s">
        <v>2629</v>
      </c>
      <c r="C1516" s="62" t="s">
        <v>2868</v>
      </c>
      <c r="D1516" s="224" t="s">
        <v>2869</v>
      </c>
      <c r="E1516" s="225"/>
      <c r="F1516" s="62" t="s">
        <v>174</v>
      </c>
      <c r="G1516" s="63">
        <v>92</v>
      </c>
      <c r="H1516" s="64">
        <v>0</v>
      </c>
      <c r="I1516" s="63">
        <f t="shared" si="326"/>
        <v>0</v>
      </c>
      <c r="J1516" s="63">
        <v>0</v>
      </c>
      <c r="K1516" s="63">
        <f t="shared" si="327"/>
        <v>0</v>
      </c>
      <c r="L1516" s="65" t="s">
        <v>124</v>
      </c>
      <c r="Z1516" s="55">
        <f t="shared" si="328"/>
        <v>0</v>
      </c>
      <c r="AB1516" s="55">
        <f t="shared" si="329"/>
        <v>0</v>
      </c>
      <c r="AC1516" s="55">
        <f t="shared" si="330"/>
        <v>0</v>
      </c>
      <c r="AD1516" s="55">
        <f t="shared" si="331"/>
        <v>0</v>
      </c>
      <c r="AE1516" s="55">
        <f t="shared" si="332"/>
        <v>0</v>
      </c>
      <c r="AF1516" s="55">
        <f t="shared" si="333"/>
        <v>0</v>
      </c>
      <c r="AG1516" s="55">
        <f t="shared" si="334"/>
        <v>0</v>
      </c>
      <c r="AH1516" s="55">
        <f t="shared" si="335"/>
        <v>0</v>
      </c>
      <c r="AI1516" s="34" t="s">
        <v>2629</v>
      </c>
      <c r="AJ1516" s="63">
        <f t="shared" si="336"/>
        <v>0</v>
      </c>
      <c r="AK1516" s="63">
        <f t="shared" si="337"/>
        <v>0</v>
      </c>
      <c r="AL1516" s="63">
        <f t="shared" si="338"/>
        <v>0</v>
      </c>
      <c r="AN1516" s="55">
        <v>21</v>
      </c>
      <c r="AO1516" s="55">
        <f>H1516*1</f>
        <v>0</v>
      </c>
      <c r="AP1516" s="55">
        <f>H1516*(1-1)</f>
        <v>0</v>
      </c>
      <c r="AQ1516" s="66" t="s">
        <v>125</v>
      </c>
      <c r="AV1516" s="55">
        <f t="shared" si="339"/>
        <v>0</v>
      </c>
      <c r="AW1516" s="55">
        <f t="shared" si="340"/>
        <v>0</v>
      </c>
      <c r="AX1516" s="55">
        <f t="shared" si="341"/>
        <v>0</v>
      </c>
      <c r="AY1516" s="58" t="s">
        <v>2795</v>
      </c>
      <c r="AZ1516" s="58" t="s">
        <v>2633</v>
      </c>
      <c r="BA1516" s="34" t="s">
        <v>2634</v>
      </c>
      <c r="BC1516" s="55">
        <f t="shared" si="342"/>
        <v>0</v>
      </c>
      <c r="BD1516" s="55">
        <f t="shared" si="343"/>
        <v>0</v>
      </c>
      <c r="BE1516" s="55">
        <v>0</v>
      </c>
      <c r="BF1516" s="55">
        <f t="shared" si="344"/>
        <v>0</v>
      </c>
      <c r="BH1516" s="63">
        <f t="shared" si="345"/>
        <v>0</v>
      </c>
      <c r="BI1516" s="63">
        <f t="shared" si="346"/>
        <v>0</v>
      </c>
      <c r="BJ1516" s="63">
        <f t="shared" si="347"/>
        <v>0</v>
      </c>
      <c r="BK1516" s="63"/>
      <c r="BL1516" s="55"/>
      <c r="BW1516" s="55">
        <v>21</v>
      </c>
    </row>
    <row r="1517" spans="1:75" ht="27" customHeight="1">
      <c r="A1517" s="1" t="s">
        <v>2870</v>
      </c>
      <c r="B1517" s="2" t="s">
        <v>2629</v>
      </c>
      <c r="C1517" s="2" t="s">
        <v>2805</v>
      </c>
      <c r="D1517" s="147" t="s">
        <v>2871</v>
      </c>
      <c r="E1517" s="148"/>
      <c r="F1517" s="2" t="s">
        <v>174</v>
      </c>
      <c r="G1517" s="55">
        <v>55</v>
      </c>
      <c r="H1517" s="56">
        <v>0</v>
      </c>
      <c r="I1517" s="55">
        <f t="shared" si="326"/>
        <v>0</v>
      </c>
      <c r="J1517" s="55">
        <v>0</v>
      </c>
      <c r="K1517" s="55">
        <f t="shared" si="327"/>
        <v>0</v>
      </c>
      <c r="L1517" s="57" t="s">
        <v>124</v>
      </c>
      <c r="Z1517" s="55">
        <f t="shared" si="328"/>
        <v>0</v>
      </c>
      <c r="AB1517" s="55">
        <f t="shared" si="329"/>
        <v>0</v>
      </c>
      <c r="AC1517" s="55">
        <f t="shared" si="330"/>
        <v>0</v>
      </c>
      <c r="AD1517" s="55">
        <f t="shared" si="331"/>
        <v>0</v>
      </c>
      <c r="AE1517" s="55">
        <f t="shared" si="332"/>
        <v>0</v>
      </c>
      <c r="AF1517" s="55">
        <f t="shared" si="333"/>
        <v>0</v>
      </c>
      <c r="AG1517" s="55">
        <f t="shared" si="334"/>
        <v>0</v>
      </c>
      <c r="AH1517" s="55">
        <f t="shared" si="335"/>
        <v>0</v>
      </c>
      <c r="AI1517" s="34" t="s">
        <v>2629</v>
      </c>
      <c r="AJ1517" s="55">
        <f t="shared" si="336"/>
        <v>0</v>
      </c>
      <c r="AK1517" s="55">
        <f t="shared" si="337"/>
        <v>0</v>
      </c>
      <c r="AL1517" s="55">
        <f t="shared" si="338"/>
        <v>0</v>
      </c>
      <c r="AN1517" s="55">
        <v>21</v>
      </c>
      <c r="AO1517" s="55">
        <f>H1517*0</f>
        <v>0</v>
      </c>
      <c r="AP1517" s="55">
        <f>H1517*(1-0)</f>
        <v>0</v>
      </c>
      <c r="AQ1517" s="58" t="s">
        <v>125</v>
      </c>
      <c r="AV1517" s="55">
        <f t="shared" si="339"/>
        <v>0</v>
      </c>
      <c r="AW1517" s="55">
        <f t="shared" si="340"/>
        <v>0</v>
      </c>
      <c r="AX1517" s="55">
        <f t="shared" si="341"/>
        <v>0</v>
      </c>
      <c r="AY1517" s="58" t="s">
        <v>2795</v>
      </c>
      <c r="AZ1517" s="58" t="s">
        <v>2633</v>
      </c>
      <c r="BA1517" s="34" t="s">
        <v>2634</v>
      </c>
      <c r="BC1517" s="55">
        <f t="shared" si="342"/>
        <v>0</v>
      </c>
      <c r="BD1517" s="55">
        <f t="shared" si="343"/>
        <v>0</v>
      </c>
      <c r="BE1517" s="55">
        <v>0</v>
      </c>
      <c r="BF1517" s="55">
        <f t="shared" si="344"/>
        <v>0</v>
      </c>
      <c r="BH1517" s="55">
        <f t="shared" si="345"/>
        <v>0</v>
      </c>
      <c r="BI1517" s="55">
        <f t="shared" si="346"/>
        <v>0</v>
      </c>
      <c r="BJ1517" s="55">
        <f t="shared" si="347"/>
        <v>0</v>
      </c>
      <c r="BK1517" s="55"/>
      <c r="BL1517" s="55"/>
      <c r="BW1517" s="55">
        <v>21</v>
      </c>
    </row>
    <row r="1518" spans="1:12" ht="13.5" customHeight="1">
      <c r="A1518" s="59"/>
      <c r="D1518" s="218" t="s">
        <v>2872</v>
      </c>
      <c r="E1518" s="219"/>
      <c r="F1518" s="219"/>
      <c r="G1518" s="219"/>
      <c r="H1518" s="220"/>
      <c r="I1518" s="219"/>
      <c r="J1518" s="219"/>
      <c r="K1518" s="219"/>
      <c r="L1518" s="221"/>
    </row>
    <row r="1519" spans="1:75" ht="13.5" customHeight="1">
      <c r="A1519" s="61" t="s">
        <v>2873</v>
      </c>
      <c r="B1519" s="62" t="s">
        <v>2629</v>
      </c>
      <c r="C1519" s="62" t="s">
        <v>2808</v>
      </c>
      <c r="D1519" s="224" t="s">
        <v>2809</v>
      </c>
      <c r="E1519" s="225"/>
      <c r="F1519" s="62" t="s">
        <v>174</v>
      </c>
      <c r="G1519" s="63">
        <v>55</v>
      </c>
      <c r="H1519" s="64">
        <v>0</v>
      </c>
      <c r="I1519" s="63">
        <f>G1519*H1519</f>
        <v>0</v>
      </c>
      <c r="J1519" s="63">
        <v>0</v>
      </c>
      <c r="K1519" s="63">
        <f>G1519*J1519</f>
        <v>0</v>
      </c>
      <c r="L1519" s="65" t="s">
        <v>124</v>
      </c>
      <c r="Z1519" s="55">
        <f>IF(AQ1519="5",BJ1519,0)</f>
        <v>0</v>
      </c>
      <c r="AB1519" s="55">
        <f>IF(AQ1519="1",BH1519,0)</f>
        <v>0</v>
      </c>
      <c r="AC1519" s="55">
        <f>IF(AQ1519="1",BI1519,0)</f>
        <v>0</v>
      </c>
      <c r="AD1519" s="55">
        <f>IF(AQ1519="7",BH1519,0)</f>
        <v>0</v>
      </c>
      <c r="AE1519" s="55">
        <f>IF(AQ1519="7",BI1519,0)</f>
        <v>0</v>
      </c>
      <c r="AF1519" s="55">
        <f>IF(AQ1519="2",BH1519,0)</f>
        <v>0</v>
      </c>
      <c r="AG1519" s="55">
        <f>IF(AQ1519="2",BI1519,0)</f>
        <v>0</v>
      </c>
      <c r="AH1519" s="55">
        <f>IF(AQ1519="0",BJ1519,0)</f>
        <v>0</v>
      </c>
      <c r="AI1519" s="34" t="s">
        <v>2629</v>
      </c>
      <c r="AJ1519" s="63">
        <f>IF(AN1519=0,I1519,0)</f>
        <v>0</v>
      </c>
      <c r="AK1519" s="63">
        <f>IF(AN1519=12,I1519,0)</f>
        <v>0</v>
      </c>
      <c r="AL1519" s="63">
        <f>IF(AN1519=21,I1519,0)</f>
        <v>0</v>
      </c>
      <c r="AN1519" s="55">
        <v>21</v>
      </c>
      <c r="AO1519" s="55">
        <f>H1519*1</f>
        <v>0</v>
      </c>
      <c r="AP1519" s="55">
        <f>H1519*(1-1)</f>
        <v>0</v>
      </c>
      <c r="AQ1519" s="66" t="s">
        <v>125</v>
      </c>
      <c r="AV1519" s="55">
        <f>AW1519+AX1519</f>
        <v>0</v>
      </c>
      <c r="AW1519" s="55">
        <f>G1519*AO1519</f>
        <v>0</v>
      </c>
      <c r="AX1519" s="55">
        <f>G1519*AP1519</f>
        <v>0</v>
      </c>
      <c r="AY1519" s="58" t="s">
        <v>2795</v>
      </c>
      <c r="AZ1519" s="58" t="s">
        <v>2633</v>
      </c>
      <c r="BA1519" s="34" t="s">
        <v>2634</v>
      </c>
      <c r="BC1519" s="55">
        <f>AW1519+AX1519</f>
        <v>0</v>
      </c>
      <c r="BD1519" s="55">
        <f>H1519/(100-BE1519)*100</f>
        <v>0</v>
      </c>
      <c r="BE1519" s="55">
        <v>0</v>
      </c>
      <c r="BF1519" s="55">
        <f>K1519</f>
        <v>0</v>
      </c>
      <c r="BH1519" s="63">
        <f>G1519*AO1519</f>
        <v>0</v>
      </c>
      <c r="BI1519" s="63">
        <f>G1519*AP1519</f>
        <v>0</v>
      </c>
      <c r="BJ1519" s="63">
        <f>G1519*H1519</f>
        <v>0</v>
      </c>
      <c r="BK1519" s="63"/>
      <c r="BL1519" s="55"/>
      <c r="BW1519" s="55">
        <v>21</v>
      </c>
    </row>
    <row r="1520" spans="1:75" ht="27" customHeight="1">
      <c r="A1520" s="1" t="s">
        <v>1062</v>
      </c>
      <c r="B1520" s="2" t="s">
        <v>2629</v>
      </c>
      <c r="C1520" s="2" t="s">
        <v>2805</v>
      </c>
      <c r="D1520" s="147" t="s">
        <v>2806</v>
      </c>
      <c r="E1520" s="148"/>
      <c r="F1520" s="2" t="s">
        <v>174</v>
      </c>
      <c r="G1520" s="55">
        <v>55</v>
      </c>
      <c r="H1520" s="56">
        <v>0</v>
      </c>
      <c r="I1520" s="55">
        <f>G1520*H1520</f>
        <v>0</v>
      </c>
      <c r="J1520" s="55">
        <v>0</v>
      </c>
      <c r="K1520" s="55">
        <f>G1520*J1520</f>
        <v>0</v>
      </c>
      <c r="L1520" s="57" t="s">
        <v>124</v>
      </c>
      <c r="Z1520" s="55">
        <f>IF(AQ1520="5",BJ1520,0)</f>
        <v>0</v>
      </c>
      <c r="AB1520" s="55">
        <f>IF(AQ1520="1",BH1520,0)</f>
        <v>0</v>
      </c>
      <c r="AC1520" s="55">
        <f>IF(AQ1520="1",BI1520,0)</f>
        <v>0</v>
      </c>
      <c r="AD1520" s="55">
        <f>IF(AQ1520="7",BH1520,0)</f>
        <v>0</v>
      </c>
      <c r="AE1520" s="55">
        <f>IF(AQ1520="7",BI1520,0)</f>
        <v>0</v>
      </c>
      <c r="AF1520" s="55">
        <f>IF(AQ1520="2",BH1520,0)</f>
        <v>0</v>
      </c>
      <c r="AG1520" s="55">
        <f>IF(AQ1520="2",BI1520,0)</f>
        <v>0</v>
      </c>
      <c r="AH1520" s="55">
        <f>IF(AQ1520="0",BJ1520,0)</f>
        <v>0</v>
      </c>
      <c r="AI1520" s="34" t="s">
        <v>2629</v>
      </c>
      <c r="AJ1520" s="55">
        <f>IF(AN1520=0,I1520,0)</f>
        <v>0</v>
      </c>
      <c r="AK1520" s="55">
        <f>IF(AN1520=12,I1520,0)</f>
        <v>0</v>
      </c>
      <c r="AL1520" s="55">
        <f>IF(AN1520=21,I1520,0)</f>
        <v>0</v>
      </c>
      <c r="AN1520" s="55">
        <v>21</v>
      </c>
      <c r="AO1520" s="55">
        <f>H1520*0</f>
        <v>0</v>
      </c>
      <c r="AP1520" s="55">
        <f>H1520*(1-0)</f>
        <v>0</v>
      </c>
      <c r="AQ1520" s="58" t="s">
        <v>125</v>
      </c>
      <c r="AV1520" s="55">
        <f>AW1520+AX1520</f>
        <v>0</v>
      </c>
      <c r="AW1520" s="55">
        <f>G1520*AO1520</f>
        <v>0</v>
      </c>
      <c r="AX1520" s="55">
        <f>G1520*AP1520</f>
        <v>0</v>
      </c>
      <c r="AY1520" s="58" t="s">
        <v>2795</v>
      </c>
      <c r="AZ1520" s="58" t="s">
        <v>2633</v>
      </c>
      <c r="BA1520" s="34" t="s">
        <v>2634</v>
      </c>
      <c r="BC1520" s="55">
        <f>AW1520+AX1520</f>
        <v>0</v>
      </c>
      <c r="BD1520" s="55">
        <f>H1520/(100-BE1520)*100</f>
        <v>0</v>
      </c>
      <c r="BE1520" s="55">
        <v>0</v>
      </c>
      <c r="BF1520" s="55">
        <f>K1520</f>
        <v>0</v>
      </c>
      <c r="BH1520" s="55">
        <f>G1520*AO1520</f>
        <v>0</v>
      </c>
      <c r="BI1520" s="55">
        <f>G1520*AP1520</f>
        <v>0</v>
      </c>
      <c r="BJ1520" s="55">
        <f>G1520*H1520</f>
        <v>0</v>
      </c>
      <c r="BK1520" s="55"/>
      <c r="BL1520" s="55"/>
      <c r="BW1520" s="55">
        <v>21</v>
      </c>
    </row>
    <row r="1521" spans="1:75" ht="27" customHeight="1">
      <c r="A1521" s="1" t="s">
        <v>2874</v>
      </c>
      <c r="B1521" s="2" t="s">
        <v>2629</v>
      </c>
      <c r="C1521" s="2" t="s">
        <v>2875</v>
      </c>
      <c r="D1521" s="147" t="s">
        <v>2876</v>
      </c>
      <c r="E1521" s="148"/>
      <c r="F1521" s="2" t="s">
        <v>174</v>
      </c>
      <c r="G1521" s="55">
        <v>60</v>
      </c>
      <c r="H1521" s="56">
        <v>0</v>
      </c>
      <c r="I1521" s="55">
        <f>G1521*H1521</f>
        <v>0</v>
      </c>
      <c r="J1521" s="55">
        <v>0</v>
      </c>
      <c r="K1521" s="55">
        <f>G1521*J1521</f>
        <v>0</v>
      </c>
      <c r="L1521" s="57" t="s">
        <v>124</v>
      </c>
      <c r="Z1521" s="55">
        <f>IF(AQ1521="5",BJ1521,0)</f>
        <v>0</v>
      </c>
      <c r="AB1521" s="55">
        <f>IF(AQ1521="1",BH1521,0)</f>
        <v>0</v>
      </c>
      <c r="AC1521" s="55">
        <f>IF(AQ1521="1",BI1521,0)</f>
        <v>0</v>
      </c>
      <c r="AD1521" s="55">
        <f>IF(AQ1521="7",BH1521,0)</f>
        <v>0</v>
      </c>
      <c r="AE1521" s="55">
        <f>IF(AQ1521="7",BI1521,0)</f>
        <v>0</v>
      </c>
      <c r="AF1521" s="55">
        <f>IF(AQ1521="2",BH1521,0)</f>
        <v>0</v>
      </c>
      <c r="AG1521" s="55">
        <f>IF(AQ1521="2",BI1521,0)</f>
        <v>0</v>
      </c>
      <c r="AH1521" s="55">
        <f>IF(AQ1521="0",BJ1521,0)</f>
        <v>0</v>
      </c>
      <c r="AI1521" s="34" t="s">
        <v>2629</v>
      </c>
      <c r="AJ1521" s="55">
        <f>IF(AN1521=0,I1521,0)</f>
        <v>0</v>
      </c>
      <c r="AK1521" s="55">
        <f>IF(AN1521=12,I1521,0)</f>
        <v>0</v>
      </c>
      <c r="AL1521" s="55">
        <f>IF(AN1521=21,I1521,0)</f>
        <v>0</v>
      </c>
      <c r="AN1521" s="55">
        <v>21</v>
      </c>
      <c r="AO1521" s="55">
        <f>H1521*0</f>
        <v>0</v>
      </c>
      <c r="AP1521" s="55">
        <f>H1521*(1-0)</f>
        <v>0</v>
      </c>
      <c r="AQ1521" s="58" t="s">
        <v>125</v>
      </c>
      <c r="AV1521" s="55">
        <f>AW1521+AX1521</f>
        <v>0</v>
      </c>
      <c r="AW1521" s="55">
        <f>G1521*AO1521</f>
        <v>0</v>
      </c>
      <c r="AX1521" s="55">
        <f>G1521*AP1521</f>
        <v>0</v>
      </c>
      <c r="AY1521" s="58" t="s">
        <v>2795</v>
      </c>
      <c r="AZ1521" s="58" t="s">
        <v>2633</v>
      </c>
      <c r="BA1521" s="34" t="s">
        <v>2634</v>
      </c>
      <c r="BC1521" s="55">
        <f>AW1521+AX1521</f>
        <v>0</v>
      </c>
      <c r="BD1521" s="55">
        <f>H1521/(100-BE1521)*100</f>
        <v>0</v>
      </c>
      <c r="BE1521" s="55">
        <v>0</v>
      </c>
      <c r="BF1521" s="55">
        <f>K1521</f>
        <v>0</v>
      </c>
      <c r="BH1521" s="55">
        <f>G1521*AO1521</f>
        <v>0</v>
      </c>
      <c r="BI1521" s="55">
        <f>G1521*AP1521</f>
        <v>0</v>
      </c>
      <c r="BJ1521" s="55">
        <f>G1521*H1521</f>
        <v>0</v>
      </c>
      <c r="BK1521" s="55"/>
      <c r="BL1521" s="55"/>
      <c r="BW1521" s="55">
        <v>21</v>
      </c>
    </row>
    <row r="1522" spans="1:75" ht="13.5" customHeight="1">
      <c r="A1522" s="61" t="s">
        <v>1091</v>
      </c>
      <c r="B1522" s="62" t="s">
        <v>2629</v>
      </c>
      <c r="C1522" s="62" t="s">
        <v>2877</v>
      </c>
      <c r="D1522" s="224" t="s">
        <v>2878</v>
      </c>
      <c r="E1522" s="225"/>
      <c r="F1522" s="62" t="s">
        <v>2815</v>
      </c>
      <c r="G1522" s="63">
        <v>60</v>
      </c>
      <c r="H1522" s="64">
        <v>0</v>
      </c>
      <c r="I1522" s="63">
        <f>G1522*H1522</f>
        <v>0</v>
      </c>
      <c r="J1522" s="63">
        <v>0</v>
      </c>
      <c r="K1522" s="63">
        <f>G1522*J1522</f>
        <v>0</v>
      </c>
      <c r="L1522" s="65" t="s">
        <v>124</v>
      </c>
      <c r="Z1522" s="55">
        <f>IF(AQ1522="5",BJ1522,0)</f>
        <v>0</v>
      </c>
      <c r="AB1522" s="55">
        <f>IF(AQ1522="1",BH1522,0)</f>
        <v>0</v>
      </c>
      <c r="AC1522" s="55">
        <f>IF(AQ1522="1",BI1522,0)</f>
        <v>0</v>
      </c>
      <c r="AD1522" s="55">
        <f>IF(AQ1522="7",BH1522,0)</f>
        <v>0</v>
      </c>
      <c r="AE1522" s="55">
        <f>IF(AQ1522="7",BI1522,0)</f>
        <v>0</v>
      </c>
      <c r="AF1522" s="55">
        <f>IF(AQ1522="2",BH1522,0)</f>
        <v>0</v>
      </c>
      <c r="AG1522" s="55">
        <f>IF(AQ1522="2",BI1522,0)</f>
        <v>0</v>
      </c>
      <c r="AH1522" s="55">
        <f>IF(AQ1522="0",BJ1522,0)</f>
        <v>0</v>
      </c>
      <c r="AI1522" s="34" t="s">
        <v>2629</v>
      </c>
      <c r="AJ1522" s="63">
        <f>IF(AN1522=0,I1522,0)</f>
        <v>0</v>
      </c>
      <c r="AK1522" s="63">
        <f>IF(AN1522=12,I1522,0)</f>
        <v>0</v>
      </c>
      <c r="AL1522" s="63">
        <f>IF(AN1522=21,I1522,0)</f>
        <v>0</v>
      </c>
      <c r="AN1522" s="55">
        <v>21</v>
      </c>
      <c r="AO1522" s="55">
        <f>H1522*1</f>
        <v>0</v>
      </c>
      <c r="AP1522" s="55">
        <f>H1522*(1-1)</f>
        <v>0</v>
      </c>
      <c r="AQ1522" s="66" t="s">
        <v>125</v>
      </c>
      <c r="AV1522" s="55">
        <f>AW1522+AX1522</f>
        <v>0</v>
      </c>
      <c r="AW1522" s="55">
        <f>G1522*AO1522</f>
        <v>0</v>
      </c>
      <c r="AX1522" s="55">
        <f>G1522*AP1522</f>
        <v>0</v>
      </c>
      <c r="AY1522" s="58" t="s">
        <v>2795</v>
      </c>
      <c r="AZ1522" s="58" t="s">
        <v>2633</v>
      </c>
      <c r="BA1522" s="34" t="s">
        <v>2634</v>
      </c>
      <c r="BC1522" s="55">
        <f>AW1522+AX1522</f>
        <v>0</v>
      </c>
      <c r="BD1522" s="55">
        <f>H1522/(100-BE1522)*100</f>
        <v>0</v>
      </c>
      <c r="BE1522" s="55">
        <v>0</v>
      </c>
      <c r="BF1522" s="55">
        <f>K1522</f>
        <v>0</v>
      </c>
      <c r="BH1522" s="63">
        <f>G1522*AO1522</f>
        <v>0</v>
      </c>
      <c r="BI1522" s="63">
        <f>G1522*AP1522</f>
        <v>0</v>
      </c>
      <c r="BJ1522" s="63">
        <f>G1522*H1522</f>
        <v>0</v>
      </c>
      <c r="BK1522" s="63"/>
      <c r="BL1522" s="55"/>
      <c r="BW1522" s="55">
        <v>21</v>
      </c>
    </row>
    <row r="1523" spans="1:75" ht="27" customHeight="1">
      <c r="A1523" s="1" t="s">
        <v>2879</v>
      </c>
      <c r="B1523" s="2" t="s">
        <v>2629</v>
      </c>
      <c r="C1523" s="2" t="s">
        <v>2880</v>
      </c>
      <c r="D1523" s="147" t="s">
        <v>2881</v>
      </c>
      <c r="E1523" s="148"/>
      <c r="F1523" s="2" t="s">
        <v>374</v>
      </c>
      <c r="G1523" s="55">
        <v>1</v>
      </c>
      <c r="H1523" s="56">
        <v>0</v>
      </c>
      <c r="I1523" s="55">
        <f>G1523*H1523</f>
        <v>0</v>
      </c>
      <c r="J1523" s="55">
        <v>0</v>
      </c>
      <c r="K1523" s="55">
        <f>G1523*J1523</f>
        <v>0</v>
      </c>
      <c r="L1523" s="57" t="s">
        <v>124</v>
      </c>
      <c r="Z1523" s="55">
        <f>IF(AQ1523="5",BJ1523,0)</f>
        <v>0</v>
      </c>
      <c r="AB1523" s="55">
        <f>IF(AQ1523="1",BH1523,0)</f>
        <v>0</v>
      </c>
      <c r="AC1523" s="55">
        <f>IF(AQ1523="1",BI1523,0)</f>
        <v>0</v>
      </c>
      <c r="AD1523" s="55">
        <f>IF(AQ1523="7",BH1523,0)</f>
        <v>0</v>
      </c>
      <c r="AE1523" s="55">
        <f>IF(AQ1523="7",BI1523,0)</f>
        <v>0</v>
      </c>
      <c r="AF1523" s="55">
        <f>IF(AQ1523="2",BH1523,0)</f>
        <v>0</v>
      </c>
      <c r="AG1523" s="55">
        <f>IF(AQ1523="2",BI1523,0)</f>
        <v>0</v>
      </c>
      <c r="AH1523" s="55">
        <f>IF(AQ1523="0",BJ1523,0)</f>
        <v>0</v>
      </c>
      <c r="AI1523" s="34" t="s">
        <v>2629</v>
      </c>
      <c r="AJ1523" s="55">
        <f>IF(AN1523=0,I1523,0)</f>
        <v>0</v>
      </c>
      <c r="AK1523" s="55">
        <f>IF(AN1523=12,I1523,0)</f>
        <v>0</v>
      </c>
      <c r="AL1523" s="55">
        <f>IF(AN1523=21,I1523,0)</f>
        <v>0</v>
      </c>
      <c r="AN1523" s="55">
        <v>21</v>
      </c>
      <c r="AO1523" s="55">
        <f>H1523*0</f>
        <v>0</v>
      </c>
      <c r="AP1523" s="55">
        <f>H1523*(1-0)</f>
        <v>0</v>
      </c>
      <c r="AQ1523" s="58" t="s">
        <v>125</v>
      </c>
      <c r="AV1523" s="55">
        <f>AW1523+AX1523</f>
        <v>0</v>
      </c>
      <c r="AW1523" s="55">
        <f>G1523*AO1523</f>
        <v>0</v>
      </c>
      <c r="AX1523" s="55">
        <f>G1523*AP1523</f>
        <v>0</v>
      </c>
      <c r="AY1523" s="58" t="s">
        <v>2795</v>
      </c>
      <c r="AZ1523" s="58" t="s">
        <v>2633</v>
      </c>
      <c r="BA1523" s="34" t="s">
        <v>2634</v>
      </c>
      <c r="BC1523" s="55">
        <f>AW1523+AX1523</f>
        <v>0</v>
      </c>
      <c r="BD1523" s="55">
        <f>H1523/(100-BE1523)*100</f>
        <v>0</v>
      </c>
      <c r="BE1523" s="55">
        <v>0</v>
      </c>
      <c r="BF1523" s="55">
        <f>K1523</f>
        <v>0</v>
      </c>
      <c r="BH1523" s="55">
        <f>G1523*AO1523</f>
        <v>0</v>
      </c>
      <c r="BI1523" s="55">
        <f>G1523*AP1523</f>
        <v>0</v>
      </c>
      <c r="BJ1523" s="55">
        <f>G1523*H1523</f>
        <v>0</v>
      </c>
      <c r="BK1523" s="55"/>
      <c r="BL1523" s="55"/>
      <c r="BW1523" s="55">
        <v>21</v>
      </c>
    </row>
    <row r="1524" spans="1:12" ht="13.5" customHeight="1">
      <c r="A1524" s="59"/>
      <c r="D1524" s="218" t="s">
        <v>2882</v>
      </c>
      <c r="E1524" s="219"/>
      <c r="F1524" s="219"/>
      <c r="G1524" s="219"/>
      <c r="H1524" s="220"/>
      <c r="I1524" s="219"/>
      <c r="J1524" s="219"/>
      <c r="K1524" s="219"/>
      <c r="L1524" s="221"/>
    </row>
    <row r="1525" spans="1:75" ht="27" customHeight="1">
      <c r="A1525" s="1" t="s">
        <v>2883</v>
      </c>
      <c r="B1525" s="2" t="s">
        <v>2629</v>
      </c>
      <c r="C1525" s="2" t="s">
        <v>2884</v>
      </c>
      <c r="D1525" s="147" t="s">
        <v>2885</v>
      </c>
      <c r="E1525" s="148"/>
      <c r="F1525" s="2" t="s">
        <v>374</v>
      </c>
      <c r="G1525" s="55">
        <v>5</v>
      </c>
      <c r="H1525" s="56">
        <v>0</v>
      </c>
      <c r="I1525" s="55">
        <f>G1525*H1525</f>
        <v>0</v>
      </c>
      <c r="J1525" s="55">
        <v>0</v>
      </c>
      <c r="K1525" s="55">
        <f>G1525*J1525</f>
        <v>0</v>
      </c>
      <c r="L1525" s="57" t="s">
        <v>124</v>
      </c>
      <c r="Z1525" s="55">
        <f>IF(AQ1525="5",BJ1525,0)</f>
        <v>0</v>
      </c>
      <c r="AB1525" s="55">
        <f>IF(AQ1525="1",BH1525,0)</f>
        <v>0</v>
      </c>
      <c r="AC1525" s="55">
        <f>IF(AQ1525="1",BI1525,0)</f>
        <v>0</v>
      </c>
      <c r="AD1525" s="55">
        <f>IF(AQ1525="7",BH1525,0)</f>
        <v>0</v>
      </c>
      <c r="AE1525" s="55">
        <f>IF(AQ1525="7",BI1525,0)</f>
        <v>0</v>
      </c>
      <c r="AF1525" s="55">
        <f>IF(AQ1525="2",BH1525,0)</f>
        <v>0</v>
      </c>
      <c r="AG1525" s="55">
        <f>IF(AQ1525="2",BI1525,0)</f>
        <v>0</v>
      </c>
      <c r="AH1525" s="55">
        <f>IF(AQ1525="0",BJ1525,0)</f>
        <v>0</v>
      </c>
      <c r="AI1525" s="34" t="s">
        <v>2629</v>
      </c>
      <c r="AJ1525" s="55">
        <f>IF(AN1525=0,I1525,0)</f>
        <v>0</v>
      </c>
      <c r="AK1525" s="55">
        <f>IF(AN1525=12,I1525,0)</f>
        <v>0</v>
      </c>
      <c r="AL1525" s="55">
        <f>IF(AN1525=21,I1525,0)</f>
        <v>0</v>
      </c>
      <c r="AN1525" s="55">
        <v>21</v>
      </c>
      <c r="AO1525" s="55">
        <f>H1525*0</f>
        <v>0</v>
      </c>
      <c r="AP1525" s="55">
        <f>H1525*(1-0)</f>
        <v>0</v>
      </c>
      <c r="AQ1525" s="58" t="s">
        <v>125</v>
      </c>
      <c r="AV1525" s="55">
        <f>AW1525+AX1525</f>
        <v>0</v>
      </c>
      <c r="AW1525" s="55">
        <f>G1525*AO1525</f>
        <v>0</v>
      </c>
      <c r="AX1525" s="55">
        <f>G1525*AP1525</f>
        <v>0</v>
      </c>
      <c r="AY1525" s="58" t="s">
        <v>2795</v>
      </c>
      <c r="AZ1525" s="58" t="s">
        <v>2633</v>
      </c>
      <c r="BA1525" s="34" t="s">
        <v>2634</v>
      </c>
      <c r="BC1525" s="55">
        <f>AW1525+AX1525</f>
        <v>0</v>
      </c>
      <c r="BD1525" s="55">
        <f>H1525/(100-BE1525)*100</f>
        <v>0</v>
      </c>
      <c r="BE1525" s="55">
        <v>0</v>
      </c>
      <c r="BF1525" s="55">
        <f>K1525</f>
        <v>0</v>
      </c>
      <c r="BH1525" s="55">
        <f>G1525*AO1525</f>
        <v>0</v>
      </c>
      <c r="BI1525" s="55">
        <f>G1525*AP1525</f>
        <v>0</v>
      </c>
      <c r="BJ1525" s="55">
        <f>G1525*H1525</f>
        <v>0</v>
      </c>
      <c r="BK1525" s="55"/>
      <c r="BL1525" s="55"/>
      <c r="BW1525" s="55">
        <v>21</v>
      </c>
    </row>
    <row r="1526" spans="1:12" ht="13.5" customHeight="1">
      <c r="A1526" s="59"/>
      <c r="D1526" s="218" t="s">
        <v>2886</v>
      </c>
      <c r="E1526" s="219"/>
      <c r="F1526" s="219"/>
      <c r="G1526" s="219"/>
      <c r="H1526" s="220"/>
      <c r="I1526" s="219"/>
      <c r="J1526" s="219"/>
      <c r="K1526" s="219"/>
      <c r="L1526" s="221"/>
    </row>
    <row r="1527" spans="1:75" ht="13.5" customHeight="1">
      <c r="A1527" s="1" t="s">
        <v>2887</v>
      </c>
      <c r="B1527" s="2" t="s">
        <v>2629</v>
      </c>
      <c r="C1527" s="2" t="s">
        <v>2862</v>
      </c>
      <c r="D1527" s="147" t="s">
        <v>2863</v>
      </c>
      <c r="E1527" s="148"/>
      <c r="F1527" s="2" t="s">
        <v>374</v>
      </c>
      <c r="G1527" s="55">
        <v>1</v>
      </c>
      <c r="H1527" s="56">
        <v>0</v>
      </c>
      <c r="I1527" s="55">
        <f>G1527*H1527</f>
        <v>0</v>
      </c>
      <c r="J1527" s="55">
        <v>0</v>
      </c>
      <c r="K1527" s="55">
        <f>G1527*J1527</f>
        <v>0</v>
      </c>
      <c r="L1527" s="57" t="s">
        <v>124</v>
      </c>
      <c r="Z1527" s="55">
        <f>IF(AQ1527="5",BJ1527,0)</f>
        <v>0</v>
      </c>
      <c r="AB1527" s="55">
        <f>IF(AQ1527="1",BH1527,0)</f>
        <v>0</v>
      </c>
      <c r="AC1527" s="55">
        <f>IF(AQ1527="1",BI1527,0)</f>
        <v>0</v>
      </c>
      <c r="AD1527" s="55">
        <f>IF(AQ1527="7",BH1527,0)</f>
        <v>0</v>
      </c>
      <c r="AE1527" s="55">
        <f>IF(AQ1527="7",BI1527,0)</f>
        <v>0</v>
      </c>
      <c r="AF1527" s="55">
        <f>IF(AQ1527="2",BH1527,0)</f>
        <v>0</v>
      </c>
      <c r="AG1527" s="55">
        <f>IF(AQ1527="2",BI1527,0)</f>
        <v>0</v>
      </c>
      <c r="AH1527" s="55">
        <f>IF(AQ1527="0",BJ1527,0)</f>
        <v>0</v>
      </c>
      <c r="AI1527" s="34" t="s">
        <v>2629</v>
      </c>
      <c r="AJ1527" s="55">
        <f>IF(AN1527=0,I1527,0)</f>
        <v>0</v>
      </c>
      <c r="AK1527" s="55">
        <f>IF(AN1527=12,I1527,0)</f>
        <v>0</v>
      </c>
      <c r="AL1527" s="55">
        <f>IF(AN1527=21,I1527,0)</f>
        <v>0</v>
      </c>
      <c r="AN1527" s="55">
        <v>21</v>
      </c>
      <c r="AO1527" s="55">
        <f>H1527*0</f>
        <v>0</v>
      </c>
      <c r="AP1527" s="55">
        <f>H1527*(1-0)</f>
        <v>0</v>
      </c>
      <c r="AQ1527" s="58" t="s">
        <v>125</v>
      </c>
      <c r="AV1527" s="55">
        <f>AW1527+AX1527</f>
        <v>0</v>
      </c>
      <c r="AW1527" s="55">
        <f>G1527*AO1527</f>
        <v>0</v>
      </c>
      <c r="AX1527" s="55">
        <f>G1527*AP1527</f>
        <v>0</v>
      </c>
      <c r="AY1527" s="58" t="s">
        <v>2795</v>
      </c>
      <c r="AZ1527" s="58" t="s">
        <v>2633</v>
      </c>
      <c r="BA1527" s="34" t="s">
        <v>2634</v>
      </c>
      <c r="BC1527" s="55">
        <f>AW1527+AX1527</f>
        <v>0</v>
      </c>
      <c r="BD1527" s="55">
        <f>H1527/(100-BE1527)*100</f>
        <v>0</v>
      </c>
      <c r="BE1527" s="55">
        <v>0</v>
      </c>
      <c r="BF1527" s="55">
        <f>K1527</f>
        <v>0</v>
      </c>
      <c r="BH1527" s="55">
        <f>G1527*AO1527</f>
        <v>0</v>
      </c>
      <c r="BI1527" s="55">
        <f>G1527*AP1527</f>
        <v>0</v>
      </c>
      <c r="BJ1527" s="55">
        <f>G1527*H1527</f>
        <v>0</v>
      </c>
      <c r="BK1527" s="55"/>
      <c r="BL1527" s="55"/>
      <c r="BW1527" s="55">
        <v>21</v>
      </c>
    </row>
    <row r="1528" spans="1:12" ht="13.5" customHeight="1">
      <c r="A1528" s="59"/>
      <c r="D1528" s="218" t="s">
        <v>2886</v>
      </c>
      <c r="E1528" s="219"/>
      <c r="F1528" s="219"/>
      <c r="G1528" s="219"/>
      <c r="H1528" s="220"/>
      <c r="I1528" s="219"/>
      <c r="J1528" s="219"/>
      <c r="K1528" s="219"/>
      <c r="L1528" s="221"/>
    </row>
    <row r="1529" spans="1:75" ht="27" customHeight="1">
      <c r="A1529" s="1" t="s">
        <v>2888</v>
      </c>
      <c r="B1529" s="2" t="s">
        <v>2629</v>
      </c>
      <c r="C1529" s="2" t="s">
        <v>2889</v>
      </c>
      <c r="D1529" s="147" t="s">
        <v>2890</v>
      </c>
      <c r="E1529" s="148"/>
      <c r="F1529" s="2" t="s">
        <v>174</v>
      </c>
      <c r="G1529" s="55">
        <v>0</v>
      </c>
      <c r="H1529" s="56">
        <v>0</v>
      </c>
      <c r="I1529" s="55">
        <f>G1529*H1529</f>
        <v>0</v>
      </c>
      <c r="J1529" s="55">
        <v>0</v>
      </c>
      <c r="K1529" s="55">
        <f>G1529*J1529</f>
        <v>0</v>
      </c>
      <c r="L1529" s="57" t="s">
        <v>124</v>
      </c>
      <c r="Z1529" s="55">
        <f>IF(AQ1529="5",BJ1529,0)</f>
        <v>0</v>
      </c>
      <c r="AB1529" s="55">
        <f>IF(AQ1529="1",BH1529,0)</f>
        <v>0</v>
      </c>
      <c r="AC1529" s="55">
        <f>IF(AQ1529="1",BI1529,0)</f>
        <v>0</v>
      </c>
      <c r="AD1529" s="55">
        <f>IF(AQ1529="7",BH1529,0)</f>
        <v>0</v>
      </c>
      <c r="AE1529" s="55">
        <f>IF(AQ1529="7",BI1529,0)</f>
        <v>0</v>
      </c>
      <c r="AF1529" s="55">
        <f>IF(AQ1529="2",BH1529,0)</f>
        <v>0</v>
      </c>
      <c r="AG1529" s="55">
        <f>IF(AQ1529="2",BI1529,0)</f>
        <v>0</v>
      </c>
      <c r="AH1529" s="55">
        <f>IF(AQ1529="0",BJ1529,0)</f>
        <v>0</v>
      </c>
      <c r="AI1529" s="34" t="s">
        <v>2629</v>
      </c>
      <c r="AJ1529" s="55">
        <f>IF(AN1529=0,I1529,0)</f>
        <v>0</v>
      </c>
      <c r="AK1529" s="55">
        <f>IF(AN1529=12,I1529,0)</f>
        <v>0</v>
      </c>
      <c r="AL1529" s="55">
        <f>IF(AN1529=21,I1529,0)</f>
        <v>0</v>
      </c>
      <c r="AN1529" s="55">
        <v>21</v>
      </c>
      <c r="AO1529" s="55">
        <f>H1529*0</f>
        <v>0</v>
      </c>
      <c r="AP1529" s="55">
        <f>H1529*(1-0)</f>
        <v>0</v>
      </c>
      <c r="AQ1529" s="58" t="s">
        <v>125</v>
      </c>
      <c r="AV1529" s="55">
        <f>AW1529+AX1529</f>
        <v>0</v>
      </c>
      <c r="AW1529" s="55">
        <f>G1529*AO1529</f>
        <v>0</v>
      </c>
      <c r="AX1529" s="55">
        <f>G1529*AP1529</f>
        <v>0</v>
      </c>
      <c r="AY1529" s="58" t="s">
        <v>2795</v>
      </c>
      <c r="AZ1529" s="58" t="s">
        <v>2633</v>
      </c>
      <c r="BA1529" s="34" t="s">
        <v>2634</v>
      </c>
      <c r="BC1529" s="55">
        <f>AW1529+AX1529</f>
        <v>0</v>
      </c>
      <c r="BD1529" s="55">
        <f>H1529/(100-BE1529)*100</f>
        <v>0</v>
      </c>
      <c r="BE1529" s="55">
        <v>0</v>
      </c>
      <c r="BF1529" s="55">
        <f>K1529</f>
        <v>0</v>
      </c>
      <c r="BH1529" s="55">
        <f>G1529*AO1529</f>
        <v>0</v>
      </c>
      <c r="BI1529" s="55">
        <f>G1529*AP1529</f>
        <v>0</v>
      </c>
      <c r="BJ1529" s="55">
        <f>G1529*H1529</f>
        <v>0</v>
      </c>
      <c r="BK1529" s="55"/>
      <c r="BL1529" s="55"/>
      <c r="BW1529" s="55">
        <v>21</v>
      </c>
    </row>
    <row r="1530" spans="1:12" ht="13.5" customHeight="1">
      <c r="A1530" s="59"/>
      <c r="D1530" s="218" t="s">
        <v>2886</v>
      </c>
      <c r="E1530" s="219"/>
      <c r="F1530" s="219"/>
      <c r="G1530" s="219"/>
      <c r="H1530" s="220"/>
      <c r="I1530" s="219"/>
      <c r="J1530" s="219"/>
      <c r="K1530" s="219"/>
      <c r="L1530" s="221"/>
    </row>
    <row r="1531" spans="1:75" ht="13.5" customHeight="1">
      <c r="A1531" s="61" t="s">
        <v>2891</v>
      </c>
      <c r="B1531" s="62" t="s">
        <v>2629</v>
      </c>
      <c r="C1531" s="62" t="s">
        <v>2892</v>
      </c>
      <c r="D1531" s="224" t="s">
        <v>2893</v>
      </c>
      <c r="E1531" s="225"/>
      <c r="F1531" s="62" t="s">
        <v>174</v>
      </c>
      <c r="G1531" s="63">
        <v>6</v>
      </c>
      <c r="H1531" s="64">
        <v>0</v>
      </c>
      <c r="I1531" s="63">
        <f>G1531*H1531</f>
        <v>0</v>
      </c>
      <c r="J1531" s="63">
        <v>0</v>
      </c>
      <c r="K1531" s="63">
        <f>G1531*J1531</f>
        <v>0</v>
      </c>
      <c r="L1531" s="65" t="s">
        <v>124</v>
      </c>
      <c r="Z1531" s="55">
        <f>IF(AQ1531="5",BJ1531,0)</f>
        <v>0</v>
      </c>
      <c r="AB1531" s="55">
        <f>IF(AQ1531="1",BH1531,0)</f>
        <v>0</v>
      </c>
      <c r="AC1531" s="55">
        <f>IF(AQ1531="1",BI1531,0)</f>
        <v>0</v>
      </c>
      <c r="AD1531" s="55">
        <f>IF(AQ1531="7",BH1531,0)</f>
        <v>0</v>
      </c>
      <c r="AE1531" s="55">
        <f>IF(AQ1531="7",BI1531,0)</f>
        <v>0</v>
      </c>
      <c r="AF1531" s="55">
        <f>IF(AQ1531="2",BH1531,0)</f>
        <v>0</v>
      </c>
      <c r="AG1531" s="55">
        <f>IF(AQ1531="2",BI1531,0)</f>
        <v>0</v>
      </c>
      <c r="AH1531" s="55">
        <f>IF(AQ1531="0",BJ1531,0)</f>
        <v>0</v>
      </c>
      <c r="AI1531" s="34" t="s">
        <v>2629</v>
      </c>
      <c r="AJ1531" s="63">
        <f>IF(AN1531=0,I1531,0)</f>
        <v>0</v>
      </c>
      <c r="AK1531" s="63">
        <f>IF(AN1531=12,I1531,0)</f>
        <v>0</v>
      </c>
      <c r="AL1531" s="63">
        <f>IF(AN1531=21,I1531,0)</f>
        <v>0</v>
      </c>
      <c r="AN1531" s="55">
        <v>21</v>
      </c>
      <c r="AO1531" s="55">
        <f>H1531*1</f>
        <v>0</v>
      </c>
      <c r="AP1531" s="55">
        <f>H1531*(1-1)</f>
        <v>0</v>
      </c>
      <c r="AQ1531" s="66" t="s">
        <v>125</v>
      </c>
      <c r="AV1531" s="55">
        <f>AW1531+AX1531</f>
        <v>0</v>
      </c>
      <c r="AW1531" s="55">
        <f>G1531*AO1531</f>
        <v>0</v>
      </c>
      <c r="AX1531" s="55">
        <f>G1531*AP1531</f>
        <v>0</v>
      </c>
      <c r="AY1531" s="58" t="s">
        <v>2795</v>
      </c>
      <c r="AZ1531" s="58" t="s">
        <v>2633</v>
      </c>
      <c r="BA1531" s="34" t="s">
        <v>2634</v>
      </c>
      <c r="BC1531" s="55">
        <f>AW1531+AX1531</f>
        <v>0</v>
      </c>
      <c r="BD1531" s="55">
        <f>H1531/(100-BE1531)*100</f>
        <v>0</v>
      </c>
      <c r="BE1531" s="55">
        <v>0</v>
      </c>
      <c r="BF1531" s="55">
        <f>K1531</f>
        <v>0</v>
      </c>
      <c r="BH1531" s="63">
        <f>G1531*AO1531</f>
        <v>0</v>
      </c>
      <c r="BI1531" s="63">
        <f>G1531*AP1531</f>
        <v>0</v>
      </c>
      <c r="BJ1531" s="63">
        <f>G1531*H1531</f>
        <v>0</v>
      </c>
      <c r="BK1531" s="63"/>
      <c r="BL1531" s="55"/>
      <c r="BW1531" s="55">
        <v>21</v>
      </c>
    </row>
    <row r="1532" spans="1:75" ht="13.5" customHeight="1">
      <c r="A1532" s="1" t="s">
        <v>2894</v>
      </c>
      <c r="B1532" s="2" t="s">
        <v>2629</v>
      </c>
      <c r="C1532" s="2" t="s">
        <v>2895</v>
      </c>
      <c r="D1532" s="147" t="s">
        <v>2896</v>
      </c>
      <c r="E1532" s="148"/>
      <c r="F1532" s="2" t="s">
        <v>374</v>
      </c>
      <c r="G1532" s="55">
        <v>1</v>
      </c>
      <c r="H1532" s="56">
        <v>0</v>
      </c>
      <c r="I1532" s="55">
        <f>G1532*H1532</f>
        <v>0</v>
      </c>
      <c r="J1532" s="55">
        <v>0</v>
      </c>
      <c r="K1532" s="55">
        <f>G1532*J1532</f>
        <v>0</v>
      </c>
      <c r="L1532" s="57" t="s">
        <v>124</v>
      </c>
      <c r="Z1532" s="55">
        <f>IF(AQ1532="5",BJ1532,0)</f>
        <v>0</v>
      </c>
      <c r="AB1532" s="55">
        <f>IF(AQ1532="1",BH1532,0)</f>
        <v>0</v>
      </c>
      <c r="AC1532" s="55">
        <f>IF(AQ1532="1",BI1532,0)</f>
        <v>0</v>
      </c>
      <c r="AD1532" s="55">
        <f>IF(AQ1532="7",BH1532,0)</f>
        <v>0</v>
      </c>
      <c r="AE1532" s="55">
        <f>IF(AQ1532="7",BI1532,0)</f>
        <v>0</v>
      </c>
      <c r="AF1532" s="55">
        <f>IF(AQ1532="2",BH1532,0)</f>
        <v>0</v>
      </c>
      <c r="AG1532" s="55">
        <f>IF(AQ1532="2",BI1532,0)</f>
        <v>0</v>
      </c>
      <c r="AH1532" s="55">
        <f>IF(AQ1532="0",BJ1532,0)</f>
        <v>0</v>
      </c>
      <c r="AI1532" s="34" t="s">
        <v>2629</v>
      </c>
      <c r="AJ1532" s="55">
        <f>IF(AN1532=0,I1532,0)</f>
        <v>0</v>
      </c>
      <c r="AK1532" s="55">
        <f>IF(AN1532=12,I1532,0)</f>
        <v>0</v>
      </c>
      <c r="AL1532" s="55">
        <f>IF(AN1532=21,I1532,0)</f>
        <v>0</v>
      </c>
      <c r="AN1532" s="55">
        <v>21</v>
      </c>
      <c r="AO1532" s="55">
        <f>H1532*0</f>
        <v>0</v>
      </c>
      <c r="AP1532" s="55">
        <f>H1532*(1-0)</f>
        <v>0</v>
      </c>
      <c r="AQ1532" s="58" t="s">
        <v>125</v>
      </c>
      <c r="AV1532" s="55">
        <f>AW1532+AX1532</f>
        <v>0</v>
      </c>
      <c r="AW1532" s="55">
        <f>G1532*AO1532</f>
        <v>0</v>
      </c>
      <c r="AX1532" s="55">
        <f>G1532*AP1532</f>
        <v>0</v>
      </c>
      <c r="AY1532" s="58" t="s">
        <v>2795</v>
      </c>
      <c r="AZ1532" s="58" t="s">
        <v>2633</v>
      </c>
      <c r="BA1532" s="34" t="s">
        <v>2634</v>
      </c>
      <c r="BC1532" s="55">
        <f>AW1532+AX1532</f>
        <v>0</v>
      </c>
      <c r="BD1532" s="55">
        <f>H1532/(100-BE1532)*100</f>
        <v>0</v>
      </c>
      <c r="BE1532" s="55">
        <v>0</v>
      </c>
      <c r="BF1532" s="55">
        <f>K1532</f>
        <v>0</v>
      </c>
      <c r="BH1532" s="55">
        <f>G1532*AO1532</f>
        <v>0</v>
      </c>
      <c r="BI1532" s="55">
        <f>G1532*AP1532</f>
        <v>0</v>
      </c>
      <c r="BJ1532" s="55">
        <f>G1532*H1532</f>
        <v>0</v>
      </c>
      <c r="BK1532" s="55"/>
      <c r="BL1532" s="55"/>
      <c r="BW1532" s="55">
        <v>21</v>
      </c>
    </row>
    <row r="1533" spans="1:12" ht="13.5" customHeight="1">
      <c r="A1533" s="59"/>
      <c r="D1533" s="218" t="s">
        <v>2897</v>
      </c>
      <c r="E1533" s="219"/>
      <c r="F1533" s="219"/>
      <c r="G1533" s="219"/>
      <c r="H1533" s="220"/>
      <c r="I1533" s="219"/>
      <c r="J1533" s="219"/>
      <c r="K1533" s="219"/>
      <c r="L1533" s="221"/>
    </row>
    <row r="1534" spans="1:75" ht="13.5" customHeight="1">
      <c r="A1534" s="61" t="s">
        <v>1307</v>
      </c>
      <c r="B1534" s="62" t="s">
        <v>2629</v>
      </c>
      <c r="C1534" s="62" t="s">
        <v>2898</v>
      </c>
      <c r="D1534" s="224" t="s">
        <v>2899</v>
      </c>
      <c r="E1534" s="225"/>
      <c r="F1534" s="62" t="s">
        <v>374</v>
      </c>
      <c r="G1534" s="63">
        <v>1</v>
      </c>
      <c r="H1534" s="64">
        <v>0</v>
      </c>
      <c r="I1534" s="63">
        <f>G1534*H1534</f>
        <v>0</v>
      </c>
      <c r="J1534" s="63">
        <v>0</v>
      </c>
      <c r="K1534" s="63">
        <f>G1534*J1534</f>
        <v>0</v>
      </c>
      <c r="L1534" s="65" t="s">
        <v>124</v>
      </c>
      <c r="Z1534" s="55">
        <f>IF(AQ1534="5",BJ1534,0)</f>
        <v>0</v>
      </c>
      <c r="AB1534" s="55">
        <f>IF(AQ1534="1",BH1534,0)</f>
        <v>0</v>
      </c>
      <c r="AC1534" s="55">
        <f>IF(AQ1534="1",BI1534,0)</f>
        <v>0</v>
      </c>
      <c r="AD1534" s="55">
        <f>IF(AQ1534="7",BH1534,0)</f>
        <v>0</v>
      </c>
      <c r="AE1534" s="55">
        <f>IF(AQ1534="7",BI1534,0)</f>
        <v>0</v>
      </c>
      <c r="AF1534" s="55">
        <f>IF(AQ1534="2",BH1534,0)</f>
        <v>0</v>
      </c>
      <c r="AG1534" s="55">
        <f>IF(AQ1534="2",BI1534,0)</f>
        <v>0</v>
      </c>
      <c r="AH1534" s="55">
        <f>IF(AQ1534="0",BJ1534,0)</f>
        <v>0</v>
      </c>
      <c r="AI1534" s="34" t="s">
        <v>2629</v>
      </c>
      <c r="AJ1534" s="63">
        <f>IF(AN1534=0,I1534,0)</f>
        <v>0</v>
      </c>
      <c r="AK1534" s="63">
        <f>IF(AN1534=12,I1534,0)</f>
        <v>0</v>
      </c>
      <c r="AL1534" s="63">
        <f>IF(AN1534=21,I1534,0)</f>
        <v>0</v>
      </c>
      <c r="AN1534" s="55">
        <v>21</v>
      </c>
      <c r="AO1534" s="55">
        <f>H1534*1</f>
        <v>0</v>
      </c>
      <c r="AP1534" s="55">
        <f>H1534*(1-1)</f>
        <v>0</v>
      </c>
      <c r="AQ1534" s="66" t="s">
        <v>125</v>
      </c>
      <c r="AV1534" s="55">
        <f>AW1534+AX1534</f>
        <v>0</v>
      </c>
      <c r="AW1534" s="55">
        <f>G1534*AO1534</f>
        <v>0</v>
      </c>
      <c r="AX1534" s="55">
        <f>G1534*AP1534</f>
        <v>0</v>
      </c>
      <c r="AY1534" s="58" t="s">
        <v>2795</v>
      </c>
      <c r="AZ1534" s="58" t="s">
        <v>2633</v>
      </c>
      <c r="BA1534" s="34" t="s">
        <v>2634</v>
      </c>
      <c r="BC1534" s="55">
        <f>AW1534+AX1534</f>
        <v>0</v>
      </c>
      <c r="BD1534" s="55">
        <f>H1534/(100-BE1534)*100</f>
        <v>0</v>
      </c>
      <c r="BE1534" s="55">
        <v>0</v>
      </c>
      <c r="BF1534" s="55">
        <f>K1534</f>
        <v>0</v>
      </c>
      <c r="BH1534" s="63">
        <f>G1534*AO1534</f>
        <v>0</v>
      </c>
      <c r="BI1534" s="63">
        <f>G1534*AP1534</f>
        <v>0</v>
      </c>
      <c r="BJ1534" s="63">
        <f>G1534*H1534</f>
        <v>0</v>
      </c>
      <c r="BK1534" s="63"/>
      <c r="BL1534" s="55"/>
      <c r="BW1534" s="55">
        <v>21</v>
      </c>
    </row>
    <row r="1535" spans="1:75" ht="27" customHeight="1">
      <c r="A1535" s="1" t="s">
        <v>1321</v>
      </c>
      <c r="B1535" s="2" t="s">
        <v>2629</v>
      </c>
      <c r="C1535" s="2" t="s">
        <v>2900</v>
      </c>
      <c r="D1535" s="147" t="s">
        <v>2901</v>
      </c>
      <c r="E1535" s="148"/>
      <c r="F1535" s="2" t="s">
        <v>174</v>
      </c>
      <c r="G1535" s="55">
        <v>10</v>
      </c>
      <c r="H1535" s="56">
        <v>0</v>
      </c>
      <c r="I1535" s="55">
        <f>G1535*H1535</f>
        <v>0</v>
      </c>
      <c r="J1535" s="55">
        <v>0</v>
      </c>
      <c r="K1535" s="55">
        <f>G1535*J1535</f>
        <v>0</v>
      </c>
      <c r="L1535" s="57" t="s">
        <v>124</v>
      </c>
      <c r="Z1535" s="55">
        <f>IF(AQ1535="5",BJ1535,0)</f>
        <v>0</v>
      </c>
      <c r="AB1535" s="55">
        <f>IF(AQ1535="1",BH1535,0)</f>
        <v>0</v>
      </c>
      <c r="AC1535" s="55">
        <f>IF(AQ1535="1",BI1535,0)</f>
        <v>0</v>
      </c>
      <c r="AD1535" s="55">
        <f>IF(AQ1535="7",BH1535,0)</f>
        <v>0</v>
      </c>
      <c r="AE1535" s="55">
        <f>IF(AQ1535="7",BI1535,0)</f>
        <v>0</v>
      </c>
      <c r="AF1535" s="55">
        <f>IF(AQ1535="2",BH1535,0)</f>
        <v>0</v>
      </c>
      <c r="AG1535" s="55">
        <f>IF(AQ1535="2",BI1535,0)</f>
        <v>0</v>
      </c>
      <c r="AH1535" s="55">
        <f>IF(AQ1535="0",BJ1535,0)</f>
        <v>0</v>
      </c>
      <c r="AI1535" s="34" t="s">
        <v>2629</v>
      </c>
      <c r="AJ1535" s="55">
        <f>IF(AN1535=0,I1535,0)</f>
        <v>0</v>
      </c>
      <c r="AK1535" s="55">
        <f>IF(AN1535=12,I1535,0)</f>
        <v>0</v>
      </c>
      <c r="AL1535" s="55">
        <f>IF(AN1535=21,I1535,0)</f>
        <v>0</v>
      </c>
      <c r="AN1535" s="55">
        <v>21</v>
      </c>
      <c r="AO1535" s="55">
        <f>H1535*0</f>
        <v>0</v>
      </c>
      <c r="AP1535" s="55">
        <f>H1535*(1-0)</f>
        <v>0</v>
      </c>
      <c r="AQ1535" s="58" t="s">
        <v>125</v>
      </c>
      <c r="AV1535" s="55">
        <f>AW1535+AX1535</f>
        <v>0</v>
      </c>
      <c r="AW1535" s="55">
        <f>G1535*AO1535</f>
        <v>0</v>
      </c>
      <c r="AX1535" s="55">
        <f>G1535*AP1535</f>
        <v>0</v>
      </c>
      <c r="AY1535" s="58" t="s">
        <v>2795</v>
      </c>
      <c r="AZ1535" s="58" t="s">
        <v>2633</v>
      </c>
      <c r="BA1535" s="34" t="s">
        <v>2634</v>
      </c>
      <c r="BC1535" s="55">
        <f>AW1535+AX1535</f>
        <v>0</v>
      </c>
      <c r="BD1535" s="55">
        <f>H1535/(100-BE1535)*100</f>
        <v>0</v>
      </c>
      <c r="BE1535" s="55">
        <v>0</v>
      </c>
      <c r="BF1535" s="55">
        <f>K1535</f>
        <v>0</v>
      </c>
      <c r="BH1535" s="55">
        <f>G1535*AO1535</f>
        <v>0</v>
      </c>
      <c r="BI1535" s="55">
        <f>G1535*AP1535</f>
        <v>0</v>
      </c>
      <c r="BJ1535" s="55">
        <f>G1535*H1535</f>
        <v>0</v>
      </c>
      <c r="BK1535" s="55"/>
      <c r="BL1535" s="55"/>
      <c r="BW1535" s="55">
        <v>21</v>
      </c>
    </row>
    <row r="1536" spans="1:12" ht="13.5" customHeight="1">
      <c r="A1536" s="59"/>
      <c r="D1536" s="218" t="s">
        <v>2897</v>
      </c>
      <c r="E1536" s="219"/>
      <c r="F1536" s="219"/>
      <c r="G1536" s="219"/>
      <c r="H1536" s="220"/>
      <c r="I1536" s="219"/>
      <c r="J1536" s="219"/>
      <c r="K1536" s="219"/>
      <c r="L1536" s="221"/>
    </row>
    <row r="1537" spans="1:75" ht="13.5" customHeight="1">
      <c r="A1537" s="61" t="s">
        <v>1369</v>
      </c>
      <c r="B1537" s="62" t="s">
        <v>2629</v>
      </c>
      <c r="C1537" s="62" t="s">
        <v>2902</v>
      </c>
      <c r="D1537" s="224" t="s">
        <v>2903</v>
      </c>
      <c r="E1537" s="225"/>
      <c r="F1537" s="62" t="s">
        <v>174</v>
      </c>
      <c r="G1537" s="63">
        <v>10</v>
      </c>
      <c r="H1537" s="64">
        <v>0</v>
      </c>
      <c r="I1537" s="63">
        <f>G1537*H1537</f>
        <v>0</v>
      </c>
      <c r="J1537" s="63">
        <v>0</v>
      </c>
      <c r="K1537" s="63">
        <f>G1537*J1537</f>
        <v>0</v>
      </c>
      <c r="L1537" s="65" t="s">
        <v>124</v>
      </c>
      <c r="Z1537" s="55">
        <f>IF(AQ1537="5",BJ1537,0)</f>
        <v>0</v>
      </c>
      <c r="AB1537" s="55">
        <f>IF(AQ1537="1",BH1537,0)</f>
        <v>0</v>
      </c>
      <c r="AC1537" s="55">
        <f>IF(AQ1537="1",BI1537,0)</f>
        <v>0</v>
      </c>
      <c r="AD1537" s="55">
        <f>IF(AQ1537="7",BH1537,0)</f>
        <v>0</v>
      </c>
      <c r="AE1537" s="55">
        <f>IF(AQ1537="7",BI1537,0)</f>
        <v>0</v>
      </c>
      <c r="AF1537" s="55">
        <f>IF(AQ1537="2",BH1537,0)</f>
        <v>0</v>
      </c>
      <c r="AG1537" s="55">
        <f>IF(AQ1537="2",BI1537,0)</f>
        <v>0</v>
      </c>
      <c r="AH1537" s="55">
        <f>IF(AQ1537="0",BJ1537,0)</f>
        <v>0</v>
      </c>
      <c r="AI1537" s="34" t="s">
        <v>2629</v>
      </c>
      <c r="AJ1537" s="63">
        <f>IF(AN1537=0,I1537,0)</f>
        <v>0</v>
      </c>
      <c r="AK1537" s="63">
        <f>IF(AN1537=12,I1537,0)</f>
        <v>0</v>
      </c>
      <c r="AL1537" s="63">
        <f>IF(AN1537=21,I1537,0)</f>
        <v>0</v>
      </c>
      <c r="AN1537" s="55">
        <v>21</v>
      </c>
      <c r="AO1537" s="55">
        <f>H1537*1</f>
        <v>0</v>
      </c>
      <c r="AP1537" s="55">
        <f>H1537*(1-1)</f>
        <v>0</v>
      </c>
      <c r="AQ1537" s="66" t="s">
        <v>125</v>
      </c>
      <c r="AV1537" s="55">
        <f>AW1537+AX1537</f>
        <v>0</v>
      </c>
      <c r="AW1537" s="55">
        <f>G1537*AO1537</f>
        <v>0</v>
      </c>
      <c r="AX1537" s="55">
        <f>G1537*AP1537</f>
        <v>0</v>
      </c>
      <c r="AY1537" s="58" t="s">
        <v>2795</v>
      </c>
      <c r="AZ1537" s="58" t="s">
        <v>2633</v>
      </c>
      <c r="BA1537" s="34" t="s">
        <v>2634</v>
      </c>
      <c r="BC1537" s="55">
        <f>AW1537+AX1537</f>
        <v>0</v>
      </c>
      <c r="BD1537" s="55">
        <f>H1537/(100-BE1537)*100</f>
        <v>0</v>
      </c>
      <c r="BE1537" s="55">
        <v>0</v>
      </c>
      <c r="BF1537" s="55">
        <f>K1537</f>
        <v>0</v>
      </c>
      <c r="BH1537" s="63">
        <f>G1537*AO1537</f>
        <v>0</v>
      </c>
      <c r="BI1537" s="63">
        <f>G1537*AP1537</f>
        <v>0</v>
      </c>
      <c r="BJ1537" s="63">
        <f>G1537*H1537</f>
        <v>0</v>
      </c>
      <c r="BK1537" s="63"/>
      <c r="BL1537" s="55"/>
      <c r="BW1537" s="55">
        <v>21</v>
      </c>
    </row>
    <row r="1538" spans="1:75" ht="27" customHeight="1">
      <c r="A1538" s="1" t="s">
        <v>2904</v>
      </c>
      <c r="B1538" s="2" t="s">
        <v>2629</v>
      </c>
      <c r="C1538" s="2" t="s">
        <v>2905</v>
      </c>
      <c r="D1538" s="147" t="s">
        <v>2906</v>
      </c>
      <c r="E1538" s="148"/>
      <c r="F1538" s="2" t="s">
        <v>174</v>
      </c>
      <c r="G1538" s="55">
        <v>100</v>
      </c>
      <c r="H1538" s="56">
        <v>0</v>
      </c>
      <c r="I1538" s="55">
        <f>G1538*H1538</f>
        <v>0</v>
      </c>
      <c r="J1538" s="55">
        <v>0</v>
      </c>
      <c r="K1538" s="55">
        <f>G1538*J1538</f>
        <v>0</v>
      </c>
      <c r="L1538" s="57" t="s">
        <v>124</v>
      </c>
      <c r="Z1538" s="55">
        <f>IF(AQ1538="5",BJ1538,0)</f>
        <v>0</v>
      </c>
      <c r="AB1538" s="55">
        <f>IF(AQ1538="1",BH1538,0)</f>
        <v>0</v>
      </c>
      <c r="AC1538" s="55">
        <f>IF(AQ1538="1",BI1538,0)</f>
        <v>0</v>
      </c>
      <c r="AD1538" s="55">
        <f>IF(AQ1538="7",BH1538,0)</f>
        <v>0</v>
      </c>
      <c r="AE1538" s="55">
        <f>IF(AQ1538="7",BI1538,0)</f>
        <v>0</v>
      </c>
      <c r="AF1538" s="55">
        <f>IF(AQ1538="2",BH1538,0)</f>
        <v>0</v>
      </c>
      <c r="AG1538" s="55">
        <f>IF(AQ1538="2",BI1538,0)</f>
        <v>0</v>
      </c>
      <c r="AH1538" s="55">
        <f>IF(AQ1538="0",BJ1538,0)</f>
        <v>0</v>
      </c>
      <c r="AI1538" s="34" t="s">
        <v>2629</v>
      </c>
      <c r="AJ1538" s="55">
        <f>IF(AN1538=0,I1538,0)</f>
        <v>0</v>
      </c>
      <c r="AK1538" s="55">
        <f>IF(AN1538=12,I1538,0)</f>
        <v>0</v>
      </c>
      <c r="AL1538" s="55">
        <f>IF(AN1538=21,I1538,0)</f>
        <v>0</v>
      </c>
      <c r="AN1538" s="55">
        <v>21</v>
      </c>
      <c r="AO1538" s="55">
        <f>H1538*0</f>
        <v>0</v>
      </c>
      <c r="AP1538" s="55">
        <f>H1538*(1-0)</f>
        <v>0</v>
      </c>
      <c r="AQ1538" s="58" t="s">
        <v>125</v>
      </c>
      <c r="AV1538" s="55">
        <f>AW1538+AX1538</f>
        <v>0</v>
      </c>
      <c r="AW1538" s="55">
        <f>G1538*AO1538</f>
        <v>0</v>
      </c>
      <c r="AX1538" s="55">
        <f>G1538*AP1538</f>
        <v>0</v>
      </c>
      <c r="AY1538" s="58" t="s">
        <v>2795</v>
      </c>
      <c r="AZ1538" s="58" t="s">
        <v>2633</v>
      </c>
      <c r="BA1538" s="34" t="s">
        <v>2634</v>
      </c>
      <c r="BC1538" s="55">
        <f>AW1538+AX1538</f>
        <v>0</v>
      </c>
      <c r="BD1538" s="55">
        <f>H1538/(100-BE1538)*100</f>
        <v>0</v>
      </c>
      <c r="BE1538" s="55">
        <v>0</v>
      </c>
      <c r="BF1538" s="55">
        <f>K1538</f>
        <v>0</v>
      </c>
      <c r="BH1538" s="55">
        <f>G1538*AO1538</f>
        <v>0</v>
      </c>
      <c r="BI1538" s="55">
        <f>G1538*AP1538</f>
        <v>0</v>
      </c>
      <c r="BJ1538" s="55">
        <f>G1538*H1538</f>
        <v>0</v>
      </c>
      <c r="BK1538" s="55"/>
      <c r="BL1538" s="55"/>
      <c r="BW1538" s="55">
        <v>21</v>
      </c>
    </row>
    <row r="1539" spans="1:75" ht="13.5" customHeight="1">
      <c r="A1539" s="61" t="s">
        <v>1440</v>
      </c>
      <c r="B1539" s="62" t="s">
        <v>2629</v>
      </c>
      <c r="C1539" s="62" t="s">
        <v>2907</v>
      </c>
      <c r="D1539" s="224" t="s">
        <v>2908</v>
      </c>
      <c r="E1539" s="225"/>
      <c r="F1539" s="62" t="s">
        <v>2815</v>
      </c>
      <c r="G1539" s="63">
        <v>100</v>
      </c>
      <c r="H1539" s="64">
        <v>0</v>
      </c>
      <c r="I1539" s="63">
        <f>G1539*H1539</f>
        <v>0</v>
      </c>
      <c r="J1539" s="63">
        <v>0</v>
      </c>
      <c r="K1539" s="63">
        <f>G1539*J1539</f>
        <v>0</v>
      </c>
      <c r="L1539" s="65" t="s">
        <v>124</v>
      </c>
      <c r="Z1539" s="55">
        <f>IF(AQ1539="5",BJ1539,0)</f>
        <v>0</v>
      </c>
      <c r="AB1539" s="55">
        <f>IF(AQ1539="1",BH1539,0)</f>
        <v>0</v>
      </c>
      <c r="AC1539" s="55">
        <f>IF(AQ1539="1",BI1539,0)</f>
        <v>0</v>
      </c>
      <c r="AD1539" s="55">
        <f>IF(AQ1539="7",BH1539,0)</f>
        <v>0</v>
      </c>
      <c r="AE1539" s="55">
        <f>IF(AQ1539="7",BI1539,0)</f>
        <v>0</v>
      </c>
      <c r="AF1539" s="55">
        <f>IF(AQ1539="2",BH1539,0)</f>
        <v>0</v>
      </c>
      <c r="AG1539" s="55">
        <f>IF(AQ1539="2",BI1539,0)</f>
        <v>0</v>
      </c>
      <c r="AH1539" s="55">
        <f>IF(AQ1539="0",BJ1539,0)</f>
        <v>0</v>
      </c>
      <c r="AI1539" s="34" t="s">
        <v>2629</v>
      </c>
      <c r="AJ1539" s="63">
        <f>IF(AN1539=0,I1539,0)</f>
        <v>0</v>
      </c>
      <c r="AK1539" s="63">
        <f>IF(AN1539=12,I1539,0)</f>
        <v>0</v>
      </c>
      <c r="AL1539" s="63">
        <f>IF(AN1539=21,I1539,0)</f>
        <v>0</v>
      </c>
      <c r="AN1539" s="55">
        <v>21</v>
      </c>
      <c r="AO1539" s="55">
        <f>H1539*1</f>
        <v>0</v>
      </c>
      <c r="AP1539" s="55">
        <f>H1539*(1-1)</f>
        <v>0</v>
      </c>
      <c r="AQ1539" s="66" t="s">
        <v>125</v>
      </c>
      <c r="AV1539" s="55">
        <f>AW1539+AX1539</f>
        <v>0</v>
      </c>
      <c r="AW1539" s="55">
        <f>G1539*AO1539</f>
        <v>0</v>
      </c>
      <c r="AX1539" s="55">
        <f>G1539*AP1539</f>
        <v>0</v>
      </c>
      <c r="AY1539" s="58" t="s">
        <v>2795</v>
      </c>
      <c r="AZ1539" s="58" t="s">
        <v>2633</v>
      </c>
      <c r="BA1539" s="34" t="s">
        <v>2634</v>
      </c>
      <c r="BC1539" s="55">
        <f>AW1539+AX1539</f>
        <v>0</v>
      </c>
      <c r="BD1539" s="55">
        <f>H1539/(100-BE1539)*100</f>
        <v>0</v>
      </c>
      <c r="BE1539" s="55">
        <v>0</v>
      </c>
      <c r="BF1539" s="55">
        <f>K1539</f>
        <v>0</v>
      </c>
      <c r="BH1539" s="63">
        <f>G1539*AO1539</f>
        <v>0</v>
      </c>
      <c r="BI1539" s="63">
        <f>G1539*AP1539</f>
        <v>0</v>
      </c>
      <c r="BJ1539" s="63">
        <f>G1539*H1539</f>
        <v>0</v>
      </c>
      <c r="BK1539" s="63"/>
      <c r="BL1539" s="55"/>
      <c r="BW1539" s="55">
        <v>21</v>
      </c>
    </row>
    <row r="1540" spans="1:75" ht="27" customHeight="1">
      <c r="A1540" s="1" t="s">
        <v>1446</v>
      </c>
      <c r="B1540" s="2" t="s">
        <v>2629</v>
      </c>
      <c r="C1540" s="2" t="s">
        <v>2811</v>
      </c>
      <c r="D1540" s="147" t="s">
        <v>2871</v>
      </c>
      <c r="E1540" s="148"/>
      <c r="F1540" s="2" t="s">
        <v>174</v>
      </c>
      <c r="G1540" s="55">
        <v>30</v>
      </c>
      <c r="H1540" s="56">
        <v>0</v>
      </c>
      <c r="I1540" s="55">
        <f>G1540*H1540</f>
        <v>0</v>
      </c>
      <c r="J1540" s="55">
        <v>0</v>
      </c>
      <c r="K1540" s="55">
        <f>G1540*J1540</f>
        <v>0</v>
      </c>
      <c r="L1540" s="57" t="s">
        <v>124</v>
      </c>
      <c r="Z1540" s="55">
        <f>IF(AQ1540="5",BJ1540,0)</f>
        <v>0</v>
      </c>
      <c r="AB1540" s="55">
        <f>IF(AQ1540="1",BH1540,0)</f>
        <v>0</v>
      </c>
      <c r="AC1540" s="55">
        <f>IF(AQ1540="1",BI1540,0)</f>
        <v>0</v>
      </c>
      <c r="AD1540" s="55">
        <f>IF(AQ1540="7",BH1540,0)</f>
        <v>0</v>
      </c>
      <c r="AE1540" s="55">
        <f>IF(AQ1540="7",BI1540,0)</f>
        <v>0</v>
      </c>
      <c r="AF1540" s="55">
        <f>IF(AQ1540="2",BH1540,0)</f>
        <v>0</v>
      </c>
      <c r="AG1540" s="55">
        <f>IF(AQ1540="2",BI1540,0)</f>
        <v>0</v>
      </c>
      <c r="AH1540" s="55">
        <f>IF(AQ1540="0",BJ1540,0)</f>
        <v>0</v>
      </c>
      <c r="AI1540" s="34" t="s">
        <v>2629</v>
      </c>
      <c r="AJ1540" s="55">
        <f>IF(AN1540=0,I1540,0)</f>
        <v>0</v>
      </c>
      <c r="AK1540" s="55">
        <f>IF(AN1540=12,I1540,0)</f>
        <v>0</v>
      </c>
      <c r="AL1540" s="55">
        <f>IF(AN1540=21,I1540,0)</f>
        <v>0</v>
      </c>
      <c r="AN1540" s="55">
        <v>21</v>
      </c>
      <c r="AO1540" s="55">
        <f>H1540*0</f>
        <v>0</v>
      </c>
      <c r="AP1540" s="55">
        <f>H1540*(1-0)</f>
        <v>0</v>
      </c>
      <c r="AQ1540" s="58" t="s">
        <v>125</v>
      </c>
      <c r="AV1540" s="55">
        <f>AW1540+AX1540</f>
        <v>0</v>
      </c>
      <c r="AW1540" s="55">
        <f>G1540*AO1540</f>
        <v>0</v>
      </c>
      <c r="AX1540" s="55">
        <f>G1540*AP1540</f>
        <v>0</v>
      </c>
      <c r="AY1540" s="58" t="s">
        <v>2795</v>
      </c>
      <c r="AZ1540" s="58" t="s">
        <v>2633</v>
      </c>
      <c r="BA1540" s="34" t="s">
        <v>2634</v>
      </c>
      <c r="BC1540" s="55">
        <f>AW1540+AX1540</f>
        <v>0</v>
      </c>
      <c r="BD1540" s="55">
        <f>H1540/(100-BE1540)*100</f>
        <v>0</v>
      </c>
      <c r="BE1540" s="55">
        <v>0</v>
      </c>
      <c r="BF1540" s="55">
        <f>K1540</f>
        <v>0</v>
      </c>
      <c r="BH1540" s="55">
        <f>G1540*AO1540</f>
        <v>0</v>
      </c>
      <c r="BI1540" s="55">
        <f>G1540*AP1540</f>
        <v>0</v>
      </c>
      <c r="BJ1540" s="55">
        <f>G1540*H1540</f>
        <v>0</v>
      </c>
      <c r="BK1540" s="55"/>
      <c r="BL1540" s="55"/>
      <c r="BW1540" s="55">
        <v>21</v>
      </c>
    </row>
    <row r="1541" spans="1:12" ht="13.5" customHeight="1">
      <c r="A1541" s="59"/>
      <c r="D1541" s="218" t="s">
        <v>2909</v>
      </c>
      <c r="E1541" s="219"/>
      <c r="F1541" s="219"/>
      <c r="G1541" s="219"/>
      <c r="H1541" s="220"/>
      <c r="I1541" s="219"/>
      <c r="J1541" s="219"/>
      <c r="K1541" s="219"/>
      <c r="L1541" s="221"/>
    </row>
    <row r="1542" spans="1:75" ht="13.5" customHeight="1">
      <c r="A1542" s="61" t="s">
        <v>1485</v>
      </c>
      <c r="B1542" s="62" t="s">
        <v>2629</v>
      </c>
      <c r="C1542" s="62" t="s">
        <v>2910</v>
      </c>
      <c r="D1542" s="224" t="s">
        <v>2911</v>
      </c>
      <c r="E1542" s="225"/>
      <c r="F1542" s="62" t="s">
        <v>2815</v>
      </c>
      <c r="G1542" s="63">
        <v>30</v>
      </c>
      <c r="H1542" s="64">
        <v>0</v>
      </c>
      <c r="I1542" s="63">
        <f>G1542*H1542</f>
        <v>0</v>
      </c>
      <c r="J1542" s="63">
        <v>0</v>
      </c>
      <c r="K1542" s="63">
        <f>G1542*J1542</f>
        <v>0</v>
      </c>
      <c r="L1542" s="65" t="s">
        <v>124</v>
      </c>
      <c r="Z1542" s="55">
        <f>IF(AQ1542="5",BJ1542,0)</f>
        <v>0</v>
      </c>
      <c r="AB1542" s="55">
        <f>IF(AQ1542="1",BH1542,0)</f>
        <v>0</v>
      </c>
      <c r="AC1542" s="55">
        <f>IF(AQ1542="1",BI1542,0)</f>
        <v>0</v>
      </c>
      <c r="AD1542" s="55">
        <f>IF(AQ1542="7",BH1542,0)</f>
        <v>0</v>
      </c>
      <c r="AE1542" s="55">
        <f>IF(AQ1542="7",BI1542,0)</f>
        <v>0</v>
      </c>
      <c r="AF1542" s="55">
        <f>IF(AQ1542="2",BH1542,0)</f>
        <v>0</v>
      </c>
      <c r="AG1542" s="55">
        <f>IF(AQ1542="2",BI1542,0)</f>
        <v>0</v>
      </c>
      <c r="AH1542" s="55">
        <f>IF(AQ1542="0",BJ1542,0)</f>
        <v>0</v>
      </c>
      <c r="AI1542" s="34" t="s">
        <v>2629</v>
      </c>
      <c r="AJ1542" s="63">
        <f>IF(AN1542=0,I1542,0)</f>
        <v>0</v>
      </c>
      <c r="AK1542" s="63">
        <f>IF(AN1542=12,I1542,0)</f>
        <v>0</v>
      </c>
      <c r="AL1542" s="63">
        <f>IF(AN1542=21,I1542,0)</f>
        <v>0</v>
      </c>
      <c r="AN1542" s="55">
        <v>21</v>
      </c>
      <c r="AO1542" s="55">
        <f>H1542*1</f>
        <v>0</v>
      </c>
      <c r="AP1542" s="55">
        <f>H1542*(1-1)</f>
        <v>0</v>
      </c>
      <c r="AQ1542" s="66" t="s">
        <v>125</v>
      </c>
      <c r="AV1542" s="55">
        <f>AW1542+AX1542</f>
        <v>0</v>
      </c>
      <c r="AW1542" s="55">
        <f>G1542*AO1542</f>
        <v>0</v>
      </c>
      <c r="AX1542" s="55">
        <f>G1542*AP1542</f>
        <v>0</v>
      </c>
      <c r="AY1542" s="58" t="s">
        <v>2795</v>
      </c>
      <c r="AZ1542" s="58" t="s">
        <v>2633</v>
      </c>
      <c r="BA1542" s="34" t="s">
        <v>2634</v>
      </c>
      <c r="BC1542" s="55">
        <f>AW1542+AX1542</f>
        <v>0</v>
      </c>
      <c r="BD1542" s="55">
        <f>H1542/(100-BE1542)*100</f>
        <v>0</v>
      </c>
      <c r="BE1542" s="55">
        <v>0</v>
      </c>
      <c r="BF1542" s="55">
        <f>K1542</f>
        <v>0</v>
      </c>
      <c r="BH1542" s="63">
        <f>G1542*AO1542</f>
        <v>0</v>
      </c>
      <c r="BI1542" s="63">
        <f>G1542*AP1542</f>
        <v>0</v>
      </c>
      <c r="BJ1542" s="63">
        <f>G1542*H1542</f>
        <v>0</v>
      </c>
      <c r="BK1542" s="63"/>
      <c r="BL1542" s="55"/>
      <c r="BW1542" s="55">
        <v>21</v>
      </c>
    </row>
    <row r="1543" spans="1:75" ht="27" customHeight="1">
      <c r="A1543" s="1" t="s">
        <v>2912</v>
      </c>
      <c r="B1543" s="2" t="s">
        <v>2629</v>
      </c>
      <c r="C1543" s="2" t="s">
        <v>2811</v>
      </c>
      <c r="D1543" s="147" t="s">
        <v>2806</v>
      </c>
      <c r="E1543" s="148"/>
      <c r="F1543" s="2" t="s">
        <v>174</v>
      </c>
      <c r="G1543" s="55">
        <v>30</v>
      </c>
      <c r="H1543" s="56">
        <v>0</v>
      </c>
      <c r="I1543" s="55">
        <f>G1543*H1543</f>
        <v>0</v>
      </c>
      <c r="J1543" s="55">
        <v>0</v>
      </c>
      <c r="K1543" s="55">
        <f>G1543*J1543</f>
        <v>0</v>
      </c>
      <c r="L1543" s="57" t="s">
        <v>124</v>
      </c>
      <c r="Z1543" s="55">
        <f>IF(AQ1543="5",BJ1543,0)</f>
        <v>0</v>
      </c>
      <c r="AB1543" s="55">
        <f>IF(AQ1543="1",BH1543,0)</f>
        <v>0</v>
      </c>
      <c r="AC1543" s="55">
        <f>IF(AQ1543="1",BI1543,0)</f>
        <v>0</v>
      </c>
      <c r="AD1543" s="55">
        <f>IF(AQ1543="7",BH1543,0)</f>
        <v>0</v>
      </c>
      <c r="AE1543" s="55">
        <f>IF(AQ1543="7",BI1543,0)</f>
        <v>0</v>
      </c>
      <c r="AF1543" s="55">
        <f>IF(AQ1543="2",BH1543,0)</f>
        <v>0</v>
      </c>
      <c r="AG1543" s="55">
        <f>IF(AQ1543="2",BI1543,0)</f>
        <v>0</v>
      </c>
      <c r="AH1543" s="55">
        <f>IF(AQ1543="0",BJ1543,0)</f>
        <v>0</v>
      </c>
      <c r="AI1543" s="34" t="s">
        <v>2629</v>
      </c>
      <c r="AJ1543" s="55">
        <f>IF(AN1543=0,I1543,0)</f>
        <v>0</v>
      </c>
      <c r="AK1543" s="55">
        <f>IF(AN1543=12,I1543,0)</f>
        <v>0</v>
      </c>
      <c r="AL1543" s="55">
        <f>IF(AN1543=21,I1543,0)</f>
        <v>0</v>
      </c>
      <c r="AN1543" s="55">
        <v>21</v>
      </c>
      <c r="AO1543" s="55">
        <f>H1543*0</f>
        <v>0</v>
      </c>
      <c r="AP1543" s="55">
        <f>H1543*(1-0)</f>
        <v>0</v>
      </c>
      <c r="AQ1543" s="58" t="s">
        <v>125</v>
      </c>
      <c r="AV1543" s="55">
        <f>AW1543+AX1543</f>
        <v>0</v>
      </c>
      <c r="AW1543" s="55">
        <f>G1543*AO1543</f>
        <v>0</v>
      </c>
      <c r="AX1543" s="55">
        <f>G1543*AP1543</f>
        <v>0</v>
      </c>
      <c r="AY1543" s="58" t="s">
        <v>2795</v>
      </c>
      <c r="AZ1543" s="58" t="s">
        <v>2633</v>
      </c>
      <c r="BA1543" s="34" t="s">
        <v>2634</v>
      </c>
      <c r="BC1543" s="55">
        <f>AW1543+AX1543</f>
        <v>0</v>
      </c>
      <c r="BD1543" s="55">
        <f>H1543/(100-BE1543)*100</f>
        <v>0</v>
      </c>
      <c r="BE1543" s="55">
        <v>0</v>
      </c>
      <c r="BF1543" s="55">
        <f>K1543</f>
        <v>0</v>
      </c>
      <c r="BH1543" s="55">
        <f>G1543*AO1543</f>
        <v>0</v>
      </c>
      <c r="BI1543" s="55">
        <f>G1543*AP1543</f>
        <v>0</v>
      </c>
      <c r="BJ1543" s="55">
        <f>G1543*H1543</f>
        <v>0</v>
      </c>
      <c r="BK1543" s="55"/>
      <c r="BL1543" s="55"/>
      <c r="BW1543" s="55">
        <v>21</v>
      </c>
    </row>
    <row r="1544" spans="1:12" ht="13.5" customHeight="1">
      <c r="A1544" s="59"/>
      <c r="D1544" s="218" t="s">
        <v>2909</v>
      </c>
      <c r="E1544" s="219"/>
      <c r="F1544" s="219"/>
      <c r="G1544" s="219"/>
      <c r="H1544" s="220"/>
      <c r="I1544" s="219"/>
      <c r="J1544" s="219"/>
      <c r="K1544" s="219"/>
      <c r="L1544" s="221"/>
    </row>
    <row r="1545" spans="1:75" ht="13.5" customHeight="1">
      <c r="A1545" s="61" t="s">
        <v>1508</v>
      </c>
      <c r="B1545" s="62" t="s">
        <v>2629</v>
      </c>
      <c r="C1545" s="62" t="s">
        <v>2913</v>
      </c>
      <c r="D1545" s="224" t="s">
        <v>2914</v>
      </c>
      <c r="E1545" s="225"/>
      <c r="F1545" s="62" t="s">
        <v>2815</v>
      </c>
      <c r="G1545" s="63">
        <v>30</v>
      </c>
      <c r="H1545" s="64">
        <v>0</v>
      </c>
      <c r="I1545" s="63">
        <f>G1545*H1545</f>
        <v>0</v>
      </c>
      <c r="J1545" s="63">
        <v>0</v>
      </c>
      <c r="K1545" s="63">
        <f>G1545*J1545</f>
        <v>0</v>
      </c>
      <c r="L1545" s="65" t="s">
        <v>124</v>
      </c>
      <c r="Z1545" s="55">
        <f>IF(AQ1545="5",BJ1545,0)</f>
        <v>0</v>
      </c>
      <c r="AB1545" s="55">
        <f>IF(AQ1545="1",BH1545,0)</f>
        <v>0</v>
      </c>
      <c r="AC1545" s="55">
        <f>IF(AQ1545="1",BI1545,0)</f>
        <v>0</v>
      </c>
      <c r="AD1545" s="55">
        <f>IF(AQ1545="7",BH1545,0)</f>
        <v>0</v>
      </c>
      <c r="AE1545" s="55">
        <f>IF(AQ1545="7",BI1545,0)</f>
        <v>0</v>
      </c>
      <c r="AF1545" s="55">
        <f>IF(AQ1545="2",BH1545,0)</f>
        <v>0</v>
      </c>
      <c r="AG1545" s="55">
        <f>IF(AQ1545="2",BI1545,0)</f>
        <v>0</v>
      </c>
      <c r="AH1545" s="55">
        <f>IF(AQ1545="0",BJ1545,0)</f>
        <v>0</v>
      </c>
      <c r="AI1545" s="34" t="s">
        <v>2629</v>
      </c>
      <c r="AJ1545" s="63">
        <f>IF(AN1545=0,I1545,0)</f>
        <v>0</v>
      </c>
      <c r="AK1545" s="63">
        <f>IF(AN1545=12,I1545,0)</f>
        <v>0</v>
      </c>
      <c r="AL1545" s="63">
        <f>IF(AN1545=21,I1545,0)</f>
        <v>0</v>
      </c>
      <c r="AN1545" s="55">
        <v>21</v>
      </c>
      <c r="AO1545" s="55">
        <f>H1545*1</f>
        <v>0</v>
      </c>
      <c r="AP1545" s="55">
        <f>H1545*(1-1)</f>
        <v>0</v>
      </c>
      <c r="AQ1545" s="66" t="s">
        <v>125</v>
      </c>
      <c r="AV1545" s="55">
        <f>AW1545+AX1545</f>
        <v>0</v>
      </c>
      <c r="AW1545" s="55">
        <f>G1545*AO1545</f>
        <v>0</v>
      </c>
      <c r="AX1545" s="55">
        <f>G1545*AP1545</f>
        <v>0</v>
      </c>
      <c r="AY1545" s="58" t="s">
        <v>2795</v>
      </c>
      <c r="AZ1545" s="58" t="s">
        <v>2633</v>
      </c>
      <c r="BA1545" s="34" t="s">
        <v>2634</v>
      </c>
      <c r="BC1545" s="55">
        <f>AW1545+AX1545</f>
        <v>0</v>
      </c>
      <c r="BD1545" s="55">
        <f>H1545/(100-BE1545)*100</f>
        <v>0</v>
      </c>
      <c r="BE1545" s="55">
        <v>0</v>
      </c>
      <c r="BF1545" s="55">
        <f>K1545</f>
        <v>0</v>
      </c>
      <c r="BH1545" s="63">
        <f>G1545*AO1545</f>
        <v>0</v>
      </c>
      <c r="BI1545" s="63">
        <f>G1545*AP1545</f>
        <v>0</v>
      </c>
      <c r="BJ1545" s="63">
        <f>G1545*H1545</f>
        <v>0</v>
      </c>
      <c r="BK1545" s="63"/>
      <c r="BL1545" s="55"/>
      <c r="BW1545" s="55">
        <v>21</v>
      </c>
    </row>
    <row r="1546" spans="1:75" ht="27" customHeight="1">
      <c r="A1546" s="1" t="s">
        <v>2915</v>
      </c>
      <c r="B1546" s="2" t="s">
        <v>2629</v>
      </c>
      <c r="C1546" s="2" t="s">
        <v>2916</v>
      </c>
      <c r="D1546" s="147" t="s">
        <v>2806</v>
      </c>
      <c r="E1546" s="148"/>
      <c r="F1546" s="2" t="s">
        <v>174</v>
      </c>
      <c r="G1546" s="55">
        <v>5</v>
      </c>
      <c r="H1546" s="56">
        <v>0</v>
      </c>
      <c r="I1546" s="55">
        <f>G1546*H1546</f>
        <v>0</v>
      </c>
      <c r="J1546" s="55">
        <v>0</v>
      </c>
      <c r="K1546" s="55">
        <f>G1546*J1546</f>
        <v>0</v>
      </c>
      <c r="L1546" s="57" t="s">
        <v>124</v>
      </c>
      <c r="Z1546" s="55">
        <f>IF(AQ1546="5",BJ1546,0)</f>
        <v>0</v>
      </c>
      <c r="AB1546" s="55">
        <f>IF(AQ1546="1",BH1546,0)</f>
        <v>0</v>
      </c>
      <c r="AC1546" s="55">
        <f>IF(AQ1546="1",BI1546,0)</f>
        <v>0</v>
      </c>
      <c r="AD1546" s="55">
        <f>IF(AQ1546="7",BH1546,0)</f>
        <v>0</v>
      </c>
      <c r="AE1546" s="55">
        <f>IF(AQ1546="7",BI1546,0)</f>
        <v>0</v>
      </c>
      <c r="AF1546" s="55">
        <f>IF(AQ1546="2",BH1546,0)</f>
        <v>0</v>
      </c>
      <c r="AG1546" s="55">
        <f>IF(AQ1546="2",BI1546,0)</f>
        <v>0</v>
      </c>
      <c r="AH1546" s="55">
        <f>IF(AQ1546="0",BJ1546,0)</f>
        <v>0</v>
      </c>
      <c r="AI1546" s="34" t="s">
        <v>2629</v>
      </c>
      <c r="AJ1546" s="55">
        <f>IF(AN1546=0,I1546,0)</f>
        <v>0</v>
      </c>
      <c r="AK1546" s="55">
        <f>IF(AN1546=12,I1546,0)</f>
        <v>0</v>
      </c>
      <c r="AL1546" s="55">
        <f>IF(AN1546=21,I1546,0)</f>
        <v>0</v>
      </c>
      <c r="AN1546" s="55">
        <v>21</v>
      </c>
      <c r="AO1546" s="55">
        <f>H1546*0</f>
        <v>0</v>
      </c>
      <c r="AP1546" s="55">
        <f>H1546*(1-0)</f>
        <v>0</v>
      </c>
      <c r="AQ1546" s="58" t="s">
        <v>125</v>
      </c>
      <c r="AV1546" s="55">
        <f>AW1546+AX1546</f>
        <v>0</v>
      </c>
      <c r="AW1546" s="55">
        <f>G1546*AO1546</f>
        <v>0</v>
      </c>
      <c r="AX1546" s="55">
        <f>G1546*AP1546</f>
        <v>0</v>
      </c>
      <c r="AY1546" s="58" t="s">
        <v>2795</v>
      </c>
      <c r="AZ1546" s="58" t="s">
        <v>2633</v>
      </c>
      <c r="BA1546" s="34" t="s">
        <v>2634</v>
      </c>
      <c r="BC1546" s="55">
        <f>AW1546+AX1546</f>
        <v>0</v>
      </c>
      <c r="BD1546" s="55">
        <f>H1546/(100-BE1546)*100</f>
        <v>0</v>
      </c>
      <c r="BE1546" s="55">
        <v>0</v>
      </c>
      <c r="BF1546" s="55">
        <f>K1546</f>
        <v>0</v>
      </c>
      <c r="BH1546" s="55">
        <f>G1546*AO1546</f>
        <v>0</v>
      </c>
      <c r="BI1546" s="55">
        <f>G1546*AP1546</f>
        <v>0</v>
      </c>
      <c r="BJ1546" s="55">
        <f>G1546*H1546</f>
        <v>0</v>
      </c>
      <c r="BK1546" s="55"/>
      <c r="BL1546" s="55"/>
      <c r="BW1546" s="55">
        <v>21</v>
      </c>
    </row>
    <row r="1547" spans="1:75" ht="13.5" customHeight="1">
      <c r="A1547" s="61" t="s">
        <v>1521</v>
      </c>
      <c r="B1547" s="62" t="s">
        <v>2629</v>
      </c>
      <c r="C1547" s="62" t="s">
        <v>2917</v>
      </c>
      <c r="D1547" s="224" t="s">
        <v>2918</v>
      </c>
      <c r="E1547" s="225"/>
      <c r="F1547" s="62" t="s">
        <v>2815</v>
      </c>
      <c r="G1547" s="63">
        <v>5</v>
      </c>
      <c r="H1547" s="64">
        <v>0</v>
      </c>
      <c r="I1547" s="63">
        <f>G1547*H1547</f>
        <v>0</v>
      </c>
      <c r="J1547" s="63">
        <v>0</v>
      </c>
      <c r="K1547" s="63">
        <f>G1547*J1547</f>
        <v>0</v>
      </c>
      <c r="L1547" s="65" t="s">
        <v>124</v>
      </c>
      <c r="Z1547" s="55">
        <f>IF(AQ1547="5",BJ1547,0)</f>
        <v>0</v>
      </c>
      <c r="AB1547" s="55">
        <f>IF(AQ1547="1",BH1547,0)</f>
        <v>0</v>
      </c>
      <c r="AC1547" s="55">
        <f>IF(AQ1547="1",BI1547,0)</f>
        <v>0</v>
      </c>
      <c r="AD1547" s="55">
        <f>IF(AQ1547="7",BH1547,0)</f>
        <v>0</v>
      </c>
      <c r="AE1547" s="55">
        <f>IF(AQ1547="7",BI1547,0)</f>
        <v>0</v>
      </c>
      <c r="AF1547" s="55">
        <f>IF(AQ1547="2",BH1547,0)</f>
        <v>0</v>
      </c>
      <c r="AG1547" s="55">
        <f>IF(AQ1547="2",BI1547,0)</f>
        <v>0</v>
      </c>
      <c r="AH1547" s="55">
        <f>IF(AQ1547="0",BJ1547,0)</f>
        <v>0</v>
      </c>
      <c r="AI1547" s="34" t="s">
        <v>2629</v>
      </c>
      <c r="AJ1547" s="63">
        <f>IF(AN1547=0,I1547,0)</f>
        <v>0</v>
      </c>
      <c r="AK1547" s="63">
        <f>IF(AN1547=12,I1547,0)</f>
        <v>0</v>
      </c>
      <c r="AL1547" s="63">
        <f>IF(AN1547=21,I1547,0)</f>
        <v>0</v>
      </c>
      <c r="AN1547" s="55">
        <v>21</v>
      </c>
      <c r="AO1547" s="55">
        <f>H1547*1</f>
        <v>0</v>
      </c>
      <c r="AP1547" s="55">
        <f>H1547*(1-1)</f>
        <v>0</v>
      </c>
      <c r="AQ1547" s="66" t="s">
        <v>125</v>
      </c>
      <c r="AV1547" s="55">
        <f>AW1547+AX1547</f>
        <v>0</v>
      </c>
      <c r="AW1547" s="55">
        <f>G1547*AO1547</f>
        <v>0</v>
      </c>
      <c r="AX1547" s="55">
        <f>G1547*AP1547</f>
        <v>0</v>
      </c>
      <c r="AY1547" s="58" t="s">
        <v>2795</v>
      </c>
      <c r="AZ1547" s="58" t="s">
        <v>2633</v>
      </c>
      <c r="BA1547" s="34" t="s">
        <v>2634</v>
      </c>
      <c r="BC1547" s="55">
        <f>AW1547+AX1547</f>
        <v>0</v>
      </c>
      <c r="BD1547" s="55">
        <f>H1547/(100-BE1547)*100</f>
        <v>0</v>
      </c>
      <c r="BE1547" s="55">
        <v>0</v>
      </c>
      <c r="BF1547" s="55">
        <f>K1547</f>
        <v>0</v>
      </c>
      <c r="BH1547" s="63">
        <f>G1547*AO1547</f>
        <v>0</v>
      </c>
      <c r="BI1547" s="63">
        <f>G1547*AP1547</f>
        <v>0</v>
      </c>
      <c r="BJ1547" s="63">
        <f>G1547*H1547</f>
        <v>0</v>
      </c>
      <c r="BK1547" s="63"/>
      <c r="BL1547" s="55"/>
      <c r="BW1547" s="55">
        <v>21</v>
      </c>
    </row>
    <row r="1548" spans="1:75" ht="27" customHeight="1">
      <c r="A1548" s="1" t="s">
        <v>2919</v>
      </c>
      <c r="B1548" s="2" t="s">
        <v>2629</v>
      </c>
      <c r="C1548" s="2" t="s">
        <v>2805</v>
      </c>
      <c r="D1548" s="147" t="s">
        <v>2871</v>
      </c>
      <c r="E1548" s="148"/>
      <c r="F1548" s="2" t="s">
        <v>174</v>
      </c>
      <c r="G1548" s="55">
        <v>80</v>
      </c>
      <c r="H1548" s="56">
        <v>0</v>
      </c>
      <c r="I1548" s="55">
        <f>G1548*H1548</f>
        <v>0</v>
      </c>
      <c r="J1548" s="55">
        <v>0</v>
      </c>
      <c r="K1548" s="55">
        <f>G1548*J1548</f>
        <v>0</v>
      </c>
      <c r="L1548" s="57" t="s">
        <v>124</v>
      </c>
      <c r="Z1548" s="55">
        <f>IF(AQ1548="5",BJ1548,0)</f>
        <v>0</v>
      </c>
      <c r="AB1548" s="55">
        <f>IF(AQ1548="1",BH1548,0)</f>
        <v>0</v>
      </c>
      <c r="AC1548" s="55">
        <f>IF(AQ1548="1",BI1548,0)</f>
        <v>0</v>
      </c>
      <c r="AD1548" s="55">
        <f>IF(AQ1548="7",BH1548,0)</f>
        <v>0</v>
      </c>
      <c r="AE1548" s="55">
        <f>IF(AQ1548="7",BI1548,0)</f>
        <v>0</v>
      </c>
      <c r="AF1548" s="55">
        <f>IF(AQ1548="2",BH1548,0)</f>
        <v>0</v>
      </c>
      <c r="AG1548" s="55">
        <f>IF(AQ1548="2",BI1548,0)</f>
        <v>0</v>
      </c>
      <c r="AH1548" s="55">
        <f>IF(AQ1548="0",BJ1548,0)</f>
        <v>0</v>
      </c>
      <c r="AI1548" s="34" t="s">
        <v>2629</v>
      </c>
      <c r="AJ1548" s="55">
        <f>IF(AN1548=0,I1548,0)</f>
        <v>0</v>
      </c>
      <c r="AK1548" s="55">
        <f>IF(AN1548=12,I1548,0)</f>
        <v>0</v>
      </c>
      <c r="AL1548" s="55">
        <f>IF(AN1548=21,I1548,0)</f>
        <v>0</v>
      </c>
      <c r="AN1548" s="55">
        <v>21</v>
      </c>
      <c r="AO1548" s="55">
        <f>H1548*0</f>
        <v>0</v>
      </c>
      <c r="AP1548" s="55">
        <f>H1548*(1-0)</f>
        <v>0</v>
      </c>
      <c r="AQ1548" s="58" t="s">
        <v>125</v>
      </c>
      <c r="AV1548" s="55">
        <f>AW1548+AX1548</f>
        <v>0</v>
      </c>
      <c r="AW1548" s="55">
        <f>G1548*AO1548</f>
        <v>0</v>
      </c>
      <c r="AX1548" s="55">
        <f>G1548*AP1548</f>
        <v>0</v>
      </c>
      <c r="AY1548" s="58" t="s">
        <v>2795</v>
      </c>
      <c r="AZ1548" s="58" t="s">
        <v>2633</v>
      </c>
      <c r="BA1548" s="34" t="s">
        <v>2634</v>
      </c>
      <c r="BC1548" s="55">
        <f>AW1548+AX1548</f>
        <v>0</v>
      </c>
      <c r="BD1548" s="55">
        <f>H1548/(100-BE1548)*100</f>
        <v>0</v>
      </c>
      <c r="BE1548" s="55">
        <v>0</v>
      </c>
      <c r="BF1548" s="55">
        <f>K1548</f>
        <v>0</v>
      </c>
      <c r="BH1548" s="55">
        <f>G1548*AO1548</f>
        <v>0</v>
      </c>
      <c r="BI1548" s="55">
        <f>G1548*AP1548</f>
        <v>0</v>
      </c>
      <c r="BJ1548" s="55">
        <f>G1548*H1548</f>
        <v>0</v>
      </c>
      <c r="BK1548" s="55"/>
      <c r="BL1548" s="55"/>
      <c r="BW1548" s="55">
        <v>21</v>
      </c>
    </row>
    <row r="1549" spans="1:12" ht="13.5" customHeight="1">
      <c r="A1549" s="59"/>
      <c r="D1549" s="218" t="s">
        <v>2872</v>
      </c>
      <c r="E1549" s="219"/>
      <c r="F1549" s="219"/>
      <c r="G1549" s="219"/>
      <c r="H1549" s="220"/>
      <c r="I1549" s="219"/>
      <c r="J1549" s="219"/>
      <c r="K1549" s="219"/>
      <c r="L1549" s="221"/>
    </row>
    <row r="1550" spans="1:75" ht="13.5" customHeight="1">
      <c r="A1550" s="61" t="s">
        <v>1532</v>
      </c>
      <c r="B1550" s="62" t="s">
        <v>2629</v>
      </c>
      <c r="C1550" s="62" t="s">
        <v>2808</v>
      </c>
      <c r="D1550" s="224" t="s">
        <v>2809</v>
      </c>
      <c r="E1550" s="225"/>
      <c r="F1550" s="62" t="s">
        <v>174</v>
      </c>
      <c r="G1550" s="63">
        <v>80</v>
      </c>
      <c r="H1550" s="64">
        <v>0</v>
      </c>
      <c r="I1550" s="63">
        <f aca="true" t="shared" si="348" ref="I1550:I1575">G1550*H1550</f>
        <v>0</v>
      </c>
      <c r="J1550" s="63">
        <v>0</v>
      </c>
      <c r="K1550" s="63">
        <f aca="true" t="shared" si="349" ref="K1550:K1575">G1550*J1550</f>
        <v>0</v>
      </c>
      <c r="L1550" s="65" t="s">
        <v>124</v>
      </c>
      <c r="Z1550" s="55">
        <f aca="true" t="shared" si="350" ref="Z1550:Z1575">IF(AQ1550="5",BJ1550,0)</f>
        <v>0</v>
      </c>
      <c r="AB1550" s="55">
        <f aca="true" t="shared" si="351" ref="AB1550:AB1575">IF(AQ1550="1",BH1550,0)</f>
        <v>0</v>
      </c>
      <c r="AC1550" s="55">
        <f aca="true" t="shared" si="352" ref="AC1550:AC1575">IF(AQ1550="1",BI1550,0)</f>
        <v>0</v>
      </c>
      <c r="AD1550" s="55">
        <f aca="true" t="shared" si="353" ref="AD1550:AD1575">IF(AQ1550="7",BH1550,0)</f>
        <v>0</v>
      </c>
      <c r="AE1550" s="55">
        <f aca="true" t="shared" si="354" ref="AE1550:AE1575">IF(AQ1550="7",BI1550,0)</f>
        <v>0</v>
      </c>
      <c r="AF1550" s="55">
        <f aca="true" t="shared" si="355" ref="AF1550:AF1575">IF(AQ1550="2",BH1550,0)</f>
        <v>0</v>
      </c>
      <c r="AG1550" s="55">
        <f aca="true" t="shared" si="356" ref="AG1550:AG1575">IF(AQ1550="2",BI1550,0)</f>
        <v>0</v>
      </c>
      <c r="AH1550" s="55">
        <f aca="true" t="shared" si="357" ref="AH1550:AH1575">IF(AQ1550="0",BJ1550,0)</f>
        <v>0</v>
      </c>
      <c r="AI1550" s="34" t="s">
        <v>2629</v>
      </c>
      <c r="AJ1550" s="63">
        <f aca="true" t="shared" si="358" ref="AJ1550:AJ1575">IF(AN1550=0,I1550,0)</f>
        <v>0</v>
      </c>
      <c r="AK1550" s="63">
        <f aca="true" t="shared" si="359" ref="AK1550:AK1575">IF(AN1550=12,I1550,0)</f>
        <v>0</v>
      </c>
      <c r="AL1550" s="63">
        <f aca="true" t="shared" si="360" ref="AL1550:AL1575">IF(AN1550=21,I1550,0)</f>
        <v>0</v>
      </c>
      <c r="AN1550" s="55">
        <v>21</v>
      </c>
      <c r="AO1550" s="55">
        <f>H1550*1</f>
        <v>0</v>
      </c>
      <c r="AP1550" s="55">
        <f>H1550*(1-1)</f>
        <v>0</v>
      </c>
      <c r="AQ1550" s="66" t="s">
        <v>125</v>
      </c>
      <c r="AV1550" s="55">
        <f aca="true" t="shared" si="361" ref="AV1550:AV1575">AW1550+AX1550</f>
        <v>0</v>
      </c>
      <c r="AW1550" s="55">
        <f aca="true" t="shared" si="362" ref="AW1550:AW1575">G1550*AO1550</f>
        <v>0</v>
      </c>
      <c r="AX1550" s="55">
        <f aca="true" t="shared" si="363" ref="AX1550:AX1575">G1550*AP1550</f>
        <v>0</v>
      </c>
      <c r="AY1550" s="58" t="s">
        <v>2795</v>
      </c>
      <c r="AZ1550" s="58" t="s">
        <v>2633</v>
      </c>
      <c r="BA1550" s="34" t="s">
        <v>2634</v>
      </c>
      <c r="BC1550" s="55">
        <f aca="true" t="shared" si="364" ref="BC1550:BC1575">AW1550+AX1550</f>
        <v>0</v>
      </c>
      <c r="BD1550" s="55">
        <f aca="true" t="shared" si="365" ref="BD1550:BD1575">H1550/(100-BE1550)*100</f>
        <v>0</v>
      </c>
      <c r="BE1550" s="55">
        <v>0</v>
      </c>
      <c r="BF1550" s="55">
        <f aca="true" t="shared" si="366" ref="BF1550:BF1575">K1550</f>
        <v>0</v>
      </c>
      <c r="BH1550" s="63">
        <f aca="true" t="shared" si="367" ref="BH1550:BH1575">G1550*AO1550</f>
        <v>0</v>
      </c>
      <c r="BI1550" s="63">
        <f aca="true" t="shared" si="368" ref="BI1550:BI1575">G1550*AP1550</f>
        <v>0</v>
      </c>
      <c r="BJ1550" s="63">
        <f aca="true" t="shared" si="369" ref="BJ1550:BJ1575">G1550*H1550</f>
        <v>0</v>
      </c>
      <c r="BK1550" s="63"/>
      <c r="BL1550" s="55"/>
      <c r="BW1550" s="55">
        <v>21</v>
      </c>
    </row>
    <row r="1551" spans="1:75" ht="27" customHeight="1">
      <c r="A1551" s="1" t="s">
        <v>1559</v>
      </c>
      <c r="B1551" s="2" t="s">
        <v>2629</v>
      </c>
      <c r="C1551" s="2" t="s">
        <v>2865</v>
      </c>
      <c r="D1551" s="147" t="s">
        <v>2866</v>
      </c>
      <c r="E1551" s="148"/>
      <c r="F1551" s="2" t="s">
        <v>174</v>
      </c>
      <c r="G1551" s="55">
        <v>160</v>
      </c>
      <c r="H1551" s="56">
        <v>0</v>
      </c>
      <c r="I1551" s="55">
        <f t="shared" si="348"/>
        <v>0</v>
      </c>
      <c r="J1551" s="55">
        <v>0</v>
      </c>
      <c r="K1551" s="55">
        <f t="shared" si="349"/>
        <v>0</v>
      </c>
      <c r="L1551" s="57" t="s">
        <v>124</v>
      </c>
      <c r="Z1551" s="55">
        <f t="shared" si="350"/>
        <v>0</v>
      </c>
      <c r="AB1551" s="55">
        <f t="shared" si="351"/>
        <v>0</v>
      </c>
      <c r="AC1551" s="55">
        <f t="shared" si="352"/>
        <v>0</v>
      </c>
      <c r="AD1551" s="55">
        <f t="shared" si="353"/>
        <v>0</v>
      </c>
      <c r="AE1551" s="55">
        <f t="shared" si="354"/>
        <v>0</v>
      </c>
      <c r="AF1551" s="55">
        <f t="shared" si="355"/>
        <v>0</v>
      </c>
      <c r="AG1551" s="55">
        <f t="shared" si="356"/>
        <v>0</v>
      </c>
      <c r="AH1551" s="55">
        <f t="shared" si="357"/>
        <v>0</v>
      </c>
      <c r="AI1551" s="34" t="s">
        <v>2629</v>
      </c>
      <c r="AJ1551" s="55">
        <f t="shared" si="358"/>
        <v>0</v>
      </c>
      <c r="AK1551" s="55">
        <f t="shared" si="359"/>
        <v>0</v>
      </c>
      <c r="AL1551" s="55">
        <f t="shared" si="360"/>
        <v>0</v>
      </c>
      <c r="AN1551" s="55">
        <v>21</v>
      </c>
      <c r="AO1551" s="55">
        <f>H1551*0</f>
        <v>0</v>
      </c>
      <c r="AP1551" s="55">
        <f>H1551*(1-0)</f>
        <v>0</v>
      </c>
      <c r="AQ1551" s="58" t="s">
        <v>125</v>
      </c>
      <c r="AV1551" s="55">
        <f t="shared" si="361"/>
        <v>0</v>
      </c>
      <c r="AW1551" s="55">
        <f t="shared" si="362"/>
        <v>0</v>
      </c>
      <c r="AX1551" s="55">
        <f t="shared" si="363"/>
        <v>0</v>
      </c>
      <c r="AY1551" s="58" t="s">
        <v>2795</v>
      </c>
      <c r="AZ1551" s="58" t="s">
        <v>2633</v>
      </c>
      <c r="BA1551" s="34" t="s">
        <v>2634</v>
      </c>
      <c r="BC1551" s="55">
        <f t="shared" si="364"/>
        <v>0</v>
      </c>
      <c r="BD1551" s="55">
        <f t="shared" si="365"/>
        <v>0</v>
      </c>
      <c r="BE1551" s="55">
        <v>0</v>
      </c>
      <c r="BF1551" s="55">
        <f t="shared" si="366"/>
        <v>0</v>
      </c>
      <c r="BH1551" s="55">
        <f t="shared" si="367"/>
        <v>0</v>
      </c>
      <c r="BI1551" s="55">
        <f t="shared" si="368"/>
        <v>0</v>
      </c>
      <c r="BJ1551" s="55">
        <f t="shared" si="369"/>
        <v>0</v>
      </c>
      <c r="BK1551" s="55"/>
      <c r="BL1551" s="55"/>
      <c r="BW1551" s="55">
        <v>21</v>
      </c>
    </row>
    <row r="1552" spans="1:75" ht="27" customHeight="1">
      <c r="A1552" s="61" t="s">
        <v>1589</v>
      </c>
      <c r="B1552" s="62" t="s">
        <v>2629</v>
      </c>
      <c r="C1552" s="62" t="s">
        <v>2920</v>
      </c>
      <c r="D1552" s="224" t="s">
        <v>2921</v>
      </c>
      <c r="E1552" s="225"/>
      <c r="F1552" s="62" t="s">
        <v>174</v>
      </c>
      <c r="G1552" s="63">
        <v>160</v>
      </c>
      <c r="H1552" s="64">
        <v>0</v>
      </c>
      <c r="I1552" s="63">
        <f t="shared" si="348"/>
        <v>0</v>
      </c>
      <c r="J1552" s="63">
        <v>0</v>
      </c>
      <c r="K1552" s="63">
        <f t="shared" si="349"/>
        <v>0</v>
      </c>
      <c r="L1552" s="65" t="s">
        <v>124</v>
      </c>
      <c r="Z1552" s="55">
        <f t="shared" si="350"/>
        <v>0</v>
      </c>
      <c r="AB1552" s="55">
        <f t="shared" si="351"/>
        <v>0</v>
      </c>
      <c r="AC1552" s="55">
        <f t="shared" si="352"/>
        <v>0</v>
      </c>
      <c r="AD1552" s="55">
        <f t="shared" si="353"/>
        <v>0</v>
      </c>
      <c r="AE1552" s="55">
        <f t="shared" si="354"/>
        <v>0</v>
      </c>
      <c r="AF1552" s="55">
        <f t="shared" si="355"/>
        <v>0</v>
      </c>
      <c r="AG1552" s="55">
        <f t="shared" si="356"/>
        <v>0</v>
      </c>
      <c r="AH1552" s="55">
        <f t="shared" si="357"/>
        <v>0</v>
      </c>
      <c r="AI1552" s="34" t="s">
        <v>2629</v>
      </c>
      <c r="AJ1552" s="63">
        <f t="shared" si="358"/>
        <v>0</v>
      </c>
      <c r="AK1552" s="63">
        <f t="shared" si="359"/>
        <v>0</v>
      </c>
      <c r="AL1552" s="63">
        <f t="shared" si="360"/>
        <v>0</v>
      </c>
      <c r="AN1552" s="55">
        <v>21</v>
      </c>
      <c r="AO1552" s="55">
        <f>H1552*1</f>
        <v>0</v>
      </c>
      <c r="AP1552" s="55">
        <f>H1552*(1-1)</f>
        <v>0</v>
      </c>
      <c r="AQ1552" s="66" t="s">
        <v>125</v>
      </c>
      <c r="AV1552" s="55">
        <f t="shared" si="361"/>
        <v>0</v>
      </c>
      <c r="AW1552" s="55">
        <f t="shared" si="362"/>
        <v>0</v>
      </c>
      <c r="AX1552" s="55">
        <f t="shared" si="363"/>
        <v>0</v>
      </c>
      <c r="AY1552" s="58" t="s">
        <v>2795</v>
      </c>
      <c r="AZ1552" s="58" t="s">
        <v>2633</v>
      </c>
      <c r="BA1552" s="34" t="s">
        <v>2634</v>
      </c>
      <c r="BC1552" s="55">
        <f t="shared" si="364"/>
        <v>0</v>
      </c>
      <c r="BD1552" s="55">
        <f t="shared" si="365"/>
        <v>0</v>
      </c>
      <c r="BE1552" s="55">
        <v>0</v>
      </c>
      <c r="BF1552" s="55">
        <f t="shared" si="366"/>
        <v>0</v>
      </c>
      <c r="BH1552" s="63">
        <f t="shared" si="367"/>
        <v>0</v>
      </c>
      <c r="BI1552" s="63">
        <f t="shared" si="368"/>
        <v>0</v>
      </c>
      <c r="BJ1552" s="63">
        <f t="shared" si="369"/>
        <v>0</v>
      </c>
      <c r="BK1552" s="63"/>
      <c r="BL1552" s="55"/>
      <c r="BW1552" s="55">
        <v>21</v>
      </c>
    </row>
    <row r="1553" spans="1:75" ht="27" customHeight="1">
      <c r="A1553" s="1" t="s">
        <v>1631</v>
      </c>
      <c r="B1553" s="2" t="s">
        <v>2629</v>
      </c>
      <c r="C1553" s="2" t="s">
        <v>2922</v>
      </c>
      <c r="D1553" s="147" t="s">
        <v>2923</v>
      </c>
      <c r="E1553" s="148"/>
      <c r="F1553" s="2" t="s">
        <v>174</v>
      </c>
      <c r="G1553" s="55">
        <v>50</v>
      </c>
      <c r="H1553" s="56">
        <v>0</v>
      </c>
      <c r="I1553" s="55">
        <f t="shared" si="348"/>
        <v>0</v>
      </c>
      <c r="J1553" s="55">
        <v>0</v>
      </c>
      <c r="K1553" s="55">
        <f t="shared" si="349"/>
        <v>0</v>
      </c>
      <c r="L1553" s="57" t="s">
        <v>124</v>
      </c>
      <c r="Z1553" s="55">
        <f t="shared" si="350"/>
        <v>0</v>
      </c>
      <c r="AB1553" s="55">
        <f t="shared" si="351"/>
        <v>0</v>
      </c>
      <c r="AC1553" s="55">
        <f t="shared" si="352"/>
        <v>0</v>
      </c>
      <c r="AD1553" s="55">
        <f t="shared" si="353"/>
        <v>0</v>
      </c>
      <c r="AE1553" s="55">
        <f t="shared" si="354"/>
        <v>0</v>
      </c>
      <c r="AF1553" s="55">
        <f t="shared" si="355"/>
        <v>0</v>
      </c>
      <c r="AG1553" s="55">
        <f t="shared" si="356"/>
        <v>0</v>
      </c>
      <c r="AH1553" s="55">
        <f t="shared" si="357"/>
        <v>0</v>
      </c>
      <c r="AI1553" s="34" t="s">
        <v>2629</v>
      </c>
      <c r="AJ1553" s="55">
        <f t="shared" si="358"/>
        <v>0</v>
      </c>
      <c r="AK1553" s="55">
        <f t="shared" si="359"/>
        <v>0</v>
      </c>
      <c r="AL1553" s="55">
        <f t="shared" si="360"/>
        <v>0</v>
      </c>
      <c r="AN1553" s="55">
        <v>21</v>
      </c>
      <c r="AO1553" s="55">
        <f>H1553*0</f>
        <v>0</v>
      </c>
      <c r="AP1553" s="55">
        <f>H1553*(1-0)</f>
        <v>0</v>
      </c>
      <c r="AQ1553" s="58" t="s">
        <v>125</v>
      </c>
      <c r="AV1553" s="55">
        <f t="shared" si="361"/>
        <v>0</v>
      </c>
      <c r="AW1553" s="55">
        <f t="shared" si="362"/>
        <v>0</v>
      </c>
      <c r="AX1553" s="55">
        <f t="shared" si="363"/>
        <v>0</v>
      </c>
      <c r="AY1553" s="58" t="s">
        <v>2795</v>
      </c>
      <c r="AZ1553" s="58" t="s">
        <v>2633</v>
      </c>
      <c r="BA1553" s="34" t="s">
        <v>2634</v>
      </c>
      <c r="BC1553" s="55">
        <f t="shared" si="364"/>
        <v>0</v>
      </c>
      <c r="BD1553" s="55">
        <f t="shared" si="365"/>
        <v>0</v>
      </c>
      <c r="BE1553" s="55">
        <v>0</v>
      </c>
      <c r="BF1553" s="55">
        <f t="shared" si="366"/>
        <v>0</v>
      </c>
      <c r="BH1553" s="55">
        <f t="shared" si="367"/>
        <v>0</v>
      </c>
      <c r="BI1553" s="55">
        <f t="shared" si="368"/>
        <v>0</v>
      </c>
      <c r="BJ1553" s="55">
        <f t="shared" si="369"/>
        <v>0</v>
      </c>
      <c r="BK1553" s="55"/>
      <c r="BL1553" s="55"/>
      <c r="BW1553" s="55">
        <v>21</v>
      </c>
    </row>
    <row r="1554" spans="1:75" ht="13.5" customHeight="1">
      <c r="A1554" s="1" t="s">
        <v>2924</v>
      </c>
      <c r="B1554" s="2" t="s">
        <v>2629</v>
      </c>
      <c r="C1554" s="2" t="s">
        <v>2925</v>
      </c>
      <c r="D1554" s="147" t="s">
        <v>2926</v>
      </c>
      <c r="E1554" s="148"/>
      <c r="F1554" s="2" t="s">
        <v>174</v>
      </c>
      <c r="G1554" s="55">
        <v>50</v>
      </c>
      <c r="H1554" s="56">
        <v>0</v>
      </c>
      <c r="I1554" s="55">
        <f t="shared" si="348"/>
        <v>0</v>
      </c>
      <c r="J1554" s="55">
        <v>0</v>
      </c>
      <c r="K1554" s="55">
        <f t="shared" si="349"/>
        <v>0</v>
      </c>
      <c r="L1554" s="57" t="s">
        <v>124</v>
      </c>
      <c r="Z1554" s="55">
        <f t="shared" si="350"/>
        <v>0</v>
      </c>
      <c r="AB1554" s="55">
        <f t="shared" si="351"/>
        <v>0</v>
      </c>
      <c r="AC1554" s="55">
        <f t="shared" si="352"/>
        <v>0</v>
      </c>
      <c r="AD1554" s="55">
        <f t="shared" si="353"/>
        <v>0</v>
      </c>
      <c r="AE1554" s="55">
        <f t="shared" si="354"/>
        <v>0</v>
      </c>
      <c r="AF1554" s="55">
        <f t="shared" si="355"/>
        <v>0</v>
      </c>
      <c r="AG1554" s="55">
        <f t="shared" si="356"/>
        <v>0</v>
      </c>
      <c r="AH1554" s="55">
        <f t="shared" si="357"/>
        <v>0</v>
      </c>
      <c r="AI1554" s="34" t="s">
        <v>2629</v>
      </c>
      <c r="AJ1554" s="55">
        <f t="shared" si="358"/>
        <v>0</v>
      </c>
      <c r="AK1554" s="55">
        <f t="shared" si="359"/>
        <v>0</v>
      </c>
      <c r="AL1554" s="55">
        <f t="shared" si="360"/>
        <v>0</v>
      </c>
      <c r="AN1554" s="55">
        <v>21</v>
      </c>
      <c r="AO1554" s="55">
        <f>H1554*0</f>
        <v>0</v>
      </c>
      <c r="AP1554" s="55">
        <f>H1554*(1-0)</f>
        <v>0</v>
      </c>
      <c r="AQ1554" s="58" t="s">
        <v>125</v>
      </c>
      <c r="AV1554" s="55">
        <f t="shared" si="361"/>
        <v>0</v>
      </c>
      <c r="AW1554" s="55">
        <f t="shared" si="362"/>
        <v>0</v>
      </c>
      <c r="AX1554" s="55">
        <f t="shared" si="363"/>
        <v>0</v>
      </c>
      <c r="AY1554" s="58" t="s">
        <v>2795</v>
      </c>
      <c r="AZ1554" s="58" t="s">
        <v>2633</v>
      </c>
      <c r="BA1554" s="34" t="s">
        <v>2634</v>
      </c>
      <c r="BC1554" s="55">
        <f t="shared" si="364"/>
        <v>0</v>
      </c>
      <c r="BD1554" s="55">
        <f t="shared" si="365"/>
        <v>0</v>
      </c>
      <c r="BE1554" s="55">
        <v>0</v>
      </c>
      <c r="BF1554" s="55">
        <f t="shared" si="366"/>
        <v>0</v>
      </c>
      <c r="BH1554" s="55">
        <f t="shared" si="367"/>
        <v>0</v>
      </c>
      <c r="BI1554" s="55">
        <f t="shared" si="368"/>
        <v>0</v>
      </c>
      <c r="BJ1554" s="55">
        <f t="shared" si="369"/>
        <v>0</v>
      </c>
      <c r="BK1554" s="55"/>
      <c r="BL1554" s="55"/>
      <c r="BW1554" s="55">
        <v>21</v>
      </c>
    </row>
    <row r="1555" spans="1:75" ht="13.5" customHeight="1">
      <c r="A1555" s="61" t="s">
        <v>2927</v>
      </c>
      <c r="B1555" s="62" t="s">
        <v>2629</v>
      </c>
      <c r="C1555" s="62" t="s">
        <v>2928</v>
      </c>
      <c r="D1555" s="224" t="s">
        <v>2929</v>
      </c>
      <c r="E1555" s="225"/>
      <c r="F1555" s="62" t="s">
        <v>2815</v>
      </c>
      <c r="G1555" s="63">
        <v>50</v>
      </c>
      <c r="H1555" s="64">
        <v>0</v>
      </c>
      <c r="I1555" s="63">
        <f t="shared" si="348"/>
        <v>0</v>
      </c>
      <c r="J1555" s="63">
        <v>0</v>
      </c>
      <c r="K1555" s="63">
        <f t="shared" si="349"/>
        <v>0</v>
      </c>
      <c r="L1555" s="65" t="s">
        <v>124</v>
      </c>
      <c r="Z1555" s="55">
        <f t="shared" si="350"/>
        <v>0</v>
      </c>
      <c r="AB1555" s="55">
        <f t="shared" si="351"/>
        <v>0</v>
      </c>
      <c r="AC1555" s="55">
        <f t="shared" si="352"/>
        <v>0</v>
      </c>
      <c r="AD1555" s="55">
        <f t="shared" si="353"/>
        <v>0</v>
      </c>
      <c r="AE1555" s="55">
        <f t="shared" si="354"/>
        <v>0</v>
      </c>
      <c r="AF1555" s="55">
        <f t="shared" si="355"/>
        <v>0</v>
      </c>
      <c r="AG1555" s="55">
        <f t="shared" si="356"/>
        <v>0</v>
      </c>
      <c r="AH1555" s="55">
        <f t="shared" si="357"/>
        <v>0</v>
      </c>
      <c r="AI1555" s="34" t="s">
        <v>2629</v>
      </c>
      <c r="AJ1555" s="63">
        <f t="shared" si="358"/>
        <v>0</v>
      </c>
      <c r="AK1555" s="63">
        <f t="shared" si="359"/>
        <v>0</v>
      </c>
      <c r="AL1555" s="63">
        <f t="shared" si="360"/>
        <v>0</v>
      </c>
      <c r="AN1555" s="55">
        <v>21</v>
      </c>
      <c r="AO1555" s="55">
        <f aca="true" t="shared" si="370" ref="AO1555:AO1560">H1555*1</f>
        <v>0</v>
      </c>
      <c r="AP1555" s="55">
        <f aca="true" t="shared" si="371" ref="AP1555:AP1560">H1555*(1-1)</f>
        <v>0</v>
      </c>
      <c r="AQ1555" s="66" t="s">
        <v>125</v>
      </c>
      <c r="AV1555" s="55">
        <f t="shared" si="361"/>
        <v>0</v>
      </c>
      <c r="AW1555" s="55">
        <f t="shared" si="362"/>
        <v>0</v>
      </c>
      <c r="AX1555" s="55">
        <f t="shared" si="363"/>
        <v>0</v>
      </c>
      <c r="AY1555" s="58" t="s">
        <v>2795</v>
      </c>
      <c r="AZ1555" s="58" t="s">
        <v>2633</v>
      </c>
      <c r="BA1555" s="34" t="s">
        <v>2634</v>
      </c>
      <c r="BC1555" s="55">
        <f t="shared" si="364"/>
        <v>0</v>
      </c>
      <c r="BD1555" s="55">
        <f t="shared" si="365"/>
        <v>0</v>
      </c>
      <c r="BE1555" s="55">
        <v>0</v>
      </c>
      <c r="BF1555" s="55">
        <f t="shared" si="366"/>
        <v>0</v>
      </c>
      <c r="BH1555" s="63">
        <f t="shared" si="367"/>
        <v>0</v>
      </c>
      <c r="BI1555" s="63">
        <f t="shared" si="368"/>
        <v>0</v>
      </c>
      <c r="BJ1555" s="63">
        <f t="shared" si="369"/>
        <v>0</v>
      </c>
      <c r="BK1555" s="63"/>
      <c r="BL1555" s="55"/>
      <c r="BW1555" s="55">
        <v>21</v>
      </c>
    </row>
    <row r="1556" spans="1:75" ht="13.5" customHeight="1">
      <c r="A1556" s="61" t="s">
        <v>2930</v>
      </c>
      <c r="B1556" s="62" t="s">
        <v>2629</v>
      </c>
      <c r="C1556" s="62" t="s">
        <v>2931</v>
      </c>
      <c r="D1556" s="224" t="s">
        <v>2932</v>
      </c>
      <c r="E1556" s="225"/>
      <c r="F1556" s="62" t="s">
        <v>2815</v>
      </c>
      <c r="G1556" s="63">
        <v>50</v>
      </c>
      <c r="H1556" s="64">
        <v>0</v>
      </c>
      <c r="I1556" s="63">
        <f t="shared" si="348"/>
        <v>0</v>
      </c>
      <c r="J1556" s="63">
        <v>0</v>
      </c>
      <c r="K1556" s="63">
        <f t="shared" si="349"/>
        <v>0</v>
      </c>
      <c r="L1556" s="65" t="s">
        <v>124</v>
      </c>
      <c r="Z1556" s="55">
        <f t="shared" si="350"/>
        <v>0</v>
      </c>
      <c r="AB1556" s="55">
        <f t="shared" si="351"/>
        <v>0</v>
      </c>
      <c r="AC1556" s="55">
        <f t="shared" si="352"/>
        <v>0</v>
      </c>
      <c r="AD1556" s="55">
        <f t="shared" si="353"/>
        <v>0</v>
      </c>
      <c r="AE1556" s="55">
        <f t="shared" si="354"/>
        <v>0</v>
      </c>
      <c r="AF1556" s="55">
        <f t="shared" si="355"/>
        <v>0</v>
      </c>
      <c r="AG1556" s="55">
        <f t="shared" si="356"/>
        <v>0</v>
      </c>
      <c r="AH1556" s="55">
        <f t="shared" si="357"/>
        <v>0</v>
      </c>
      <c r="AI1556" s="34" t="s">
        <v>2629</v>
      </c>
      <c r="AJ1556" s="63">
        <f t="shared" si="358"/>
        <v>0</v>
      </c>
      <c r="AK1556" s="63">
        <f t="shared" si="359"/>
        <v>0</v>
      </c>
      <c r="AL1556" s="63">
        <f t="shared" si="360"/>
        <v>0</v>
      </c>
      <c r="AN1556" s="55">
        <v>21</v>
      </c>
      <c r="AO1556" s="55">
        <f t="shared" si="370"/>
        <v>0</v>
      </c>
      <c r="AP1556" s="55">
        <f t="shared" si="371"/>
        <v>0</v>
      </c>
      <c r="AQ1556" s="66" t="s">
        <v>125</v>
      </c>
      <c r="AV1556" s="55">
        <f t="shared" si="361"/>
        <v>0</v>
      </c>
      <c r="AW1556" s="55">
        <f t="shared" si="362"/>
        <v>0</v>
      </c>
      <c r="AX1556" s="55">
        <f t="shared" si="363"/>
        <v>0</v>
      </c>
      <c r="AY1556" s="58" t="s">
        <v>2795</v>
      </c>
      <c r="AZ1556" s="58" t="s">
        <v>2633</v>
      </c>
      <c r="BA1556" s="34" t="s">
        <v>2634</v>
      </c>
      <c r="BC1556" s="55">
        <f t="shared" si="364"/>
        <v>0</v>
      </c>
      <c r="BD1556" s="55">
        <f t="shared" si="365"/>
        <v>0</v>
      </c>
      <c r="BE1556" s="55">
        <v>0</v>
      </c>
      <c r="BF1556" s="55">
        <f t="shared" si="366"/>
        <v>0</v>
      </c>
      <c r="BH1556" s="63">
        <f t="shared" si="367"/>
        <v>0</v>
      </c>
      <c r="BI1556" s="63">
        <f t="shared" si="368"/>
        <v>0</v>
      </c>
      <c r="BJ1556" s="63">
        <f t="shared" si="369"/>
        <v>0</v>
      </c>
      <c r="BK1556" s="63"/>
      <c r="BL1556" s="55"/>
      <c r="BW1556" s="55">
        <v>21</v>
      </c>
    </row>
    <row r="1557" spans="1:75" ht="13.5" customHeight="1">
      <c r="A1557" s="61" t="s">
        <v>2933</v>
      </c>
      <c r="B1557" s="62" t="s">
        <v>2629</v>
      </c>
      <c r="C1557" s="62" t="s">
        <v>2934</v>
      </c>
      <c r="D1557" s="224" t="s">
        <v>2935</v>
      </c>
      <c r="E1557" s="225"/>
      <c r="F1557" s="62" t="s">
        <v>2936</v>
      </c>
      <c r="G1557" s="63">
        <v>100</v>
      </c>
      <c r="H1557" s="64">
        <v>0</v>
      </c>
      <c r="I1557" s="63">
        <f t="shared" si="348"/>
        <v>0</v>
      </c>
      <c r="J1557" s="63">
        <v>0</v>
      </c>
      <c r="K1557" s="63">
        <f t="shared" si="349"/>
        <v>0</v>
      </c>
      <c r="L1557" s="65" t="s">
        <v>124</v>
      </c>
      <c r="Z1557" s="55">
        <f t="shared" si="350"/>
        <v>0</v>
      </c>
      <c r="AB1557" s="55">
        <f t="shared" si="351"/>
        <v>0</v>
      </c>
      <c r="AC1557" s="55">
        <f t="shared" si="352"/>
        <v>0</v>
      </c>
      <c r="AD1557" s="55">
        <f t="shared" si="353"/>
        <v>0</v>
      </c>
      <c r="AE1557" s="55">
        <f t="shared" si="354"/>
        <v>0</v>
      </c>
      <c r="AF1557" s="55">
        <f t="shared" si="355"/>
        <v>0</v>
      </c>
      <c r="AG1557" s="55">
        <f t="shared" si="356"/>
        <v>0</v>
      </c>
      <c r="AH1557" s="55">
        <f t="shared" si="357"/>
        <v>0</v>
      </c>
      <c r="AI1557" s="34" t="s">
        <v>2629</v>
      </c>
      <c r="AJ1557" s="63">
        <f t="shared" si="358"/>
        <v>0</v>
      </c>
      <c r="AK1557" s="63">
        <f t="shared" si="359"/>
        <v>0</v>
      </c>
      <c r="AL1557" s="63">
        <f t="shared" si="360"/>
        <v>0</v>
      </c>
      <c r="AN1557" s="55">
        <v>21</v>
      </c>
      <c r="AO1557" s="55">
        <f t="shared" si="370"/>
        <v>0</v>
      </c>
      <c r="AP1557" s="55">
        <f t="shared" si="371"/>
        <v>0</v>
      </c>
      <c r="AQ1557" s="66" t="s">
        <v>125</v>
      </c>
      <c r="AV1557" s="55">
        <f t="shared" si="361"/>
        <v>0</v>
      </c>
      <c r="AW1557" s="55">
        <f t="shared" si="362"/>
        <v>0</v>
      </c>
      <c r="AX1557" s="55">
        <f t="shared" si="363"/>
        <v>0</v>
      </c>
      <c r="AY1557" s="58" t="s">
        <v>2795</v>
      </c>
      <c r="AZ1557" s="58" t="s">
        <v>2633</v>
      </c>
      <c r="BA1557" s="34" t="s">
        <v>2634</v>
      </c>
      <c r="BC1557" s="55">
        <f t="shared" si="364"/>
        <v>0</v>
      </c>
      <c r="BD1557" s="55">
        <f t="shared" si="365"/>
        <v>0</v>
      </c>
      <c r="BE1557" s="55">
        <v>0</v>
      </c>
      <c r="BF1557" s="55">
        <f t="shared" si="366"/>
        <v>0</v>
      </c>
      <c r="BH1557" s="63">
        <f t="shared" si="367"/>
        <v>0</v>
      </c>
      <c r="BI1557" s="63">
        <f t="shared" si="368"/>
        <v>0</v>
      </c>
      <c r="BJ1557" s="63">
        <f t="shared" si="369"/>
        <v>0</v>
      </c>
      <c r="BK1557" s="63"/>
      <c r="BL1557" s="55"/>
      <c r="BW1557" s="55">
        <v>21</v>
      </c>
    </row>
    <row r="1558" spans="1:75" ht="13.5" customHeight="1">
      <c r="A1558" s="61" t="s">
        <v>2937</v>
      </c>
      <c r="B1558" s="62" t="s">
        <v>2629</v>
      </c>
      <c r="C1558" s="62" t="s">
        <v>2938</v>
      </c>
      <c r="D1558" s="224" t="s">
        <v>2939</v>
      </c>
      <c r="E1558" s="225"/>
      <c r="F1558" s="62" t="s">
        <v>2936</v>
      </c>
      <c r="G1558" s="63">
        <v>92</v>
      </c>
      <c r="H1558" s="64">
        <v>0</v>
      </c>
      <c r="I1558" s="63">
        <f t="shared" si="348"/>
        <v>0</v>
      </c>
      <c r="J1558" s="63">
        <v>0</v>
      </c>
      <c r="K1558" s="63">
        <f t="shared" si="349"/>
        <v>0</v>
      </c>
      <c r="L1558" s="65" t="s">
        <v>124</v>
      </c>
      <c r="Z1558" s="55">
        <f t="shared" si="350"/>
        <v>0</v>
      </c>
      <c r="AB1558" s="55">
        <f t="shared" si="351"/>
        <v>0</v>
      </c>
      <c r="AC1558" s="55">
        <f t="shared" si="352"/>
        <v>0</v>
      </c>
      <c r="AD1558" s="55">
        <f t="shared" si="353"/>
        <v>0</v>
      </c>
      <c r="AE1558" s="55">
        <f t="shared" si="354"/>
        <v>0</v>
      </c>
      <c r="AF1558" s="55">
        <f t="shared" si="355"/>
        <v>0</v>
      </c>
      <c r="AG1558" s="55">
        <f t="shared" si="356"/>
        <v>0</v>
      </c>
      <c r="AH1558" s="55">
        <f t="shared" si="357"/>
        <v>0</v>
      </c>
      <c r="AI1558" s="34" t="s">
        <v>2629</v>
      </c>
      <c r="AJ1558" s="63">
        <f t="shared" si="358"/>
        <v>0</v>
      </c>
      <c r="AK1558" s="63">
        <f t="shared" si="359"/>
        <v>0</v>
      </c>
      <c r="AL1558" s="63">
        <f t="shared" si="360"/>
        <v>0</v>
      </c>
      <c r="AN1558" s="55">
        <v>21</v>
      </c>
      <c r="AO1558" s="55">
        <f t="shared" si="370"/>
        <v>0</v>
      </c>
      <c r="AP1558" s="55">
        <f t="shared" si="371"/>
        <v>0</v>
      </c>
      <c r="AQ1558" s="66" t="s">
        <v>125</v>
      </c>
      <c r="AV1558" s="55">
        <f t="shared" si="361"/>
        <v>0</v>
      </c>
      <c r="AW1558" s="55">
        <f t="shared" si="362"/>
        <v>0</v>
      </c>
      <c r="AX1558" s="55">
        <f t="shared" si="363"/>
        <v>0</v>
      </c>
      <c r="AY1558" s="58" t="s">
        <v>2795</v>
      </c>
      <c r="AZ1558" s="58" t="s">
        <v>2633</v>
      </c>
      <c r="BA1558" s="34" t="s">
        <v>2634</v>
      </c>
      <c r="BC1558" s="55">
        <f t="shared" si="364"/>
        <v>0</v>
      </c>
      <c r="BD1558" s="55">
        <f t="shared" si="365"/>
        <v>0</v>
      </c>
      <c r="BE1558" s="55">
        <v>0</v>
      </c>
      <c r="BF1558" s="55">
        <f t="shared" si="366"/>
        <v>0</v>
      </c>
      <c r="BH1558" s="63">
        <f t="shared" si="367"/>
        <v>0</v>
      </c>
      <c r="BI1558" s="63">
        <f t="shared" si="368"/>
        <v>0</v>
      </c>
      <c r="BJ1558" s="63">
        <f t="shared" si="369"/>
        <v>0</v>
      </c>
      <c r="BK1558" s="63"/>
      <c r="BL1558" s="55"/>
      <c r="BW1558" s="55">
        <v>21</v>
      </c>
    </row>
    <row r="1559" spans="1:75" ht="13.5" customHeight="1">
      <c r="A1559" s="61" t="s">
        <v>2940</v>
      </c>
      <c r="B1559" s="62" t="s">
        <v>2629</v>
      </c>
      <c r="C1559" s="62" t="s">
        <v>2941</v>
      </c>
      <c r="D1559" s="224" t="s">
        <v>2942</v>
      </c>
      <c r="E1559" s="225"/>
      <c r="F1559" s="62" t="s">
        <v>2936</v>
      </c>
      <c r="G1559" s="63">
        <v>42</v>
      </c>
      <c r="H1559" s="64">
        <v>0</v>
      </c>
      <c r="I1559" s="63">
        <f t="shared" si="348"/>
        <v>0</v>
      </c>
      <c r="J1559" s="63">
        <v>0</v>
      </c>
      <c r="K1559" s="63">
        <f t="shared" si="349"/>
        <v>0</v>
      </c>
      <c r="L1559" s="65" t="s">
        <v>124</v>
      </c>
      <c r="Z1559" s="55">
        <f t="shared" si="350"/>
        <v>0</v>
      </c>
      <c r="AB1559" s="55">
        <f t="shared" si="351"/>
        <v>0</v>
      </c>
      <c r="AC1559" s="55">
        <f t="shared" si="352"/>
        <v>0</v>
      </c>
      <c r="AD1559" s="55">
        <f t="shared" si="353"/>
        <v>0</v>
      </c>
      <c r="AE1559" s="55">
        <f t="shared" si="354"/>
        <v>0</v>
      </c>
      <c r="AF1559" s="55">
        <f t="shared" si="355"/>
        <v>0</v>
      </c>
      <c r="AG1559" s="55">
        <f t="shared" si="356"/>
        <v>0</v>
      </c>
      <c r="AH1559" s="55">
        <f t="shared" si="357"/>
        <v>0</v>
      </c>
      <c r="AI1559" s="34" t="s">
        <v>2629</v>
      </c>
      <c r="AJ1559" s="63">
        <f t="shared" si="358"/>
        <v>0</v>
      </c>
      <c r="AK1559" s="63">
        <f t="shared" si="359"/>
        <v>0</v>
      </c>
      <c r="AL1559" s="63">
        <f t="shared" si="360"/>
        <v>0</v>
      </c>
      <c r="AN1559" s="55">
        <v>21</v>
      </c>
      <c r="AO1559" s="55">
        <f t="shared" si="370"/>
        <v>0</v>
      </c>
      <c r="AP1559" s="55">
        <f t="shared" si="371"/>
        <v>0</v>
      </c>
      <c r="AQ1559" s="66" t="s">
        <v>125</v>
      </c>
      <c r="AV1559" s="55">
        <f t="shared" si="361"/>
        <v>0</v>
      </c>
      <c r="AW1559" s="55">
        <f t="shared" si="362"/>
        <v>0</v>
      </c>
      <c r="AX1559" s="55">
        <f t="shared" si="363"/>
        <v>0</v>
      </c>
      <c r="AY1559" s="58" t="s">
        <v>2795</v>
      </c>
      <c r="AZ1559" s="58" t="s">
        <v>2633</v>
      </c>
      <c r="BA1559" s="34" t="s">
        <v>2634</v>
      </c>
      <c r="BC1559" s="55">
        <f t="shared" si="364"/>
        <v>0</v>
      </c>
      <c r="BD1559" s="55">
        <f t="shared" si="365"/>
        <v>0</v>
      </c>
      <c r="BE1559" s="55">
        <v>0</v>
      </c>
      <c r="BF1559" s="55">
        <f t="shared" si="366"/>
        <v>0</v>
      </c>
      <c r="BH1559" s="63">
        <f t="shared" si="367"/>
        <v>0</v>
      </c>
      <c r="BI1559" s="63">
        <f t="shared" si="368"/>
        <v>0</v>
      </c>
      <c r="BJ1559" s="63">
        <f t="shared" si="369"/>
        <v>0</v>
      </c>
      <c r="BK1559" s="63"/>
      <c r="BL1559" s="55"/>
      <c r="BW1559" s="55">
        <v>21</v>
      </c>
    </row>
    <row r="1560" spans="1:75" ht="13.5" customHeight="1">
      <c r="A1560" s="61" t="s">
        <v>2943</v>
      </c>
      <c r="B1560" s="62" t="s">
        <v>2629</v>
      </c>
      <c r="C1560" s="62" t="s">
        <v>2944</v>
      </c>
      <c r="D1560" s="224" t="s">
        <v>2945</v>
      </c>
      <c r="E1560" s="225"/>
      <c r="F1560" s="62" t="s">
        <v>2936</v>
      </c>
      <c r="G1560" s="63">
        <v>42</v>
      </c>
      <c r="H1560" s="64">
        <v>0</v>
      </c>
      <c r="I1560" s="63">
        <f t="shared" si="348"/>
        <v>0</v>
      </c>
      <c r="J1560" s="63">
        <v>0</v>
      </c>
      <c r="K1560" s="63">
        <f t="shared" si="349"/>
        <v>0</v>
      </c>
      <c r="L1560" s="65" t="s">
        <v>124</v>
      </c>
      <c r="Z1560" s="55">
        <f t="shared" si="350"/>
        <v>0</v>
      </c>
      <c r="AB1560" s="55">
        <f t="shared" si="351"/>
        <v>0</v>
      </c>
      <c r="AC1560" s="55">
        <f t="shared" si="352"/>
        <v>0</v>
      </c>
      <c r="AD1560" s="55">
        <f t="shared" si="353"/>
        <v>0</v>
      </c>
      <c r="AE1560" s="55">
        <f t="shared" si="354"/>
        <v>0</v>
      </c>
      <c r="AF1560" s="55">
        <f t="shared" si="355"/>
        <v>0</v>
      </c>
      <c r="AG1560" s="55">
        <f t="shared" si="356"/>
        <v>0</v>
      </c>
      <c r="AH1560" s="55">
        <f t="shared" si="357"/>
        <v>0</v>
      </c>
      <c r="AI1560" s="34" t="s">
        <v>2629</v>
      </c>
      <c r="AJ1560" s="63">
        <f t="shared" si="358"/>
        <v>0</v>
      </c>
      <c r="AK1560" s="63">
        <f t="shared" si="359"/>
        <v>0</v>
      </c>
      <c r="AL1560" s="63">
        <f t="shared" si="360"/>
        <v>0</v>
      </c>
      <c r="AN1560" s="55">
        <v>21</v>
      </c>
      <c r="AO1560" s="55">
        <f t="shared" si="370"/>
        <v>0</v>
      </c>
      <c r="AP1560" s="55">
        <f t="shared" si="371"/>
        <v>0</v>
      </c>
      <c r="AQ1560" s="66" t="s">
        <v>125</v>
      </c>
      <c r="AV1560" s="55">
        <f t="shared" si="361"/>
        <v>0</v>
      </c>
      <c r="AW1560" s="55">
        <f t="shared" si="362"/>
        <v>0</v>
      </c>
      <c r="AX1560" s="55">
        <f t="shared" si="363"/>
        <v>0</v>
      </c>
      <c r="AY1560" s="58" t="s">
        <v>2795</v>
      </c>
      <c r="AZ1560" s="58" t="s">
        <v>2633</v>
      </c>
      <c r="BA1560" s="34" t="s">
        <v>2634</v>
      </c>
      <c r="BC1560" s="55">
        <f t="shared" si="364"/>
        <v>0</v>
      </c>
      <c r="BD1560" s="55">
        <f t="shared" si="365"/>
        <v>0</v>
      </c>
      <c r="BE1560" s="55">
        <v>0</v>
      </c>
      <c r="BF1560" s="55">
        <f t="shared" si="366"/>
        <v>0</v>
      </c>
      <c r="BH1560" s="63">
        <f t="shared" si="367"/>
        <v>0</v>
      </c>
      <c r="BI1560" s="63">
        <f t="shared" si="368"/>
        <v>0</v>
      </c>
      <c r="BJ1560" s="63">
        <f t="shared" si="369"/>
        <v>0</v>
      </c>
      <c r="BK1560" s="63"/>
      <c r="BL1560" s="55"/>
      <c r="BW1560" s="55">
        <v>21</v>
      </c>
    </row>
    <row r="1561" spans="1:75" ht="27" customHeight="1">
      <c r="A1561" s="1" t="s">
        <v>2946</v>
      </c>
      <c r="B1561" s="2" t="s">
        <v>2629</v>
      </c>
      <c r="C1561" s="2" t="s">
        <v>2947</v>
      </c>
      <c r="D1561" s="147" t="s">
        <v>2948</v>
      </c>
      <c r="E1561" s="148"/>
      <c r="F1561" s="2" t="s">
        <v>174</v>
      </c>
      <c r="G1561" s="55">
        <v>60</v>
      </c>
      <c r="H1561" s="56">
        <v>0</v>
      </c>
      <c r="I1561" s="55">
        <f t="shared" si="348"/>
        <v>0</v>
      </c>
      <c r="J1561" s="55">
        <v>0</v>
      </c>
      <c r="K1561" s="55">
        <f t="shared" si="349"/>
        <v>0</v>
      </c>
      <c r="L1561" s="57" t="s">
        <v>124</v>
      </c>
      <c r="Z1561" s="55">
        <f t="shared" si="350"/>
        <v>0</v>
      </c>
      <c r="AB1561" s="55">
        <f t="shared" si="351"/>
        <v>0</v>
      </c>
      <c r="AC1561" s="55">
        <f t="shared" si="352"/>
        <v>0</v>
      </c>
      <c r="AD1561" s="55">
        <f t="shared" si="353"/>
        <v>0</v>
      </c>
      <c r="AE1561" s="55">
        <f t="shared" si="354"/>
        <v>0</v>
      </c>
      <c r="AF1561" s="55">
        <f t="shared" si="355"/>
        <v>0</v>
      </c>
      <c r="AG1561" s="55">
        <f t="shared" si="356"/>
        <v>0</v>
      </c>
      <c r="AH1561" s="55">
        <f t="shared" si="357"/>
        <v>0</v>
      </c>
      <c r="AI1561" s="34" t="s">
        <v>2629</v>
      </c>
      <c r="AJ1561" s="55">
        <f t="shared" si="358"/>
        <v>0</v>
      </c>
      <c r="AK1561" s="55">
        <f t="shared" si="359"/>
        <v>0</v>
      </c>
      <c r="AL1561" s="55">
        <f t="shared" si="360"/>
        <v>0</v>
      </c>
      <c r="AN1561" s="55">
        <v>21</v>
      </c>
      <c r="AO1561" s="55">
        <f>H1561*0</f>
        <v>0</v>
      </c>
      <c r="AP1561" s="55">
        <f>H1561*(1-0)</f>
        <v>0</v>
      </c>
      <c r="AQ1561" s="58" t="s">
        <v>125</v>
      </c>
      <c r="AV1561" s="55">
        <f t="shared" si="361"/>
        <v>0</v>
      </c>
      <c r="AW1561" s="55">
        <f t="shared" si="362"/>
        <v>0</v>
      </c>
      <c r="AX1561" s="55">
        <f t="shared" si="363"/>
        <v>0</v>
      </c>
      <c r="AY1561" s="58" t="s">
        <v>2795</v>
      </c>
      <c r="AZ1561" s="58" t="s">
        <v>2633</v>
      </c>
      <c r="BA1561" s="34" t="s">
        <v>2634</v>
      </c>
      <c r="BC1561" s="55">
        <f t="shared" si="364"/>
        <v>0</v>
      </c>
      <c r="BD1561" s="55">
        <f t="shared" si="365"/>
        <v>0</v>
      </c>
      <c r="BE1561" s="55">
        <v>0</v>
      </c>
      <c r="BF1561" s="55">
        <f t="shared" si="366"/>
        <v>0</v>
      </c>
      <c r="BH1561" s="55">
        <f t="shared" si="367"/>
        <v>0</v>
      </c>
      <c r="BI1561" s="55">
        <f t="shared" si="368"/>
        <v>0</v>
      </c>
      <c r="BJ1561" s="55">
        <f t="shared" si="369"/>
        <v>0</v>
      </c>
      <c r="BK1561" s="55"/>
      <c r="BL1561" s="55"/>
      <c r="BW1561" s="55">
        <v>21</v>
      </c>
    </row>
    <row r="1562" spans="1:75" ht="13.5" customHeight="1">
      <c r="A1562" s="1" t="s">
        <v>2949</v>
      </c>
      <c r="B1562" s="2" t="s">
        <v>2629</v>
      </c>
      <c r="C1562" s="2" t="s">
        <v>2950</v>
      </c>
      <c r="D1562" s="147" t="s">
        <v>2951</v>
      </c>
      <c r="E1562" s="148"/>
      <c r="F1562" s="2" t="s">
        <v>374</v>
      </c>
      <c r="G1562" s="55">
        <v>4</v>
      </c>
      <c r="H1562" s="56">
        <v>0</v>
      </c>
      <c r="I1562" s="55">
        <f t="shared" si="348"/>
        <v>0</v>
      </c>
      <c r="J1562" s="55">
        <v>0</v>
      </c>
      <c r="K1562" s="55">
        <f t="shared" si="349"/>
        <v>0</v>
      </c>
      <c r="L1562" s="57" t="s">
        <v>124</v>
      </c>
      <c r="Z1562" s="55">
        <f t="shared" si="350"/>
        <v>0</v>
      </c>
      <c r="AB1562" s="55">
        <f t="shared" si="351"/>
        <v>0</v>
      </c>
      <c r="AC1562" s="55">
        <f t="shared" si="352"/>
        <v>0</v>
      </c>
      <c r="AD1562" s="55">
        <f t="shared" si="353"/>
        <v>0</v>
      </c>
      <c r="AE1562" s="55">
        <f t="shared" si="354"/>
        <v>0</v>
      </c>
      <c r="AF1562" s="55">
        <f t="shared" si="355"/>
        <v>0</v>
      </c>
      <c r="AG1562" s="55">
        <f t="shared" si="356"/>
        <v>0</v>
      </c>
      <c r="AH1562" s="55">
        <f t="shared" si="357"/>
        <v>0</v>
      </c>
      <c r="AI1562" s="34" t="s">
        <v>2629</v>
      </c>
      <c r="AJ1562" s="55">
        <f t="shared" si="358"/>
        <v>0</v>
      </c>
      <c r="AK1562" s="55">
        <f t="shared" si="359"/>
        <v>0</v>
      </c>
      <c r="AL1562" s="55">
        <f t="shared" si="360"/>
        <v>0</v>
      </c>
      <c r="AN1562" s="55">
        <v>21</v>
      </c>
      <c r="AO1562" s="55">
        <f>H1562*0</f>
        <v>0</v>
      </c>
      <c r="AP1562" s="55">
        <f>H1562*(1-0)</f>
        <v>0</v>
      </c>
      <c r="AQ1562" s="58" t="s">
        <v>130</v>
      </c>
      <c r="AV1562" s="55">
        <f t="shared" si="361"/>
        <v>0</v>
      </c>
      <c r="AW1562" s="55">
        <f t="shared" si="362"/>
        <v>0</v>
      </c>
      <c r="AX1562" s="55">
        <f t="shared" si="363"/>
        <v>0</v>
      </c>
      <c r="AY1562" s="58" t="s">
        <v>2795</v>
      </c>
      <c r="AZ1562" s="58" t="s">
        <v>2633</v>
      </c>
      <c r="BA1562" s="34" t="s">
        <v>2634</v>
      </c>
      <c r="BC1562" s="55">
        <f t="shared" si="364"/>
        <v>0</v>
      </c>
      <c r="BD1562" s="55">
        <f t="shared" si="365"/>
        <v>0</v>
      </c>
      <c r="BE1562" s="55">
        <v>0</v>
      </c>
      <c r="BF1562" s="55">
        <f t="shared" si="366"/>
        <v>0</v>
      </c>
      <c r="BH1562" s="55">
        <f t="shared" si="367"/>
        <v>0</v>
      </c>
      <c r="BI1562" s="55">
        <f t="shared" si="368"/>
        <v>0</v>
      </c>
      <c r="BJ1562" s="55">
        <f t="shared" si="369"/>
        <v>0</v>
      </c>
      <c r="BK1562" s="55"/>
      <c r="BL1562" s="55"/>
      <c r="BW1562" s="55">
        <v>21</v>
      </c>
    </row>
    <row r="1563" spans="1:75" ht="27" customHeight="1">
      <c r="A1563" s="1" t="s">
        <v>2952</v>
      </c>
      <c r="B1563" s="2" t="s">
        <v>2629</v>
      </c>
      <c r="C1563" s="2" t="s">
        <v>2953</v>
      </c>
      <c r="D1563" s="147" t="s">
        <v>2954</v>
      </c>
      <c r="E1563" s="148"/>
      <c r="F1563" s="2" t="s">
        <v>729</v>
      </c>
      <c r="G1563" s="55">
        <v>0.4</v>
      </c>
      <c r="H1563" s="56">
        <v>0</v>
      </c>
      <c r="I1563" s="55">
        <f t="shared" si="348"/>
        <v>0</v>
      </c>
      <c r="J1563" s="55">
        <v>0</v>
      </c>
      <c r="K1563" s="55">
        <f t="shared" si="349"/>
        <v>0</v>
      </c>
      <c r="L1563" s="57" t="s">
        <v>124</v>
      </c>
      <c r="Z1563" s="55">
        <f t="shared" si="350"/>
        <v>0</v>
      </c>
      <c r="AB1563" s="55">
        <f t="shared" si="351"/>
        <v>0</v>
      </c>
      <c r="AC1563" s="55">
        <f t="shared" si="352"/>
        <v>0</v>
      </c>
      <c r="AD1563" s="55">
        <f t="shared" si="353"/>
        <v>0</v>
      </c>
      <c r="AE1563" s="55">
        <f t="shared" si="354"/>
        <v>0</v>
      </c>
      <c r="AF1563" s="55">
        <f t="shared" si="355"/>
        <v>0</v>
      </c>
      <c r="AG1563" s="55">
        <f t="shared" si="356"/>
        <v>0</v>
      </c>
      <c r="AH1563" s="55">
        <f t="shared" si="357"/>
        <v>0</v>
      </c>
      <c r="AI1563" s="34" t="s">
        <v>2629</v>
      </c>
      <c r="AJ1563" s="55">
        <f t="shared" si="358"/>
        <v>0</v>
      </c>
      <c r="AK1563" s="55">
        <f t="shared" si="359"/>
        <v>0</v>
      </c>
      <c r="AL1563" s="55">
        <f t="shared" si="360"/>
        <v>0</v>
      </c>
      <c r="AN1563" s="55">
        <v>21</v>
      </c>
      <c r="AO1563" s="55">
        <f>H1563*0</f>
        <v>0</v>
      </c>
      <c r="AP1563" s="55">
        <f>H1563*(1-0)</f>
        <v>0</v>
      </c>
      <c r="AQ1563" s="58" t="s">
        <v>125</v>
      </c>
      <c r="AV1563" s="55">
        <f t="shared" si="361"/>
        <v>0</v>
      </c>
      <c r="AW1563" s="55">
        <f t="shared" si="362"/>
        <v>0</v>
      </c>
      <c r="AX1563" s="55">
        <f t="shared" si="363"/>
        <v>0</v>
      </c>
      <c r="AY1563" s="58" t="s">
        <v>2795</v>
      </c>
      <c r="AZ1563" s="58" t="s">
        <v>2633</v>
      </c>
      <c r="BA1563" s="34" t="s">
        <v>2634</v>
      </c>
      <c r="BC1563" s="55">
        <f t="shared" si="364"/>
        <v>0</v>
      </c>
      <c r="BD1563" s="55">
        <f t="shared" si="365"/>
        <v>0</v>
      </c>
      <c r="BE1563" s="55">
        <v>0</v>
      </c>
      <c r="BF1563" s="55">
        <f t="shared" si="366"/>
        <v>0</v>
      </c>
      <c r="BH1563" s="55">
        <f t="shared" si="367"/>
        <v>0</v>
      </c>
      <c r="BI1563" s="55">
        <f t="shared" si="368"/>
        <v>0</v>
      </c>
      <c r="BJ1563" s="55">
        <f t="shared" si="369"/>
        <v>0</v>
      </c>
      <c r="BK1563" s="55"/>
      <c r="BL1563" s="55"/>
      <c r="BW1563" s="55">
        <v>21</v>
      </c>
    </row>
    <row r="1564" spans="1:75" ht="13.5" customHeight="1">
      <c r="A1564" s="1" t="s">
        <v>2955</v>
      </c>
      <c r="B1564" s="2" t="s">
        <v>2629</v>
      </c>
      <c r="C1564" s="2" t="s">
        <v>2956</v>
      </c>
      <c r="D1564" s="147" t="s">
        <v>2957</v>
      </c>
      <c r="E1564" s="148"/>
      <c r="F1564" s="2" t="s">
        <v>374</v>
      </c>
      <c r="G1564" s="55">
        <v>4</v>
      </c>
      <c r="H1564" s="56">
        <v>0</v>
      </c>
      <c r="I1564" s="55">
        <f t="shared" si="348"/>
        <v>0</v>
      </c>
      <c r="J1564" s="55">
        <v>0</v>
      </c>
      <c r="K1564" s="55">
        <f t="shared" si="349"/>
        <v>0</v>
      </c>
      <c r="L1564" s="57" t="s">
        <v>124</v>
      </c>
      <c r="Z1564" s="55">
        <f t="shared" si="350"/>
        <v>0</v>
      </c>
      <c r="AB1564" s="55">
        <f t="shared" si="351"/>
        <v>0</v>
      </c>
      <c r="AC1564" s="55">
        <f t="shared" si="352"/>
        <v>0</v>
      </c>
      <c r="AD1564" s="55">
        <f t="shared" si="353"/>
        <v>0</v>
      </c>
      <c r="AE1564" s="55">
        <f t="shared" si="354"/>
        <v>0</v>
      </c>
      <c r="AF1564" s="55">
        <f t="shared" si="355"/>
        <v>0</v>
      </c>
      <c r="AG1564" s="55">
        <f t="shared" si="356"/>
        <v>0</v>
      </c>
      <c r="AH1564" s="55">
        <f t="shared" si="357"/>
        <v>0</v>
      </c>
      <c r="AI1564" s="34" t="s">
        <v>2629</v>
      </c>
      <c r="AJ1564" s="55">
        <f t="shared" si="358"/>
        <v>0</v>
      </c>
      <c r="AK1564" s="55">
        <f t="shared" si="359"/>
        <v>0</v>
      </c>
      <c r="AL1564" s="55">
        <f t="shared" si="360"/>
        <v>0</v>
      </c>
      <c r="AN1564" s="55">
        <v>21</v>
      </c>
      <c r="AO1564" s="55">
        <f>H1564*0</f>
        <v>0</v>
      </c>
      <c r="AP1564" s="55">
        <f>H1564*(1-0)</f>
        <v>0</v>
      </c>
      <c r="AQ1564" s="58" t="s">
        <v>125</v>
      </c>
      <c r="AV1564" s="55">
        <f t="shared" si="361"/>
        <v>0</v>
      </c>
      <c r="AW1564" s="55">
        <f t="shared" si="362"/>
        <v>0</v>
      </c>
      <c r="AX1564" s="55">
        <f t="shared" si="363"/>
        <v>0</v>
      </c>
      <c r="AY1564" s="58" t="s">
        <v>2795</v>
      </c>
      <c r="AZ1564" s="58" t="s">
        <v>2633</v>
      </c>
      <c r="BA1564" s="34" t="s">
        <v>2634</v>
      </c>
      <c r="BC1564" s="55">
        <f t="shared" si="364"/>
        <v>0</v>
      </c>
      <c r="BD1564" s="55">
        <f t="shared" si="365"/>
        <v>0</v>
      </c>
      <c r="BE1564" s="55">
        <v>0</v>
      </c>
      <c r="BF1564" s="55">
        <f t="shared" si="366"/>
        <v>0</v>
      </c>
      <c r="BH1564" s="55">
        <f t="shared" si="367"/>
        <v>0</v>
      </c>
      <c r="BI1564" s="55">
        <f t="shared" si="368"/>
        <v>0</v>
      </c>
      <c r="BJ1564" s="55">
        <f t="shared" si="369"/>
        <v>0</v>
      </c>
      <c r="BK1564" s="55"/>
      <c r="BL1564" s="55"/>
      <c r="BW1564" s="55">
        <v>21</v>
      </c>
    </row>
    <row r="1565" spans="1:75" ht="27" customHeight="1">
      <c r="A1565" s="61" t="s">
        <v>2958</v>
      </c>
      <c r="B1565" s="62" t="s">
        <v>2629</v>
      </c>
      <c r="C1565" s="62" t="s">
        <v>2959</v>
      </c>
      <c r="D1565" s="224" t="s">
        <v>2960</v>
      </c>
      <c r="E1565" s="225"/>
      <c r="F1565" s="62" t="s">
        <v>792</v>
      </c>
      <c r="G1565" s="63">
        <v>0.12</v>
      </c>
      <c r="H1565" s="64">
        <v>0</v>
      </c>
      <c r="I1565" s="63">
        <f t="shared" si="348"/>
        <v>0</v>
      </c>
      <c r="J1565" s="63">
        <v>0</v>
      </c>
      <c r="K1565" s="63">
        <f t="shared" si="349"/>
        <v>0</v>
      </c>
      <c r="L1565" s="65" t="s">
        <v>124</v>
      </c>
      <c r="Z1565" s="55">
        <f t="shared" si="350"/>
        <v>0</v>
      </c>
      <c r="AB1565" s="55">
        <f t="shared" si="351"/>
        <v>0</v>
      </c>
      <c r="AC1565" s="55">
        <f t="shared" si="352"/>
        <v>0</v>
      </c>
      <c r="AD1565" s="55">
        <f t="shared" si="353"/>
        <v>0</v>
      </c>
      <c r="AE1565" s="55">
        <f t="shared" si="354"/>
        <v>0</v>
      </c>
      <c r="AF1565" s="55">
        <f t="shared" si="355"/>
        <v>0</v>
      </c>
      <c r="AG1565" s="55">
        <f t="shared" si="356"/>
        <v>0</v>
      </c>
      <c r="AH1565" s="55">
        <f t="shared" si="357"/>
        <v>0</v>
      </c>
      <c r="AI1565" s="34" t="s">
        <v>2629</v>
      </c>
      <c r="AJ1565" s="63">
        <f t="shared" si="358"/>
        <v>0</v>
      </c>
      <c r="AK1565" s="63">
        <f t="shared" si="359"/>
        <v>0</v>
      </c>
      <c r="AL1565" s="63">
        <f t="shared" si="360"/>
        <v>0</v>
      </c>
      <c r="AN1565" s="55">
        <v>21</v>
      </c>
      <c r="AO1565" s="55">
        <f>H1565*1</f>
        <v>0</v>
      </c>
      <c r="AP1565" s="55">
        <f>H1565*(1-1)</f>
        <v>0</v>
      </c>
      <c r="AQ1565" s="66" t="s">
        <v>125</v>
      </c>
      <c r="AV1565" s="55">
        <f t="shared" si="361"/>
        <v>0</v>
      </c>
      <c r="AW1565" s="55">
        <f t="shared" si="362"/>
        <v>0</v>
      </c>
      <c r="AX1565" s="55">
        <f t="shared" si="363"/>
        <v>0</v>
      </c>
      <c r="AY1565" s="58" t="s">
        <v>2795</v>
      </c>
      <c r="AZ1565" s="58" t="s">
        <v>2633</v>
      </c>
      <c r="BA1565" s="34" t="s">
        <v>2634</v>
      </c>
      <c r="BC1565" s="55">
        <f t="shared" si="364"/>
        <v>0</v>
      </c>
      <c r="BD1565" s="55">
        <f t="shared" si="365"/>
        <v>0</v>
      </c>
      <c r="BE1565" s="55">
        <v>0</v>
      </c>
      <c r="BF1565" s="55">
        <f t="shared" si="366"/>
        <v>0</v>
      </c>
      <c r="BH1565" s="63">
        <f t="shared" si="367"/>
        <v>0</v>
      </c>
      <c r="BI1565" s="63">
        <f t="shared" si="368"/>
        <v>0</v>
      </c>
      <c r="BJ1565" s="63">
        <f t="shared" si="369"/>
        <v>0</v>
      </c>
      <c r="BK1565" s="63"/>
      <c r="BL1565" s="55"/>
      <c r="BW1565" s="55">
        <v>21</v>
      </c>
    </row>
    <row r="1566" spans="1:75" ht="13.5" customHeight="1">
      <c r="A1566" s="61" t="s">
        <v>2961</v>
      </c>
      <c r="B1566" s="62" t="s">
        <v>2629</v>
      </c>
      <c r="C1566" s="62" t="s">
        <v>2962</v>
      </c>
      <c r="D1566" s="224" t="s">
        <v>2963</v>
      </c>
      <c r="E1566" s="225"/>
      <c r="F1566" s="62" t="s">
        <v>2936</v>
      </c>
      <c r="G1566" s="63">
        <v>140</v>
      </c>
      <c r="H1566" s="64">
        <v>0</v>
      </c>
      <c r="I1566" s="63">
        <f t="shared" si="348"/>
        <v>0</v>
      </c>
      <c r="J1566" s="63">
        <v>0</v>
      </c>
      <c r="K1566" s="63">
        <f t="shared" si="349"/>
        <v>0</v>
      </c>
      <c r="L1566" s="65" t="s">
        <v>124</v>
      </c>
      <c r="Z1566" s="55">
        <f t="shared" si="350"/>
        <v>0</v>
      </c>
      <c r="AB1566" s="55">
        <f t="shared" si="351"/>
        <v>0</v>
      </c>
      <c r="AC1566" s="55">
        <f t="shared" si="352"/>
        <v>0</v>
      </c>
      <c r="AD1566" s="55">
        <f t="shared" si="353"/>
        <v>0</v>
      </c>
      <c r="AE1566" s="55">
        <f t="shared" si="354"/>
        <v>0</v>
      </c>
      <c r="AF1566" s="55">
        <f t="shared" si="355"/>
        <v>0</v>
      </c>
      <c r="AG1566" s="55">
        <f t="shared" si="356"/>
        <v>0</v>
      </c>
      <c r="AH1566" s="55">
        <f t="shared" si="357"/>
        <v>0</v>
      </c>
      <c r="AI1566" s="34" t="s">
        <v>2629</v>
      </c>
      <c r="AJ1566" s="63">
        <f t="shared" si="358"/>
        <v>0</v>
      </c>
      <c r="AK1566" s="63">
        <f t="shared" si="359"/>
        <v>0</v>
      </c>
      <c r="AL1566" s="63">
        <f t="shared" si="360"/>
        <v>0</v>
      </c>
      <c r="AN1566" s="55">
        <v>21</v>
      </c>
      <c r="AO1566" s="55">
        <f>H1566*1</f>
        <v>0</v>
      </c>
      <c r="AP1566" s="55">
        <f>H1566*(1-1)</f>
        <v>0</v>
      </c>
      <c r="AQ1566" s="66" t="s">
        <v>125</v>
      </c>
      <c r="AV1566" s="55">
        <f t="shared" si="361"/>
        <v>0</v>
      </c>
      <c r="AW1566" s="55">
        <f t="shared" si="362"/>
        <v>0</v>
      </c>
      <c r="AX1566" s="55">
        <f t="shared" si="363"/>
        <v>0</v>
      </c>
      <c r="AY1566" s="58" t="s">
        <v>2795</v>
      </c>
      <c r="AZ1566" s="58" t="s">
        <v>2633</v>
      </c>
      <c r="BA1566" s="34" t="s">
        <v>2634</v>
      </c>
      <c r="BC1566" s="55">
        <f t="shared" si="364"/>
        <v>0</v>
      </c>
      <c r="BD1566" s="55">
        <f t="shared" si="365"/>
        <v>0</v>
      </c>
      <c r="BE1566" s="55">
        <v>0</v>
      </c>
      <c r="BF1566" s="55">
        <f t="shared" si="366"/>
        <v>0</v>
      </c>
      <c r="BH1566" s="63">
        <f t="shared" si="367"/>
        <v>0</v>
      </c>
      <c r="BI1566" s="63">
        <f t="shared" si="368"/>
        <v>0</v>
      </c>
      <c r="BJ1566" s="63">
        <f t="shared" si="369"/>
        <v>0</v>
      </c>
      <c r="BK1566" s="63"/>
      <c r="BL1566" s="55"/>
      <c r="BW1566" s="55">
        <v>21</v>
      </c>
    </row>
    <row r="1567" spans="1:75" ht="13.5" customHeight="1">
      <c r="A1567" s="61" t="s">
        <v>2964</v>
      </c>
      <c r="B1567" s="62" t="s">
        <v>2629</v>
      </c>
      <c r="C1567" s="62" t="s">
        <v>2965</v>
      </c>
      <c r="D1567" s="224" t="s">
        <v>2966</v>
      </c>
      <c r="E1567" s="225"/>
      <c r="F1567" s="62" t="s">
        <v>2936</v>
      </c>
      <c r="G1567" s="63">
        <v>1050</v>
      </c>
      <c r="H1567" s="64">
        <v>0</v>
      </c>
      <c r="I1567" s="63">
        <f t="shared" si="348"/>
        <v>0</v>
      </c>
      <c r="J1567" s="63">
        <v>0</v>
      </c>
      <c r="K1567" s="63">
        <f t="shared" si="349"/>
        <v>0</v>
      </c>
      <c r="L1567" s="65" t="s">
        <v>124</v>
      </c>
      <c r="Z1567" s="55">
        <f t="shared" si="350"/>
        <v>0</v>
      </c>
      <c r="AB1567" s="55">
        <f t="shared" si="351"/>
        <v>0</v>
      </c>
      <c r="AC1567" s="55">
        <f t="shared" si="352"/>
        <v>0</v>
      </c>
      <c r="AD1567" s="55">
        <f t="shared" si="353"/>
        <v>0</v>
      </c>
      <c r="AE1567" s="55">
        <f t="shared" si="354"/>
        <v>0</v>
      </c>
      <c r="AF1567" s="55">
        <f t="shared" si="355"/>
        <v>0</v>
      </c>
      <c r="AG1567" s="55">
        <f t="shared" si="356"/>
        <v>0</v>
      </c>
      <c r="AH1567" s="55">
        <f t="shared" si="357"/>
        <v>0</v>
      </c>
      <c r="AI1567" s="34" t="s">
        <v>2629</v>
      </c>
      <c r="AJ1567" s="63">
        <f t="shared" si="358"/>
        <v>0</v>
      </c>
      <c r="AK1567" s="63">
        <f t="shared" si="359"/>
        <v>0</v>
      </c>
      <c r="AL1567" s="63">
        <f t="shared" si="360"/>
        <v>0</v>
      </c>
      <c r="AN1567" s="55">
        <v>21</v>
      </c>
      <c r="AO1567" s="55">
        <f>H1567*1</f>
        <v>0</v>
      </c>
      <c r="AP1567" s="55">
        <f>H1567*(1-1)</f>
        <v>0</v>
      </c>
      <c r="AQ1567" s="66" t="s">
        <v>125</v>
      </c>
      <c r="AV1567" s="55">
        <f t="shared" si="361"/>
        <v>0</v>
      </c>
      <c r="AW1567" s="55">
        <f t="shared" si="362"/>
        <v>0</v>
      </c>
      <c r="AX1567" s="55">
        <f t="shared" si="363"/>
        <v>0</v>
      </c>
      <c r="AY1567" s="58" t="s">
        <v>2795</v>
      </c>
      <c r="AZ1567" s="58" t="s">
        <v>2633</v>
      </c>
      <c r="BA1567" s="34" t="s">
        <v>2634</v>
      </c>
      <c r="BC1567" s="55">
        <f t="shared" si="364"/>
        <v>0</v>
      </c>
      <c r="BD1567" s="55">
        <f t="shared" si="365"/>
        <v>0</v>
      </c>
      <c r="BE1567" s="55">
        <v>0</v>
      </c>
      <c r="BF1567" s="55">
        <f t="shared" si="366"/>
        <v>0</v>
      </c>
      <c r="BH1567" s="63">
        <f t="shared" si="367"/>
        <v>0</v>
      </c>
      <c r="BI1567" s="63">
        <f t="shared" si="368"/>
        <v>0</v>
      </c>
      <c r="BJ1567" s="63">
        <f t="shared" si="369"/>
        <v>0</v>
      </c>
      <c r="BK1567" s="63"/>
      <c r="BL1567" s="55"/>
      <c r="BW1567" s="55">
        <v>21</v>
      </c>
    </row>
    <row r="1568" spans="1:75" ht="13.5" customHeight="1">
      <c r="A1568" s="1" t="s">
        <v>355</v>
      </c>
      <c r="B1568" s="2" t="s">
        <v>2629</v>
      </c>
      <c r="C1568" s="2" t="s">
        <v>2967</v>
      </c>
      <c r="D1568" s="147" t="s">
        <v>2968</v>
      </c>
      <c r="E1568" s="148"/>
      <c r="F1568" s="2" t="s">
        <v>374</v>
      </c>
      <c r="G1568" s="55">
        <v>1</v>
      </c>
      <c r="H1568" s="56">
        <v>0</v>
      </c>
      <c r="I1568" s="55">
        <f t="shared" si="348"/>
        <v>0</v>
      </c>
      <c r="J1568" s="55">
        <v>0</v>
      </c>
      <c r="K1568" s="55">
        <f t="shared" si="349"/>
        <v>0</v>
      </c>
      <c r="L1568" s="57" t="s">
        <v>124</v>
      </c>
      <c r="Z1568" s="55">
        <f t="shared" si="350"/>
        <v>0</v>
      </c>
      <c r="AB1568" s="55">
        <f t="shared" si="351"/>
        <v>0</v>
      </c>
      <c r="AC1568" s="55">
        <f t="shared" si="352"/>
        <v>0</v>
      </c>
      <c r="AD1568" s="55">
        <f t="shared" si="353"/>
        <v>0</v>
      </c>
      <c r="AE1568" s="55">
        <f t="shared" si="354"/>
        <v>0</v>
      </c>
      <c r="AF1568" s="55">
        <f t="shared" si="355"/>
        <v>0</v>
      </c>
      <c r="AG1568" s="55">
        <f t="shared" si="356"/>
        <v>0</v>
      </c>
      <c r="AH1568" s="55">
        <f t="shared" si="357"/>
        <v>0</v>
      </c>
      <c r="AI1568" s="34" t="s">
        <v>2629</v>
      </c>
      <c r="AJ1568" s="55">
        <f t="shared" si="358"/>
        <v>0</v>
      </c>
      <c r="AK1568" s="55">
        <f t="shared" si="359"/>
        <v>0</v>
      </c>
      <c r="AL1568" s="55">
        <f t="shared" si="360"/>
        <v>0</v>
      </c>
      <c r="AN1568" s="55">
        <v>21</v>
      </c>
      <c r="AO1568" s="55">
        <f>H1568*0</f>
        <v>0</v>
      </c>
      <c r="AP1568" s="55">
        <f>H1568*(1-0)</f>
        <v>0</v>
      </c>
      <c r="AQ1568" s="58" t="s">
        <v>125</v>
      </c>
      <c r="AV1568" s="55">
        <f t="shared" si="361"/>
        <v>0</v>
      </c>
      <c r="AW1568" s="55">
        <f t="shared" si="362"/>
        <v>0</v>
      </c>
      <c r="AX1568" s="55">
        <f t="shared" si="363"/>
        <v>0</v>
      </c>
      <c r="AY1568" s="58" t="s">
        <v>2795</v>
      </c>
      <c r="AZ1568" s="58" t="s">
        <v>2633</v>
      </c>
      <c r="BA1568" s="34" t="s">
        <v>2634</v>
      </c>
      <c r="BC1568" s="55">
        <f t="shared" si="364"/>
        <v>0</v>
      </c>
      <c r="BD1568" s="55">
        <f t="shared" si="365"/>
        <v>0</v>
      </c>
      <c r="BE1568" s="55">
        <v>0</v>
      </c>
      <c r="BF1568" s="55">
        <f t="shared" si="366"/>
        <v>0</v>
      </c>
      <c r="BH1568" s="55">
        <f t="shared" si="367"/>
        <v>0</v>
      </c>
      <c r="BI1568" s="55">
        <f t="shared" si="368"/>
        <v>0</v>
      </c>
      <c r="BJ1568" s="55">
        <f t="shared" si="369"/>
        <v>0</v>
      </c>
      <c r="BK1568" s="55"/>
      <c r="BL1568" s="55"/>
      <c r="BW1568" s="55">
        <v>21</v>
      </c>
    </row>
    <row r="1569" spans="1:75" ht="27" customHeight="1">
      <c r="A1569" s="61" t="s">
        <v>369</v>
      </c>
      <c r="B1569" s="62" t="s">
        <v>2629</v>
      </c>
      <c r="C1569" s="62" t="s">
        <v>2969</v>
      </c>
      <c r="D1569" s="224" t="s">
        <v>2970</v>
      </c>
      <c r="E1569" s="225"/>
      <c r="F1569" s="62" t="s">
        <v>2936</v>
      </c>
      <c r="G1569" s="63">
        <v>1</v>
      </c>
      <c r="H1569" s="64">
        <v>0</v>
      </c>
      <c r="I1569" s="63">
        <f t="shared" si="348"/>
        <v>0</v>
      </c>
      <c r="J1569" s="63">
        <v>0</v>
      </c>
      <c r="K1569" s="63">
        <f t="shared" si="349"/>
        <v>0</v>
      </c>
      <c r="L1569" s="65" t="s">
        <v>124</v>
      </c>
      <c r="Z1569" s="55">
        <f t="shared" si="350"/>
        <v>0</v>
      </c>
      <c r="AB1569" s="55">
        <f t="shared" si="351"/>
        <v>0</v>
      </c>
      <c r="AC1569" s="55">
        <f t="shared" si="352"/>
        <v>0</v>
      </c>
      <c r="AD1569" s="55">
        <f t="shared" si="353"/>
        <v>0</v>
      </c>
      <c r="AE1569" s="55">
        <f t="shared" si="354"/>
        <v>0</v>
      </c>
      <c r="AF1569" s="55">
        <f t="shared" si="355"/>
        <v>0</v>
      </c>
      <c r="AG1569" s="55">
        <f t="shared" si="356"/>
        <v>0</v>
      </c>
      <c r="AH1569" s="55">
        <f t="shared" si="357"/>
        <v>0</v>
      </c>
      <c r="AI1569" s="34" t="s">
        <v>2629</v>
      </c>
      <c r="AJ1569" s="63">
        <f t="shared" si="358"/>
        <v>0</v>
      </c>
      <c r="AK1569" s="63">
        <f t="shared" si="359"/>
        <v>0</v>
      </c>
      <c r="AL1569" s="63">
        <f t="shared" si="360"/>
        <v>0</v>
      </c>
      <c r="AN1569" s="55">
        <v>21</v>
      </c>
      <c r="AO1569" s="55">
        <f>H1569*1</f>
        <v>0</v>
      </c>
      <c r="AP1569" s="55">
        <f>H1569*(1-1)</f>
        <v>0</v>
      </c>
      <c r="AQ1569" s="66" t="s">
        <v>125</v>
      </c>
      <c r="AV1569" s="55">
        <f t="shared" si="361"/>
        <v>0</v>
      </c>
      <c r="AW1569" s="55">
        <f t="shared" si="362"/>
        <v>0</v>
      </c>
      <c r="AX1569" s="55">
        <f t="shared" si="363"/>
        <v>0</v>
      </c>
      <c r="AY1569" s="58" t="s">
        <v>2795</v>
      </c>
      <c r="AZ1569" s="58" t="s">
        <v>2633</v>
      </c>
      <c r="BA1569" s="34" t="s">
        <v>2634</v>
      </c>
      <c r="BC1569" s="55">
        <f t="shared" si="364"/>
        <v>0</v>
      </c>
      <c r="BD1569" s="55">
        <f t="shared" si="365"/>
        <v>0</v>
      </c>
      <c r="BE1569" s="55">
        <v>0</v>
      </c>
      <c r="BF1569" s="55">
        <f t="shared" si="366"/>
        <v>0</v>
      </c>
      <c r="BH1569" s="63">
        <f t="shared" si="367"/>
        <v>0</v>
      </c>
      <c r="BI1569" s="63">
        <f t="shared" si="368"/>
        <v>0</v>
      </c>
      <c r="BJ1569" s="63">
        <f t="shared" si="369"/>
        <v>0</v>
      </c>
      <c r="BK1569" s="63"/>
      <c r="BL1569" s="55"/>
      <c r="BW1569" s="55">
        <v>21</v>
      </c>
    </row>
    <row r="1570" spans="1:75" ht="13.5" customHeight="1">
      <c r="A1570" s="1" t="s">
        <v>2971</v>
      </c>
      <c r="B1570" s="2" t="s">
        <v>2629</v>
      </c>
      <c r="C1570" s="2" t="s">
        <v>2956</v>
      </c>
      <c r="D1570" s="147" t="s">
        <v>2957</v>
      </c>
      <c r="E1570" s="148"/>
      <c r="F1570" s="2" t="s">
        <v>374</v>
      </c>
      <c r="G1570" s="55">
        <v>198</v>
      </c>
      <c r="H1570" s="56">
        <v>0</v>
      </c>
      <c r="I1570" s="55">
        <f t="shared" si="348"/>
        <v>0</v>
      </c>
      <c r="J1570" s="55">
        <v>0</v>
      </c>
      <c r="K1570" s="55">
        <f t="shared" si="349"/>
        <v>0</v>
      </c>
      <c r="L1570" s="57" t="s">
        <v>124</v>
      </c>
      <c r="Z1570" s="55">
        <f t="shared" si="350"/>
        <v>0</v>
      </c>
      <c r="AB1570" s="55">
        <f t="shared" si="351"/>
        <v>0</v>
      </c>
      <c r="AC1570" s="55">
        <f t="shared" si="352"/>
        <v>0</v>
      </c>
      <c r="AD1570" s="55">
        <f t="shared" si="353"/>
        <v>0</v>
      </c>
      <c r="AE1570" s="55">
        <f t="shared" si="354"/>
        <v>0</v>
      </c>
      <c r="AF1570" s="55">
        <f t="shared" si="355"/>
        <v>0</v>
      </c>
      <c r="AG1570" s="55">
        <f t="shared" si="356"/>
        <v>0</v>
      </c>
      <c r="AH1570" s="55">
        <f t="shared" si="357"/>
        <v>0</v>
      </c>
      <c r="AI1570" s="34" t="s">
        <v>2629</v>
      </c>
      <c r="AJ1570" s="55">
        <f t="shared" si="358"/>
        <v>0</v>
      </c>
      <c r="AK1570" s="55">
        <f t="shared" si="359"/>
        <v>0</v>
      </c>
      <c r="AL1570" s="55">
        <f t="shared" si="360"/>
        <v>0</v>
      </c>
      <c r="AN1570" s="55">
        <v>21</v>
      </c>
      <c r="AO1570" s="55">
        <f>H1570*0</f>
        <v>0</v>
      </c>
      <c r="AP1570" s="55">
        <f>H1570*(1-0)</f>
        <v>0</v>
      </c>
      <c r="AQ1570" s="58" t="s">
        <v>125</v>
      </c>
      <c r="AV1570" s="55">
        <f t="shared" si="361"/>
        <v>0</v>
      </c>
      <c r="AW1570" s="55">
        <f t="shared" si="362"/>
        <v>0</v>
      </c>
      <c r="AX1570" s="55">
        <f t="shared" si="363"/>
        <v>0</v>
      </c>
      <c r="AY1570" s="58" t="s">
        <v>2795</v>
      </c>
      <c r="AZ1570" s="58" t="s">
        <v>2633</v>
      </c>
      <c r="BA1570" s="34" t="s">
        <v>2634</v>
      </c>
      <c r="BC1570" s="55">
        <f t="shared" si="364"/>
        <v>0</v>
      </c>
      <c r="BD1570" s="55">
        <f t="shared" si="365"/>
        <v>0</v>
      </c>
      <c r="BE1570" s="55">
        <v>0</v>
      </c>
      <c r="BF1570" s="55">
        <f t="shared" si="366"/>
        <v>0</v>
      </c>
      <c r="BH1570" s="55">
        <f t="shared" si="367"/>
        <v>0</v>
      </c>
      <c r="BI1570" s="55">
        <f t="shared" si="368"/>
        <v>0</v>
      </c>
      <c r="BJ1570" s="55">
        <f t="shared" si="369"/>
        <v>0</v>
      </c>
      <c r="BK1570" s="55"/>
      <c r="BL1570" s="55"/>
      <c r="BW1570" s="55">
        <v>21</v>
      </c>
    </row>
    <row r="1571" spans="1:75" ht="27" customHeight="1">
      <c r="A1571" s="61" t="s">
        <v>2972</v>
      </c>
      <c r="B1571" s="62" t="s">
        <v>2629</v>
      </c>
      <c r="C1571" s="62" t="s">
        <v>2973</v>
      </c>
      <c r="D1571" s="224" t="s">
        <v>2974</v>
      </c>
      <c r="E1571" s="225"/>
      <c r="F1571" s="62" t="s">
        <v>2936</v>
      </c>
      <c r="G1571" s="63">
        <v>198</v>
      </c>
      <c r="H1571" s="64">
        <v>0</v>
      </c>
      <c r="I1571" s="63">
        <f t="shared" si="348"/>
        <v>0</v>
      </c>
      <c r="J1571" s="63">
        <v>0</v>
      </c>
      <c r="K1571" s="63">
        <f t="shared" si="349"/>
        <v>0</v>
      </c>
      <c r="L1571" s="65" t="s">
        <v>124</v>
      </c>
      <c r="Z1571" s="55">
        <f t="shared" si="350"/>
        <v>0</v>
      </c>
      <c r="AB1571" s="55">
        <f t="shared" si="351"/>
        <v>0</v>
      </c>
      <c r="AC1571" s="55">
        <f t="shared" si="352"/>
        <v>0</v>
      </c>
      <c r="AD1571" s="55">
        <f t="shared" si="353"/>
        <v>0</v>
      </c>
      <c r="AE1571" s="55">
        <f t="shared" si="354"/>
        <v>0</v>
      </c>
      <c r="AF1571" s="55">
        <f t="shared" si="355"/>
        <v>0</v>
      </c>
      <c r="AG1571" s="55">
        <f t="shared" si="356"/>
        <v>0</v>
      </c>
      <c r="AH1571" s="55">
        <f t="shared" si="357"/>
        <v>0</v>
      </c>
      <c r="AI1571" s="34" t="s">
        <v>2629</v>
      </c>
      <c r="AJ1571" s="63">
        <f t="shared" si="358"/>
        <v>0</v>
      </c>
      <c r="AK1571" s="63">
        <f t="shared" si="359"/>
        <v>0</v>
      </c>
      <c r="AL1571" s="63">
        <f t="shared" si="360"/>
        <v>0</v>
      </c>
      <c r="AN1571" s="55">
        <v>21</v>
      </c>
      <c r="AO1571" s="55">
        <f>H1571*1</f>
        <v>0</v>
      </c>
      <c r="AP1571" s="55">
        <f>H1571*(1-1)</f>
        <v>0</v>
      </c>
      <c r="AQ1571" s="66" t="s">
        <v>125</v>
      </c>
      <c r="AV1571" s="55">
        <f t="shared" si="361"/>
        <v>0</v>
      </c>
      <c r="AW1571" s="55">
        <f t="shared" si="362"/>
        <v>0</v>
      </c>
      <c r="AX1571" s="55">
        <f t="shared" si="363"/>
        <v>0</v>
      </c>
      <c r="AY1571" s="58" t="s">
        <v>2795</v>
      </c>
      <c r="AZ1571" s="58" t="s">
        <v>2633</v>
      </c>
      <c r="BA1571" s="34" t="s">
        <v>2634</v>
      </c>
      <c r="BC1571" s="55">
        <f t="shared" si="364"/>
        <v>0</v>
      </c>
      <c r="BD1571" s="55">
        <f t="shared" si="365"/>
        <v>0</v>
      </c>
      <c r="BE1571" s="55">
        <v>0</v>
      </c>
      <c r="BF1571" s="55">
        <f t="shared" si="366"/>
        <v>0</v>
      </c>
      <c r="BH1571" s="63">
        <f t="shared" si="367"/>
        <v>0</v>
      </c>
      <c r="BI1571" s="63">
        <f t="shared" si="368"/>
        <v>0</v>
      </c>
      <c r="BJ1571" s="63">
        <f t="shared" si="369"/>
        <v>0</v>
      </c>
      <c r="BK1571" s="63"/>
      <c r="BL1571" s="55"/>
      <c r="BW1571" s="55">
        <v>21</v>
      </c>
    </row>
    <row r="1572" spans="1:75" ht="27" customHeight="1">
      <c r="A1572" s="1" t="s">
        <v>2975</v>
      </c>
      <c r="B1572" s="2" t="s">
        <v>2629</v>
      </c>
      <c r="C1572" s="2" t="s">
        <v>2976</v>
      </c>
      <c r="D1572" s="147" t="s">
        <v>2977</v>
      </c>
      <c r="E1572" s="148"/>
      <c r="F1572" s="2" t="s">
        <v>374</v>
      </c>
      <c r="G1572" s="55">
        <v>1</v>
      </c>
      <c r="H1572" s="56">
        <v>0</v>
      </c>
      <c r="I1572" s="55">
        <f t="shared" si="348"/>
        <v>0</v>
      </c>
      <c r="J1572" s="55">
        <v>0</v>
      </c>
      <c r="K1572" s="55">
        <f t="shared" si="349"/>
        <v>0</v>
      </c>
      <c r="L1572" s="57" t="s">
        <v>124</v>
      </c>
      <c r="Z1572" s="55">
        <f t="shared" si="350"/>
        <v>0</v>
      </c>
      <c r="AB1572" s="55">
        <f t="shared" si="351"/>
        <v>0</v>
      </c>
      <c r="AC1572" s="55">
        <f t="shared" si="352"/>
        <v>0</v>
      </c>
      <c r="AD1572" s="55">
        <f t="shared" si="353"/>
        <v>0</v>
      </c>
      <c r="AE1572" s="55">
        <f t="shared" si="354"/>
        <v>0</v>
      </c>
      <c r="AF1572" s="55">
        <f t="shared" si="355"/>
        <v>0</v>
      </c>
      <c r="AG1572" s="55">
        <f t="shared" si="356"/>
        <v>0</v>
      </c>
      <c r="AH1572" s="55">
        <f t="shared" si="357"/>
        <v>0</v>
      </c>
      <c r="AI1572" s="34" t="s">
        <v>2629</v>
      </c>
      <c r="AJ1572" s="55">
        <f t="shared" si="358"/>
        <v>0</v>
      </c>
      <c r="AK1572" s="55">
        <f t="shared" si="359"/>
        <v>0</v>
      </c>
      <c r="AL1572" s="55">
        <f t="shared" si="360"/>
        <v>0</v>
      </c>
      <c r="AN1572" s="55">
        <v>21</v>
      </c>
      <c r="AO1572" s="55">
        <f>H1572*0</f>
        <v>0</v>
      </c>
      <c r="AP1572" s="55">
        <f>H1572*(1-0)</f>
        <v>0</v>
      </c>
      <c r="AQ1572" s="58" t="s">
        <v>125</v>
      </c>
      <c r="AV1572" s="55">
        <f t="shared" si="361"/>
        <v>0</v>
      </c>
      <c r="AW1572" s="55">
        <f t="shared" si="362"/>
        <v>0</v>
      </c>
      <c r="AX1572" s="55">
        <f t="shared" si="363"/>
        <v>0</v>
      </c>
      <c r="AY1572" s="58" t="s">
        <v>2795</v>
      </c>
      <c r="AZ1572" s="58" t="s">
        <v>2633</v>
      </c>
      <c r="BA1572" s="34" t="s">
        <v>2634</v>
      </c>
      <c r="BC1572" s="55">
        <f t="shared" si="364"/>
        <v>0</v>
      </c>
      <c r="BD1572" s="55">
        <f t="shared" si="365"/>
        <v>0</v>
      </c>
      <c r="BE1572" s="55">
        <v>0</v>
      </c>
      <c r="BF1572" s="55">
        <f t="shared" si="366"/>
        <v>0</v>
      </c>
      <c r="BH1572" s="55">
        <f t="shared" si="367"/>
        <v>0</v>
      </c>
      <c r="BI1572" s="55">
        <f t="shared" si="368"/>
        <v>0</v>
      </c>
      <c r="BJ1572" s="55">
        <f t="shared" si="369"/>
        <v>0</v>
      </c>
      <c r="BK1572" s="55"/>
      <c r="BL1572" s="55"/>
      <c r="BW1572" s="55">
        <v>21</v>
      </c>
    </row>
    <row r="1573" spans="1:75" ht="27" customHeight="1">
      <c r="A1573" s="1" t="s">
        <v>2978</v>
      </c>
      <c r="B1573" s="2" t="s">
        <v>2629</v>
      </c>
      <c r="C1573" s="2" t="s">
        <v>2979</v>
      </c>
      <c r="D1573" s="147" t="s">
        <v>2980</v>
      </c>
      <c r="E1573" s="148"/>
      <c r="F1573" s="2" t="s">
        <v>374</v>
      </c>
      <c r="G1573" s="55">
        <v>8</v>
      </c>
      <c r="H1573" s="56">
        <v>0</v>
      </c>
      <c r="I1573" s="55">
        <f t="shared" si="348"/>
        <v>0</v>
      </c>
      <c r="J1573" s="55">
        <v>0</v>
      </c>
      <c r="K1573" s="55">
        <f t="shared" si="349"/>
        <v>0</v>
      </c>
      <c r="L1573" s="57" t="s">
        <v>124</v>
      </c>
      <c r="Z1573" s="55">
        <f t="shared" si="350"/>
        <v>0</v>
      </c>
      <c r="AB1573" s="55">
        <f t="shared" si="351"/>
        <v>0</v>
      </c>
      <c r="AC1573" s="55">
        <f t="shared" si="352"/>
        <v>0</v>
      </c>
      <c r="AD1573" s="55">
        <f t="shared" si="353"/>
        <v>0</v>
      </c>
      <c r="AE1573" s="55">
        <f t="shared" si="354"/>
        <v>0</v>
      </c>
      <c r="AF1573" s="55">
        <f t="shared" si="355"/>
        <v>0</v>
      </c>
      <c r="AG1573" s="55">
        <f t="shared" si="356"/>
        <v>0</v>
      </c>
      <c r="AH1573" s="55">
        <f t="shared" si="357"/>
        <v>0</v>
      </c>
      <c r="AI1573" s="34" t="s">
        <v>2629</v>
      </c>
      <c r="AJ1573" s="55">
        <f t="shared" si="358"/>
        <v>0</v>
      </c>
      <c r="AK1573" s="55">
        <f t="shared" si="359"/>
        <v>0</v>
      </c>
      <c r="AL1573" s="55">
        <f t="shared" si="360"/>
        <v>0</v>
      </c>
      <c r="AN1573" s="55">
        <v>21</v>
      </c>
      <c r="AO1573" s="55">
        <f>H1573*0</f>
        <v>0</v>
      </c>
      <c r="AP1573" s="55">
        <f>H1573*(1-0)</f>
        <v>0</v>
      </c>
      <c r="AQ1573" s="58" t="s">
        <v>125</v>
      </c>
      <c r="AV1573" s="55">
        <f t="shared" si="361"/>
        <v>0</v>
      </c>
      <c r="AW1573" s="55">
        <f t="shared" si="362"/>
        <v>0</v>
      </c>
      <c r="AX1573" s="55">
        <f t="shared" si="363"/>
        <v>0</v>
      </c>
      <c r="AY1573" s="58" t="s">
        <v>2795</v>
      </c>
      <c r="AZ1573" s="58" t="s">
        <v>2633</v>
      </c>
      <c r="BA1573" s="34" t="s">
        <v>2634</v>
      </c>
      <c r="BC1573" s="55">
        <f t="shared" si="364"/>
        <v>0</v>
      </c>
      <c r="BD1573" s="55">
        <f t="shared" si="365"/>
        <v>0</v>
      </c>
      <c r="BE1573" s="55">
        <v>0</v>
      </c>
      <c r="BF1573" s="55">
        <f t="shared" si="366"/>
        <v>0</v>
      </c>
      <c r="BH1573" s="55">
        <f t="shared" si="367"/>
        <v>0</v>
      </c>
      <c r="BI1573" s="55">
        <f t="shared" si="368"/>
        <v>0</v>
      </c>
      <c r="BJ1573" s="55">
        <f t="shared" si="369"/>
        <v>0</v>
      </c>
      <c r="BK1573" s="55"/>
      <c r="BL1573" s="55"/>
      <c r="BW1573" s="55">
        <v>21</v>
      </c>
    </row>
    <row r="1574" spans="1:75" ht="27" customHeight="1">
      <c r="A1574" s="1" t="s">
        <v>2981</v>
      </c>
      <c r="B1574" s="2" t="s">
        <v>2629</v>
      </c>
      <c r="C1574" s="2" t="s">
        <v>2982</v>
      </c>
      <c r="D1574" s="147" t="s">
        <v>2983</v>
      </c>
      <c r="E1574" s="148"/>
      <c r="F1574" s="2" t="s">
        <v>939</v>
      </c>
      <c r="G1574" s="55">
        <v>1.9</v>
      </c>
      <c r="H1574" s="56">
        <v>0</v>
      </c>
      <c r="I1574" s="55">
        <f t="shared" si="348"/>
        <v>0</v>
      </c>
      <c r="J1574" s="55">
        <v>0</v>
      </c>
      <c r="K1574" s="55">
        <f t="shared" si="349"/>
        <v>0</v>
      </c>
      <c r="L1574" s="57" t="s">
        <v>124</v>
      </c>
      <c r="Z1574" s="55">
        <f t="shared" si="350"/>
        <v>0</v>
      </c>
      <c r="AB1574" s="55">
        <f t="shared" si="351"/>
        <v>0</v>
      </c>
      <c r="AC1574" s="55">
        <f t="shared" si="352"/>
        <v>0</v>
      </c>
      <c r="AD1574" s="55">
        <f t="shared" si="353"/>
        <v>0</v>
      </c>
      <c r="AE1574" s="55">
        <f t="shared" si="354"/>
        <v>0</v>
      </c>
      <c r="AF1574" s="55">
        <f t="shared" si="355"/>
        <v>0</v>
      </c>
      <c r="AG1574" s="55">
        <f t="shared" si="356"/>
        <v>0</v>
      </c>
      <c r="AH1574" s="55">
        <f t="shared" si="357"/>
        <v>0</v>
      </c>
      <c r="AI1574" s="34" t="s">
        <v>2629</v>
      </c>
      <c r="AJ1574" s="55">
        <f t="shared" si="358"/>
        <v>0</v>
      </c>
      <c r="AK1574" s="55">
        <f t="shared" si="359"/>
        <v>0</v>
      </c>
      <c r="AL1574" s="55">
        <f t="shared" si="360"/>
        <v>0</v>
      </c>
      <c r="AN1574" s="55">
        <v>21</v>
      </c>
      <c r="AO1574" s="55">
        <f>H1574*0</f>
        <v>0</v>
      </c>
      <c r="AP1574" s="55">
        <f>H1574*(1-0)</f>
        <v>0</v>
      </c>
      <c r="AQ1574" s="58" t="s">
        <v>139</v>
      </c>
      <c r="AV1574" s="55">
        <f t="shared" si="361"/>
        <v>0</v>
      </c>
      <c r="AW1574" s="55">
        <f t="shared" si="362"/>
        <v>0</v>
      </c>
      <c r="AX1574" s="55">
        <f t="shared" si="363"/>
        <v>0</v>
      </c>
      <c r="AY1574" s="58" t="s">
        <v>2795</v>
      </c>
      <c r="AZ1574" s="58" t="s">
        <v>2633</v>
      </c>
      <c r="BA1574" s="34" t="s">
        <v>2634</v>
      </c>
      <c r="BC1574" s="55">
        <f t="shared" si="364"/>
        <v>0</v>
      </c>
      <c r="BD1574" s="55">
        <f t="shared" si="365"/>
        <v>0</v>
      </c>
      <c r="BE1574" s="55">
        <v>0</v>
      </c>
      <c r="BF1574" s="55">
        <f t="shared" si="366"/>
        <v>0</v>
      </c>
      <c r="BH1574" s="55">
        <f t="shared" si="367"/>
        <v>0</v>
      </c>
      <c r="BI1574" s="55">
        <f t="shared" si="368"/>
        <v>0</v>
      </c>
      <c r="BJ1574" s="55">
        <f t="shared" si="369"/>
        <v>0</v>
      </c>
      <c r="BK1574" s="55"/>
      <c r="BL1574" s="55"/>
      <c r="BW1574" s="55">
        <v>21</v>
      </c>
    </row>
    <row r="1575" spans="1:75" ht="13.5" customHeight="1">
      <c r="A1575" s="61" t="s">
        <v>2984</v>
      </c>
      <c r="B1575" s="62" t="s">
        <v>2629</v>
      </c>
      <c r="C1575" s="62" t="s">
        <v>2985</v>
      </c>
      <c r="D1575" s="224" t="s">
        <v>2986</v>
      </c>
      <c r="E1575" s="225"/>
      <c r="F1575" s="62" t="s">
        <v>250</v>
      </c>
      <c r="G1575" s="63">
        <v>1</v>
      </c>
      <c r="H1575" s="64">
        <v>0</v>
      </c>
      <c r="I1575" s="63">
        <f t="shared" si="348"/>
        <v>0</v>
      </c>
      <c r="J1575" s="63">
        <v>0</v>
      </c>
      <c r="K1575" s="63">
        <f t="shared" si="349"/>
        <v>0</v>
      </c>
      <c r="L1575" s="65" t="s">
        <v>124</v>
      </c>
      <c r="Z1575" s="55">
        <f t="shared" si="350"/>
        <v>0</v>
      </c>
      <c r="AB1575" s="55">
        <f t="shared" si="351"/>
        <v>0</v>
      </c>
      <c r="AC1575" s="55">
        <f t="shared" si="352"/>
        <v>0</v>
      </c>
      <c r="AD1575" s="55">
        <f t="shared" si="353"/>
        <v>0</v>
      </c>
      <c r="AE1575" s="55">
        <f t="shared" si="354"/>
        <v>0</v>
      </c>
      <c r="AF1575" s="55">
        <f t="shared" si="355"/>
        <v>0</v>
      </c>
      <c r="AG1575" s="55">
        <f t="shared" si="356"/>
        <v>0</v>
      </c>
      <c r="AH1575" s="55">
        <f t="shared" si="357"/>
        <v>0</v>
      </c>
      <c r="AI1575" s="34" t="s">
        <v>2629</v>
      </c>
      <c r="AJ1575" s="63">
        <f t="shared" si="358"/>
        <v>0</v>
      </c>
      <c r="AK1575" s="63">
        <f t="shared" si="359"/>
        <v>0</v>
      </c>
      <c r="AL1575" s="63">
        <f t="shared" si="360"/>
        <v>0</v>
      </c>
      <c r="AN1575" s="55">
        <v>21</v>
      </c>
      <c r="AO1575" s="55">
        <f>H1575*1</f>
        <v>0</v>
      </c>
      <c r="AP1575" s="55">
        <f>H1575*(1-1)</f>
        <v>0</v>
      </c>
      <c r="AQ1575" s="66" t="s">
        <v>125</v>
      </c>
      <c r="AV1575" s="55">
        <f t="shared" si="361"/>
        <v>0</v>
      </c>
      <c r="AW1575" s="55">
        <f t="shared" si="362"/>
        <v>0</v>
      </c>
      <c r="AX1575" s="55">
        <f t="shared" si="363"/>
        <v>0</v>
      </c>
      <c r="AY1575" s="58" t="s">
        <v>2795</v>
      </c>
      <c r="AZ1575" s="58" t="s">
        <v>2633</v>
      </c>
      <c r="BA1575" s="34" t="s">
        <v>2634</v>
      </c>
      <c r="BC1575" s="55">
        <f t="shared" si="364"/>
        <v>0</v>
      </c>
      <c r="BD1575" s="55">
        <f t="shared" si="365"/>
        <v>0</v>
      </c>
      <c r="BE1575" s="55">
        <v>0</v>
      </c>
      <c r="BF1575" s="55">
        <f t="shared" si="366"/>
        <v>0</v>
      </c>
      <c r="BH1575" s="63">
        <f t="shared" si="367"/>
        <v>0</v>
      </c>
      <c r="BI1575" s="63">
        <f t="shared" si="368"/>
        <v>0</v>
      </c>
      <c r="BJ1575" s="63">
        <f t="shared" si="369"/>
        <v>0</v>
      </c>
      <c r="BK1575" s="63"/>
      <c r="BL1575" s="55"/>
      <c r="BW1575" s="55">
        <v>21</v>
      </c>
    </row>
    <row r="1576" spans="1:47" ht="14.4">
      <c r="A1576" s="50" t="s">
        <v>4</v>
      </c>
      <c r="B1576" s="51" t="s">
        <v>2629</v>
      </c>
      <c r="C1576" s="51" t="s">
        <v>2987</v>
      </c>
      <c r="D1576" s="222" t="s">
        <v>2988</v>
      </c>
      <c r="E1576" s="223"/>
      <c r="F1576" s="52" t="s">
        <v>79</v>
      </c>
      <c r="G1576" s="52" t="s">
        <v>79</v>
      </c>
      <c r="H1576" s="53" t="s">
        <v>79</v>
      </c>
      <c r="I1576" s="27">
        <f>SUM(I1577:I1605)</f>
        <v>0</v>
      </c>
      <c r="J1576" s="34" t="s">
        <v>4</v>
      </c>
      <c r="K1576" s="27">
        <f>SUM(K1577:K1605)</f>
        <v>0</v>
      </c>
      <c r="L1576" s="54" t="s">
        <v>4</v>
      </c>
      <c r="AI1576" s="34" t="s">
        <v>2629</v>
      </c>
      <c r="AS1576" s="27">
        <f>SUM(AJ1577:AJ1605)</f>
        <v>0</v>
      </c>
      <c r="AT1576" s="27">
        <f>SUM(AK1577:AK1605)</f>
        <v>0</v>
      </c>
      <c r="AU1576" s="27">
        <f>SUM(AL1577:AL1605)</f>
        <v>0</v>
      </c>
    </row>
    <row r="1577" spans="1:75" ht="13.5" customHeight="1">
      <c r="A1577" s="1" t="s">
        <v>2989</v>
      </c>
      <c r="B1577" s="2" t="s">
        <v>2629</v>
      </c>
      <c r="C1577" s="2" t="s">
        <v>2990</v>
      </c>
      <c r="D1577" s="147" t="s">
        <v>2991</v>
      </c>
      <c r="E1577" s="148"/>
      <c r="F1577" s="2" t="s">
        <v>360</v>
      </c>
      <c r="G1577" s="55">
        <v>24</v>
      </c>
      <c r="H1577" s="56">
        <v>0</v>
      </c>
      <c r="I1577" s="55">
        <f>G1577*H1577</f>
        <v>0</v>
      </c>
      <c r="J1577" s="55">
        <v>0</v>
      </c>
      <c r="K1577" s="55">
        <f>G1577*J1577</f>
        <v>0</v>
      </c>
      <c r="L1577" s="57" t="s">
        <v>124</v>
      </c>
      <c r="Z1577" s="55">
        <f>IF(AQ1577="5",BJ1577,0)</f>
        <v>0</v>
      </c>
      <c r="AB1577" s="55">
        <f>IF(AQ1577="1",BH1577,0)</f>
        <v>0</v>
      </c>
      <c r="AC1577" s="55">
        <f>IF(AQ1577="1",BI1577,0)</f>
        <v>0</v>
      </c>
      <c r="AD1577" s="55">
        <f>IF(AQ1577="7",BH1577,0)</f>
        <v>0</v>
      </c>
      <c r="AE1577" s="55">
        <f>IF(AQ1577="7",BI1577,0)</f>
        <v>0</v>
      </c>
      <c r="AF1577" s="55">
        <f>IF(AQ1577="2",BH1577,0)</f>
        <v>0</v>
      </c>
      <c r="AG1577" s="55">
        <f>IF(AQ1577="2",BI1577,0)</f>
        <v>0</v>
      </c>
      <c r="AH1577" s="55">
        <f>IF(AQ1577="0",BJ1577,0)</f>
        <v>0</v>
      </c>
      <c r="AI1577" s="34" t="s">
        <v>2629</v>
      </c>
      <c r="AJ1577" s="55">
        <f>IF(AN1577=0,I1577,0)</f>
        <v>0</v>
      </c>
      <c r="AK1577" s="55">
        <f>IF(AN1577=12,I1577,0)</f>
        <v>0</v>
      </c>
      <c r="AL1577" s="55">
        <f>IF(AN1577=21,I1577,0)</f>
        <v>0</v>
      </c>
      <c r="AN1577" s="55">
        <v>21</v>
      </c>
      <c r="AO1577" s="55">
        <f>H1577*0</f>
        <v>0</v>
      </c>
      <c r="AP1577" s="55">
        <f>H1577*(1-0)</f>
        <v>0</v>
      </c>
      <c r="AQ1577" s="58" t="s">
        <v>125</v>
      </c>
      <c r="AV1577" s="55">
        <f>AW1577+AX1577</f>
        <v>0</v>
      </c>
      <c r="AW1577" s="55">
        <f>G1577*AO1577</f>
        <v>0</v>
      </c>
      <c r="AX1577" s="55">
        <f>G1577*AP1577</f>
        <v>0</v>
      </c>
      <c r="AY1577" s="58" t="s">
        <v>2992</v>
      </c>
      <c r="AZ1577" s="58" t="s">
        <v>2633</v>
      </c>
      <c r="BA1577" s="34" t="s">
        <v>2634</v>
      </c>
      <c r="BC1577" s="55">
        <f>AW1577+AX1577</f>
        <v>0</v>
      </c>
      <c r="BD1577" s="55">
        <f>H1577/(100-BE1577)*100</f>
        <v>0</v>
      </c>
      <c r="BE1577" s="55">
        <v>0</v>
      </c>
      <c r="BF1577" s="55">
        <f>K1577</f>
        <v>0</v>
      </c>
      <c r="BH1577" s="55">
        <f>G1577*AO1577</f>
        <v>0</v>
      </c>
      <c r="BI1577" s="55">
        <f>G1577*AP1577</f>
        <v>0</v>
      </c>
      <c r="BJ1577" s="55">
        <f>G1577*H1577</f>
        <v>0</v>
      </c>
      <c r="BK1577" s="55"/>
      <c r="BL1577" s="55"/>
      <c r="BW1577" s="55">
        <v>21</v>
      </c>
    </row>
    <row r="1578" spans="1:12" ht="13.5" customHeight="1">
      <c r="A1578" s="59"/>
      <c r="D1578" s="218" t="s">
        <v>2993</v>
      </c>
      <c r="E1578" s="219"/>
      <c r="F1578" s="219"/>
      <c r="G1578" s="219"/>
      <c r="H1578" s="220"/>
      <c r="I1578" s="219"/>
      <c r="J1578" s="219"/>
      <c r="K1578" s="219"/>
      <c r="L1578" s="221"/>
    </row>
    <row r="1579" spans="1:75" ht="13.5" customHeight="1">
      <c r="A1579" s="61" t="s">
        <v>2994</v>
      </c>
      <c r="B1579" s="62" t="s">
        <v>2629</v>
      </c>
      <c r="C1579" s="62" t="s">
        <v>2995</v>
      </c>
      <c r="D1579" s="224" t="s">
        <v>2996</v>
      </c>
      <c r="E1579" s="225"/>
      <c r="F1579" s="62" t="s">
        <v>2803</v>
      </c>
      <c r="G1579" s="63">
        <v>1</v>
      </c>
      <c r="H1579" s="64">
        <v>0</v>
      </c>
      <c r="I1579" s="63">
        <f aca="true" t="shared" si="372" ref="I1579:I1605">G1579*H1579</f>
        <v>0</v>
      </c>
      <c r="J1579" s="63">
        <v>0</v>
      </c>
      <c r="K1579" s="63">
        <f aca="true" t="shared" si="373" ref="K1579:K1605">G1579*J1579</f>
        <v>0</v>
      </c>
      <c r="L1579" s="65" t="s">
        <v>124</v>
      </c>
      <c r="Z1579" s="55">
        <f aca="true" t="shared" si="374" ref="Z1579:Z1605">IF(AQ1579="5",BJ1579,0)</f>
        <v>0</v>
      </c>
      <c r="AB1579" s="55">
        <f aca="true" t="shared" si="375" ref="AB1579:AB1605">IF(AQ1579="1",BH1579,0)</f>
        <v>0</v>
      </c>
      <c r="AC1579" s="55">
        <f aca="true" t="shared" si="376" ref="AC1579:AC1605">IF(AQ1579="1",BI1579,0)</f>
        <v>0</v>
      </c>
      <c r="AD1579" s="55">
        <f aca="true" t="shared" si="377" ref="AD1579:AD1605">IF(AQ1579="7",BH1579,0)</f>
        <v>0</v>
      </c>
      <c r="AE1579" s="55">
        <f aca="true" t="shared" si="378" ref="AE1579:AE1605">IF(AQ1579="7",BI1579,0)</f>
        <v>0</v>
      </c>
      <c r="AF1579" s="55">
        <f aca="true" t="shared" si="379" ref="AF1579:AF1605">IF(AQ1579="2",BH1579,0)</f>
        <v>0</v>
      </c>
      <c r="AG1579" s="55">
        <f aca="true" t="shared" si="380" ref="AG1579:AG1605">IF(AQ1579="2",BI1579,0)</f>
        <v>0</v>
      </c>
      <c r="AH1579" s="55">
        <f aca="true" t="shared" si="381" ref="AH1579:AH1605">IF(AQ1579="0",BJ1579,0)</f>
        <v>0</v>
      </c>
      <c r="AI1579" s="34" t="s">
        <v>2629</v>
      </c>
      <c r="AJ1579" s="63">
        <f aca="true" t="shared" si="382" ref="AJ1579:AJ1605">IF(AN1579=0,I1579,0)</f>
        <v>0</v>
      </c>
      <c r="AK1579" s="63">
        <f aca="true" t="shared" si="383" ref="AK1579:AK1605">IF(AN1579=12,I1579,0)</f>
        <v>0</v>
      </c>
      <c r="AL1579" s="63">
        <f aca="true" t="shared" si="384" ref="AL1579:AL1605">IF(AN1579=21,I1579,0)</f>
        <v>0</v>
      </c>
      <c r="AN1579" s="55">
        <v>21</v>
      </c>
      <c r="AO1579" s="55">
        <f aca="true" t="shared" si="385" ref="AO1579:AO1605">H1579*1</f>
        <v>0</v>
      </c>
      <c r="AP1579" s="55">
        <f aca="true" t="shared" si="386" ref="AP1579:AP1605">H1579*(1-1)</f>
        <v>0</v>
      </c>
      <c r="AQ1579" s="66" t="s">
        <v>125</v>
      </c>
      <c r="AV1579" s="55">
        <f aca="true" t="shared" si="387" ref="AV1579:AV1605">AW1579+AX1579</f>
        <v>0</v>
      </c>
      <c r="AW1579" s="55">
        <f aca="true" t="shared" si="388" ref="AW1579:AW1605">G1579*AO1579</f>
        <v>0</v>
      </c>
      <c r="AX1579" s="55">
        <f aca="true" t="shared" si="389" ref="AX1579:AX1605">G1579*AP1579</f>
        <v>0</v>
      </c>
      <c r="AY1579" s="58" t="s">
        <v>2992</v>
      </c>
      <c r="AZ1579" s="58" t="s">
        <v>2633</v>
      </c>
      <c r="BA1579" s="34" t="s">
        <v>2634</v>
      </c>
      <c r="BC1579" s="55">
        <f aca="true" t="shared" si="390" ref="BC1579:BC1605">AW1579+AX1579</f>
        <v>0</v>
      </c>
      <c r="BD1579" s="55">
        <f aca="true" t="shared" si="391" ref="BD1579:BD1605">H1579/(100-BE1579)*100</f>
        <v>0</v>
      </c>
      <c r="BE1579" s="55">
        <v>0</v>
      </c>
      <c r="BF1579" s="55">
        <f aca="true" t="shared" si="392" ref="BF1579:BF1605">K1579</f>
        <v>0</v>
      </c>
      <c r="BH1579" s="63">
        <f aca="true" t="shared" si="393" ref="BH1579:BH1605">G1579*AO1579</f>
        <v>0</v>
      </c>
      <c r="BI1579" s="63">
        <f aca="true" t="shared" si="394" ref="BI1579:BI1605">G1579*AP1579</f>
        <v>0</v>
      </c>
      <c r="BJ1579" s="63">
        <f aca="true" t="shared" si="395" ref="BJ1579:BJ1605">G1579*H1579</f>
        <v>0</v>
      </c>
      <c r="BK1579" s="63"/>
      <c r="BL1579" s="55"/>
      <c r="BW1579" s="55">
        <v>21</v>
      </c>
    </row>
    <row r="1580" spans="1:75" ht="27" customHeight="1">
      <c r="A1580" s="61" t="s">
        <v>2997</v>
      </c>
      <c r="B1580" s="62" t="s">
        <v>2629</v>
      </c>
      <c r="C1580" s="62" t="s">
        <v>2998</v>
      </c>
      <c r="D1580" s="224" t="s">
        <v>2999</v>
      </c>
      <c r="E1580" s="225"/>
      <c r="F1580" s="62" t="s">
        <v>374</v>
      </c>
      <c r="G1580" s="63">
        <v>1</v>
      </c>
      <c r="H1580" s="64">
        <v>0</v>
      </c>
      <c r="I1580" s="63">
        <f t="shared" si="372"/>
        <v>0</v>
      </c>
      <c r="J1580" s="63">
        <v>0</v>
      </c>
      <c r="K1580" s="63">
        <f t="shared" si="373"/>
        <v>0</v>
      </c>
      <c r="L1580" s="65" t="s">
        <v>124</v>
      </c>
      <c r="Z1580" s="55">
        <f t="shared" si="374"/>
        <v>0</v>
      </c>
      <c r="AB1580" s="55">
        <f t="shared" si="375"/>
        <v>0</v>
      </c>
      <c r="AC1580" s="55">
        <f t="shared" si="376"/>
        <v>0</v>
      </c>
      <c r="AD1580" s="55">
        <f t="shared" si="377"/>
        <v>0</v>
      </c>
      <c r="AE1580" s="55">
        <f t="shared" si="378"/>
        <v>0</v>
      </c>
      <c r="AF1580" s="55">
        <f t="shared" si="379"/>
        <v>0</v>
      </c>
      <c r="AG1580" s="55">
        <f t="shared" si="380"/>
        <v>0</v>
      </c>
      <c r="AH1580" s="55">
        <f t="shared" si="381"/>
        <v>0</v>
      </c>
      <c r="AI1580" s="34" t="s">
        <v>2629</v>
      </c>
      <c r="AJ1580" s="63">
        <f t="shared" si="382"/>
        <v>0</v>
      </c>
      <c r="AK1580" s="63">
        <f t="shared" si="383"/>
        <v>0</v>
      </c>
      <c r="AL1580" s="63">
        <f t="shared" si="384"/>
        <v>0</v>
      </c>
      <c r="AN1580" s="55">
        <v>21</v>
      </c>
      <c r="AO1580" s="55">
        <f t="shared" si="385"/>
        <v>0</v>
      </c>
      <c r="AP1580" s="55">
        <f t="shared" si="386"/>
        <v>0</v>
      </c>
      <c r="AQ1580" s="66" t="s">
        <v>125</v>
      </c>
      <c r="AV1580" s="55">
        <f t="shared" si="387"/>
        <v>0</v>
      </c>
      <c r="AW1580" s="55">
        <f t="shared" si="388"/>
        <v>0</v>
      </c>
      <c r="AX1580" s="55">
        <f t="shared" si="389"/>
        <v>0</v>
      </c>
      <c r="AY1580" s="58" t="s">
        <v>2992</v>
      </c>
      <c r="AZ1580" s="58" t="s">
        <v>2633</v>
      </c>
      <c r="BA1580" s="34" t="s">
        <v>2634</v>
      </c>
      <c r="BC1580" s="55">
        <f t="shared" si="390"/>
        <v>0</v>
      </c>
      <c r="BD1580" s="55">
        <f t="shared" si="391"/>
        <v>0</v>
      </c>
      <c r="BE1580" s="55">
        <v>0</v>
      </c>
      <c r="BF1580" s="55">
        <f t="shared" si="392"/>
        <v>0</v>
      </c>
      <c r="BH1580" s="63">
        <f t="shared" si="393"/>
        <v>0</v>
      </c>
      <c r="BI1580" s="63">
        <f t="shared" si="394"/>
        <v>0</v>
      </c>
      <c r="BJ1580" s="63">
        <f t="shared" si="395"/>
        <v>0</v>
      </c>
      <c r="BK1580" s="63"/>
      <c r="BL1580" s="55"/>
      <c r="BW1580" s="55">
        <v>21</v>
      </c>
    </row>
    <row r="1581" spans="1:75" ht="13.5" customHeight="1">
      <c r="A1581" s="61" t="s">
        <v>3000</v>
      </c>
      <c r="B1581" s="62" t="s">
        <v>2629</v>
      </c>
      <c r="C1581" s="62" t="s">
        <v>3001</v>
      </c>
      <c r="D1581" s="224" t="s">
        <v>3002</v>
      </c>
      <c r="E1581" s="225"/>
      <c r="F1581" s="62" t="s">
        <v>374</v>
      </c>
      <c r="G1581" s="63">
        <v>1</v>
      </c>
      <c r="H1581" s="64">
        <v>0</v>
      </c>
      <c r="I1581" s="63">
        <f t="shared" si="372"/>
        <v>0</v>
      </c>
      <c r="J1581" s="63">
        <v>0</v>
      </c>
      <c r="K1581" s="63">
        <f t="shared" si="373"/>
        <v>0</v>
      </c>
      <c r="L1581" s="65" t="s">
        <v>124</v>
      </c>
      <c r="Z1581" s="55">
        <f t="shared" si="374"/>
        <v>0</v>
      </c>
      <c r="AB1581" s="55">
        <f t="shared" si="375"/>
        <v>0</v>
      </c>
      <c r="AC1581" s="55">
        <f t="shared" si="376"/>
        <v>0</v>
      </c>
      <c r="AD1581" s="55">
        <f t="shared" si="377"/>
        <v>0</v>
      </c>
      <c r="AE1581" s="55">
        <f t="shared" si="378"/>
        <v>0</v>
      </c>
      <c r="AF1581" s="55">
        <f t="shared" si="379"/>
        <v>0</v>
      </c>
      <c r="AG1581" s="55">
        <f t="shared" si="380"/>
        <v>0</v>
      </c>
      <c r="AH1581" s="55">
        <f t="shared" si="381"/>
        <v>0</v>
      </c>
      <c r="AI1581" s="34" t="s">
        <v>2629</v>
      </c>
      <c r="AJ1581" s="63">
        <f t="shared" si="382"/>
        <v>0</v>
      </c>
      <c r="AK1581" s="63">
        <f t="shared" si="383"/>
        <v>0</v>
      </c>
      <c r="AL1581" s="63">
        <f t="shared" si="384"/>
        <v>0</v>
      </c>
      <c r="AN1581" s="55">
        <v>21</v>
      </c>
      <c r="AO1581" s="55">
        <f t="shared" si="385"/>
        <v>0</v>
      </c>
      <c r="AP1581" s="55">
        <f t="shared" si="386"/>
        <v>0</v>
      </c>
      <c r="AQ1581" s="66" t="s">
        <v>125</v>
      </c>
      <c r="AV1581" s="55">
        <f t="shared" si="387"/>
        <v>0</v>
      </c>
      <c r="AW1581" s="55">
        <f t="shared" si="388"/>
        <v>0</v>
      </c>
      <c r="AX1581" s="55">
        <f t="shared" si="389"/>
        <v>0</v>
      </c>
      <c r="AY1581" s="58" t="s">
        <v>2992</v>
      </c>
      <c r="AZ1581" s="58" t="s">
        <v>2633</v>
      </c>
      <c r="BA1581" s="34" t="s">
        <v>2634</v>
      </c>
      <c r="BC1581" s="55">
        <f t="shared" si="390"/>
        <v>0</v>
      </c>
      <c r="BD1581" s="55">
        <f t="shared" si="391"/>
        <v>0</v>
      </c>
      <c r="BE1581" s="55">
        <v>0</v>
      </c>
      <c r="BF1581" s="55">
        <f t="shared" si="392"/>
        <v>0</v>
      </c>
      <c r="BH1581" s="63">
        <f t="shared" si="393"/>
        <v>0</v>
      </c>
      <c r="BI1581" s="63">
        <f t="shared" si="394"/>
        <v>0</v>
      </c>
      <c r="BJ1581" s="63">
        <f t="shared" si="395"/>
        <v>0</v>
      </c>
      <c r="BK1581" s="63"/>
      <c r="BL1581" s="55"/>
      <c r="BW1581" s="55">
        <v>21</v>
      </c>
    </row>
    <row r="1582" spans="1:75" ht="27" customHeight="1">
      <c r="A1582" s="61" t="s">
        <v>1664</v>
      </c>
      <c r="B1582" s="62" t="s">
        <v>2629</v>
      </c>
      <c r="C1582" s="62" t="s">
        <v>3003</v>
      </c>
      <c r="D1582" s="224" t="s">
        <v>3004</v>
      </c>
      <c r="E1582" s="225"/>
      <c r="F1582" s="62" t="s">
        <v>2936</v>
      </c>
      <c r="G1582" s="63">
        <v>1</v>
      </c>
      <c r="H1582" s="64">
        <v>0</v>
      </c>
      <c r="I1582" s="63">
        <f t="shared" si="372"/>
        <v>0</v>
      </c>
      <c r="J1582" s="63">
        <v>0</v>
      </c>
      <c r="K1582" s="63">
        <f t="shared" si="373"/>
        <v>0</v>
      </c>
      <c r="L1582" s="65" t="s">
        <v>124</v>
      </c>
      <c r="Z1582" s="55">
        <f t="shared" si="374"/>
        <v>0</v>
      </c>
      <c r="AB1582" s="55">
        <f t="shared" si="375"/>
        <v>0</v>
      </c>
      <c r="AC1582" s="55">
        <f t="shared" si="376"/>
        <v>0</v>
      </c>
      <c r="AD1582" s="55">
        <f t="shared" si="377"/>
        <v>0</v>
      </c>
      <c r="AE1582" s="55">
        <f t="shared" si="378"/>
        <v>0</v>
      </c>
      <c r="AF1582" s="55">
        <f t="shared" si="379"/>
        <v>0</v>
      </c>
      <c r="AG1582" s="55">
        <f t="shared" si="380"/>
        <v>0</v>
      </c>
      <c r="AH1582" s="55">
        <f t="shared" si="381"/>
        <v>0</v>
      </c>
      <c r="AI1582" s="34" t="s">
        <v>2629</v>
      </c>
      <c r="AJ1582" s="63">
        <f t="shared" si="382"/>
        <v>0</v>
      </c>
      <c r="AK1582" s="63">
        <f t="shared" si="383"/>
        <v>0</v>
      </c>
      <c r="AL1582" s="63">
        <f t="shared" si="384"/>
        <v>0</v>
      </c>
      <c r="AN1582" s="55">
        <v>21</v>
      </c>
      <c r="AO1582" s="55">
        <f t="shared" si="385"/>
        <v>0</v>
      </c>
      <c r="AP1582" s="55">
        <f t="shared" si="386"/>
        <v>0</v>
      </c>
      <c r="AQ1582" s="66" t="s">
        <v>125</v>
      </c>
      <c r="AV1582" s="55">
        <f t="shared" si="387"/>
        <v>0</v>
      </c>
      <c r="AW1582" s="55">
        <f t="shared" si="388"/>
        <v>0</v>
      </c>
      <c r="AX1582" s="55">
        <f t="shared" si="389"/>
        <v>0</v>
      </c>
      <c r="AY1582" s="58" t="s">
        <v>2992</v>
      </c>
      <c r="AZ1582" s="58" t="s">
        <v>2633</v>
      </c>
      <c r="BA1582" s="34" t="s">
        <v>2634</v>
      </c>
      <c r="BC1582" s="55">
        <f t="shared" si="390"/>
        <v>0</v>
      </c>
      <c r="BD1582" s="55">
        <f t="shared" si="391"/>
        <v>0</v>
      </c>
      <c r="BE1582" s="55">
        <v>0</v>
      </c>
      <c r="BF1582" s="55">
        <f t="shared" si="392"/>
        <v>0</v>
      </c>
      <c r="BH1582" s="63">
        <f t="shared" si="393"/>
        <v>0</v>
      </c>
      <c r="BI1582" s="63">
        <f t="shared" si="394"/>
        <v>0</v>
      </c>
      <c r="BJ1582" s="63">
        <f t="shared" si="395"/>
        <v>0</v>
      </c>
      <c r="BK1582" s="63"/>
      <c r="BL1582" s="55"/>
      <c r="BW1582" s="55">
        <v>21</v>
      </c>
    </row>
    <row r="1583" spans="1:75" ht="27" customHeight="1">
      <c r="A1583" s="61" t="s">
        <v>1826</v>
      </c>
      <c r="B1583" s="62" t="s">
        <v>2629</v>
      </c>
      <c r="C1583" s="62" t="s">
        <v>3005</v>
      </c>
      <c r="D1583" s="224" t="s">
        <v>3006</v>
      </c>
      <c r="E1583" s="225"/>
      <c r="F1583" s="62" t="s">
        <v>2936</v>
      </c>
      <c r="G1583" s="63">
        <v>1</v>
      </c>
      <c r="H1583" s="64">
        <v>0</v>
      </c>
      <c r="I1583" s="63">
        <f t="shared" si="372"/>
        <v>0</v>
      </c>
      <c r="J1583" s="63">
        <v>0</v>
      </c>
      <c r="K1583" s="63">
        <f t="shared" si="373"/>
        <v>0</v>
      </c>
      <c r="L1583" s="65" t="s">
        <v>124</v>
      </c>
      <c r="Z1583" s="55">
        <f t="shared" si="374"/>
        <v>0</v>
      </c>
      <c r="AB1583" s="55">
        <f t="shared" si="375"/>
        <v>0</v>
      </c>
      <c r="AC1583" s="55">
        <f t="shared" si="376"/>
        <v>0</v>
      </c>
      <c r="AD1583" s="55">
        <f t="shared" si="377"/>
        <v>0</v>
      </c>
      <c r="AE1583" s="55">
        <f t="shared" si="378"/>
        <v>0</v>
      </c>
      <c r="AF1583" s="55">
        <f t="shared" si="379"/>
        <v>0</v>
      </c>
      <c r="AG1583" s="55">
        <f t="shared" si="380"/>
        <v>0</v>
      </c>
      <c r="AH1583" s="55">
        <f t="shared" si="381"/>
        <v>0</v>
      </c>
      <c r="AI1583" s="34" t="s">
        <v>2629</v>
      </c>
      <c r="AJ1583" s="63">
        <f t="shared" si="382"/>
        <v>0</v>
      </c>
      <c r="AK1583" s="63">
        <f t="shared" si="383"/>
        <v>0</v>
      </c>
      <c r="AL1583" s="63">
        <f t="shared" si="384"/>
        <v>0</v>
      </c>
      <c r="AN1583" s="55">
        <v>21</v>
      </c>
      <c r="AO1583" s="55">
        <f t="shared" si="385"/>
        <v>0</v>
      </c>
      <c r="AP1583" s="55">
        <f t="shared" si="386"/>
        <v>0</v>
      </c>
      <c r="AQ1583" s="66" t="s">
        <v>125</v>
      </c>
      <c r="AV1583" s="55">
        <f t="shared" si="387"/>
        <v>0</v>
      </c>
      <c r="AW1583" s="55">
        <f t="shared" si="388"/>
        <v>0</v>
      </c>
      <c r="AX1583" s="55">
        <f t="shared" si="389"/>
        <v>0</v>
      </c>
      <c r="AY1583" s="58" t="s">
        <v>2992</v>
      </c>
      <c r="AZ1583" s="58" t="s">
        <v>2633</v>
      </c>
      <c r="BA1583" s="34" t="s">
        <v>2634</v>
      </c>
      <c r="BC1583" s="55">
        <f t="shared" si="390"/>
        <v>0</v>
      </c>
      <c r="BD1583" s="55">
        <f t="shared" si="391"/>
        <v>0</v>
      </c>
      <c r="BE1583" s="55">
        <v>0</v>
      </c>
      <c r="BF1583" s="55">
        <f t="shared" si="392"/>
        <v>0</v>
      </c>
      <c r="BH1583" s="63">
        <f t="shared" si="393"/>
        <v>0</v>
      </c>
      <c r="BI1583" s="63">
        <f t="shared" si="394"/>
        <v>0</v>
      </c>
      <c r="BJ1583" s="63">
        <f t="shared" si="395"/>
        <v>0</v>
      </c>
      <c r="BK1583" s="63"/>
      <c r="BL1583" s="55"/>
      <c r="BW1583" s="55">
        <v>21</v>
      </c>
    </row>
    <row r="1584" spans="1:75" ht="27" customHeight="1">
      <c r="A1584" s="61" t="s">
        <v>1870</v>
      </c>
      <c r="B1584" s="62" t="s">
        <v>2629</v>
      </c>
      <c r="C1584" s="62" t="s">
        <v>3007</v>
      </c>
      <c r="D1584" s="224" t="s">
        <v>3008</v>
      </c>
      <c r="E1584" s="225"/>
      <c r="F1584" s="62" t="s">
        <v>2936</v>
      </c>
      <c r="G1584" s="63">
        <v>1</v>
      </c>
      <c r="H1584" s="64">
        <v>0</v>
      </c>
      <c r="I1584" s="63">
        <f t="shared" si="372"/>
        <v>0</v>
      </c>
      <c r="J1584" s="63">
        <v>0</v>
      </c>
      <c r="K1584" s="63">
        <f t="shared" si="373"/>
        <v>0</v>
      </c>
      <c r="L1584" s="65" t="s">
        <v>124</v>
      </c>
      <c r="Z1584" s="55">
        <f t="shared" si="374"/>
        <v>0</v>
      </c>
      <c r="AB1584" s="55">
        <f t="shared" si="375"/>
        <v>0</v>
      </c>
      <c r="AC1584" s="55">
        <f t="shared" si="376"/>
        <v>0</v>
      </c>
      <c r="AD1584" s="55">
        <f t="shared" si="377"/>
        <v>0</v>
      </c>
      <c r="AE1584" s="55">
        <f t="shared" si="378"/>
        <v>0</v>
      </c>
      <c r="AF1584" s="55">
        <f t="shared" si="379"/>
        <v>0</v>
      </c>
      <c r="AG1584" s="55">
        <f t="shared" si="380"/>
        <v>0</v>
      </c>
      <c r="AH1584" s="55">
        <f t="shared" si="381"/>
        <v>0</v>
      </c>
      <c r="AI1584" s="34" t="s">
        <v>2629</v>
      </c>
      <c r="AJ1584" s="63">
        <f t="shared" si="382"/>
        <v>0</v>
      </c>
      <c r="AK1584" s="63">
        <f t="shared" si="383"/>
        <v>0</v>
      </c>
      <c r="AL1584" s="63">
        <f t="shared" si="384"/>
        <v>0</v>
      </c>
      <c r="AN1584" s="55">
        <v>21</v>
      </c>
      <c r="AO1584" s="55">
        <f t="shared" si="385"/>
        <v>0</v>
      </c>
      <c r="AP1584" s="55">
        <f t="shared" si="386"/>
        <v>0</v>
      </c>
      <c r="AQ1584" s="66" t="s">
        <v>125</v>
      </c>
      <c r="AV1584" s="55">
        <f t="shared" si="387"/>
        <v>0</v>
      </c>
      <c r="AW1584" s="55">
        <f t="shared" si="388"/>
        <v>0</v>
      </c>
      <c r="AX1584" s="55">
        <f t="shared" si="389"/>
        <v>0</v>
      </c>
      <c r="AY1584" s="58" t="s">
        <v>2992</v>
      </c>
      <c r="AZ1584" s="58" t="s">
        <v>2633</v>
      </c>
      <c r="BA1584" s="34" t="s">
        <v>2634</v>
      </c>
      <c r="BC1584" s="55">
        <f t="shared" si="390"/>
        <v>0</v>
      </c>
      <c r="BD1584" s="55">
        <f t="shared" si="391"/>
        <v>0</v>
      </c>
      <c r="BE1584" s="55">
        <v>0</v>
      </c>
      <c r="BF1584" s="55">
        <f t="shared" si="392"/>
        <v>0</v>
      </c>
      <c r="BH1584" s="63">
        <f t="shared" si="393"/>
        <v>0</v>
      </c>
      <c r="BI1584" s="63">
        <f t="shared" si="394"/>
        <v>0</v>
      </c>
      <c r="BJ1584" s="63">
        <f t="shared" si="395"/>
        <v>0</v>
      </c>
      <c r="BK1584" s="63"/>
      <c r="BL1584" s="55"/>
      <c r="BW1584" s="55">
        <v>21</v>
      </c>
    </row>
    <row r="1585" spans="1:75" ht="27" customHeight="1">
      <c r="A1585" s="61" t="s">
        <v>2515</v>
      </c>
      <c r="B1585" s="62" t="s">
        <v>2629</v>
      </c>
      <c r="C1585" s="62" t="s">
        <v>3009</v>
      </c>
      <c r="D1585" s="224" t="s">
        <v>3010</v>
      </c>
      <c r="E1585" s="225"/>
      <c r="F1585" s="62" t="s">
        <v>374</v>
      </c>
      <c r="G1585" s="63">
        <v>1</v>
      </c>
      <c r="H1585" s="64">
        <v>0</v>
      </c>
      <c r="I1585" s="63">
        <f t="shared" si="372"/>
        <v>0</v>
      </c>
      <c r="J1585" s="63">
        <v>0</v>
      </c>
      <c r="K1585" s="63">
        <f t="shared" si="373"/>
        <v>0</v>
      </c>
      <c r="L1585" s="65" t="s">
        <v>124</v>
      </c>
      <c r="Z1585" s="55">
        <f t="shared" si="374"/>
        <v>0</v>
      </c>
      <c r="AB1585" s="55">
        <f t="shared" si="375"/>
        <v>0</v>
      </c>
      <c r="AC1585" s="55">
        <f t="shared" si="376"/>
        <v>0</v>
      </c>
      <c r="AD1585" s="55">
        <f t="shared" si="377"/>
        <v>0</v>
      </c>
      <c r="AE1585" s="55">
        <f t="shared" si="378"/>
        <v>0</v>
      </c>
      <c r="AF1585" s="55">
        <f t="shared" si="379"/>
        <v>0</v>
      </c>
      <c r="AG1585" s="55">
        <f t="shared" si="380"/>
        <v>0</v>
      </c>
      <c r="AH1585" s="55">
        <f t="shared" si="381"/>
        <v>0</v>
      </c>
      <c r="AI1585" s="34" t="s">
        <v>2629</v>
      </c>
      <c r="AJ1585" s="63">
        <f t="shared" si="382"/>
        <v>0</v>
      </c>
      <c r="AK1585" s="63">
        <f t="shared" si="383"/>
        <v>0</v>
      </c>
      <c r="AL1585" s="63">
        <f t="shared" si="384"/>
        <v>0</v>
      </c>
      <c r="AN1585" s="55">
        <v>21</v>
      </c>
      <c r="AO1585" s="55">
        <f t="shared" si="385"/>
        <v>0</v>
      </c>
      <c r="AP1585" s="55">
        <f t="shared" si="386"/>
        <v>0</v>
      </c>
      <c r="AQ1585" s="66" t="s">
        <v>125</v>
      </c>
      <c r="AV1585" s="55">
        <f t="shared" si="387"/>
        <v>0</v>
      </c>
      <c r="AW1585" s="55">
        <f t="shared" si="388"/>
        <v>0</v>
      </c>
      <c r="AX1585" s="55">
        <f t="shared" si="389"/>
        <v>0</v>
      </c>
      <c r="AY1585" s="58" t="s">
        <v>2992</v>
      </c>
      <c r="AZ1585" s="58" t="s">
        <v>2633</v>
      </c>
      <c r="BA1585" s="34" t="s">
        <v>2634</v>
      </c>
      <c r="BC1585" s="55">
        <f t="shared" si="390"/>
        <v>0</v>
      </c>
      <c r="BD1585" s="55">
        <f t="shared" si="391"/>
        <v>0</v>
      </c>
      <c r="BE1585" s="55">
        <v>0</v>
      </c>
      <c r="BF1585" s="55">
        <f t="shared" si="392"/>
        <v>0</v>
      </c>
      <c r="BH1585" s="63">
        <f t="shared" si="393"/>
        <v>0</v>
      </c>
      <c r="BI1585" s="63">
        <f t="shared" si="394"/>
        <v>0</v>
      </c>
      <c r="BJ1585" s="63">
        <f t="shared" si="395"/>
        <v>0</v>
      </c>
      <c r="BK1585" s="63"/>
      <c r="BL1585" s="55"/>
      <c r="BW1585" s="55">
        <v>21</v>
      </c>
    </row>
    <row r="1586" spans="1:75" ht="27" customHeight="1">
      <c r="A1586" s="61" t="s">
        <v>1900</v>
      </c>
      <c r="B1586" s="62" t="s">
        <v>2629</v>
      </c>
      <c r="C1586" s="62" t="s">
        <v>3011</v>
      </c>
      <c r="D1586" s="224" t="s">
        <v>3012</v>
      </c>
      <c r="E1586" s="225"/>
      <c r="F1586" s="62" t="s">
        <v>374</v>
      </c>
      <c r="G1586" s="63">
        <v>1</v>
      </c>
      <c r="H1586" s="64">
        <v>0</v>
      </c>
      <c r="I1586" s="63">
        <f t="shared" si="372"/>
        <v>0</v>
      </c>
      <c r="J1586" s="63">
        <v>0</v>
      </c>
      <c r="K1586" s="63">
        <f t="shared" si="373"/>
        <v>0</v>
      </c>
      <c r="L1586" s="65" t="s">
        <v>124</v>
      </c>
      <c r="Z1586" s="55">
        <f t="shared" si="374"/>
        <v>0</v>
      </c>
      <c r="AB1586" s="55">
        <f t="shared" si="375"/>
        <v>0</v>
      </c>
      <c r="AC1586" s="55">
        <f t="shared" si="376"/>
        <v>0</v>
      </c>
      <c r="AD1586" s="55">
        <f t="shared" si="377"/>
        <v>0</v>
      </c>
      <c r="AE1586" s="55">
        <f t="shared" si="378"/>
        <v>0</v>
      </c>
      <c r="AF1586" s="55">
        <f t="shared" si="379"/>
        <v>0</v>
      </c>
      <c r="AG1586" s="55">
        <f t="shared" si="380"/>
        <v>0</v>
      </c>
      <c r="AH1586" s="55">
        <f t="shared" si="381"/>
        <v>0</v>
      </c>
      <c r="AI1586" s="34" t="s">
        <v>2629</v>
      </c>
      <c r="AJ1586" s="63">
        <f t="shared" si="382"/>
        <v>0</v>
      </c>
      <c r="AK1586" s="63">
        <f t="shared" si="383"/>
        <v>0</v>
      </c>
      <c r="AL1586" s="63">
        <f t="shared" si="384"/>
        <v>0</v>
      </c>
      <c r="AN1586" s="55">
        <v>21</v>
      </c>
      <c r="AO1586" s="55">
        <f t="shared" si="385"/>
        <v>0</v>
      </c>
      <c r="AP1586" s="55">
        <f t="shared" si="386"/>
        <v>0</v>
      </c>
      <c r="AQ1586" s="66" t="s">
        <v>125</v>
      </c>
      <c r="AV1586" s="55">
        <f t="shared" si="387"/>
        <v>0</v>
      </c>
      <c r="AW1586" s="55">
        <f t="shared" si="388"/>
        <v>0</v>
      </c>
      <c r="AX1586" s="55">
        <f t="shared" si="389"/>
        <v>0</v>
      </c>
      <c r="AY1586" s="58" t="s">
        <v>2992</v>
      </c>
      <c r="AZ1586" s="58" t="s">
        <v>2633</v>
      </c>
      <c r="BA1586" s="34" t="s">
        <v>2634</v>
      </c>
      <c r="BC1586" s="55">
        <f t="shared" si="390"/>
        <v>0</v>
      </c>
      <c r="BD1586" s="55">
        <f t="shared" si="391"/>
        <v>0</v>
      </c>
      <c r="BE1586" s="55">
        <v>0</v>
      </c>
      <c r="BF1586" s="55">
        <f t="shared" si="392"/>
        <v>0</v>
      </c>
      <c r="BH1586" s="63">
        <f t="shared" si="393"/>
        <v>0</v>
      </c>
      <c r="BI1586" s="63">
        <f t="shared" si="394"/>
        <v>0</v>
      </c>
      <c r="BJ1586" s="63">
        <f t="shared" si="395"/>
        <v>0</v>
      </c>
      <c r="BK1586" s="63"/>
      <c r="BL1586" s="55"/>
      <c r="BW1586" s="55">
        <v>21</v>
      </c>
    </row>
    <row r="1587" spans="1:75" ht="27" customHeight="1">
      <c r="A1587" s="61" t="s">
        <v>2024</v>
      </c>
      <c r="B1587" s="62" t="s">
        <v>2629</v>
      </c>
      <c r="C1587" s="62" t="s">
        <v>3013</v>
      </c>
      <c r="D1587" s="224" t="s">
        <v>3014</v>
      </c>
      <c r="E1587" s="225"/>
      <c r="F1587" s="62" t="s">
        <v>374</v>
      </c>
      <c r="G1587" s="63">
        <v>1</v>
      </c>
      <c r="H1587" s="64">
        <v>0</v>
      </c>
      <c r="I1587" s="63">
        <f t="shared" si="372"/>
        <v>0</v>
      </c>
      <c r="J1587" s="63">
        <v>0</v>
      </c>
      <c r="K1587" s="63">
        <f t="shared" si="373"/>
        <v>0</v>
      </c>
      <c r="L1587" s="65" t="s">
        <v>124</v>
      </c>
      <c r="Z1587" s="55">
        <f t="shared" si="374"/>
        <v>0</v>
      </c>
      <c r="AB1587" s="55">
        <f t="shared" si="375"/>
        <v>0</v>
      </c>
      <c r="AC1587" s="55">
        <f t="shared" si="376"/>
        <v>0</v>
      </c>
      <c r="AD1587" s="55">
        <f t="shared" si="377"/>
        <v>0</v>
      </c>
      <c r="AE1587" s="55">
        <f t="shared" si="378"/>
        <v>0</v>
      </c>
      <c r="AF1587" s="55">
        <f t="shared" si="379"/>
        <v>0</v>
      </c>
      <c r="AG1587" s="55">
        <f t="shared" si="380"/>
        <v>0</v>
      </c>
      <c r="AH1587" s="55">
        <f t="shared" si="381"/>
        <v>0</v>
      </c>
      <c r="AI1587" s="34" t="s">
        <v>2629</v>
      </c>
      <c r="AJ1587" s="63">
        <f t="shared" si="382"/>
        <v>0</v>
      </c>
      <c r="AK1587" s="63">
        <f t="shared" si="383"/>
        <v>0</v>
      </c>
      <c r="AL1587" s="63">
        <f t="shared" si="384"/>
        <v>0</v>
      </c>
      <c r="AN1587" s="55">
        <v>21</v>
      </c>
      <c r="AO1587" s="55">
        <f t="shared" si="385"/>
        <v>0</v>
      </c>
      <c r="AP1587" s="55">
        <f t="shared" si="386"/>
        <v>0</v>
      </c>
      <c r="AQ1587" s="66" t="s">
        <v>125</v>
      </c>
      <c r="AV1587" s="55">
        <f t="shared" si="387"/>
        <v>0</v>
      </c>
      <c r="AW1587" s="55">
        <f t="shared" si="388"/>
        <v>0</v>
      </c>
      <c r="AX1587" s="55">
        <f t="shared" si="389"/>
        <v>0</v>
      </c>
      <c r="AY1587" s="58" t="s">
        <v>2992</v>
      </c>
      <c r="AZ1587" s="58" t="s">
        <v>2633</v>
      </c>
      <c r="BA1587" s="34" t="s">
        <v>2634</v>
      </c>
      <c r="BC1587" s="55">
        <f t="shared" si="390"/>
        <v>0</v>
      </c>
      <c r="BD1587" s="55">
        <f t="shared" si="391"/>
        <v>0</v>
      </c>
      <c r="BE1587" s="55">
        <v>0</v>
      </c>
      <c r="BF1587" s="55">
        <f t="shared" si="392"/>
        <v>0</v>
      </c>
      <c r="BH1587" s="63">
        <f t="shared" si="393"/>
        <v>0</v>
      </c>
      <c r="BI1587" s="63">
        <f t="shared" si="394"/>
        <v>0</v>
      </c>
      <c r="BJ1587" s="63">
        <f t="shared" si="395"/>
        <v>0</v>
      </c>
      <c r="BK1587" s="63"/>
      <c r="BL1587" s="55"/>
      <c r="BW1587" s="55">
        <v>21</v>
      </c>
    </row>
    <row r="1588" spans="1:75" ht="27" customHeight="1">
      <c r="A1588" s="61" t="s">
        <v>3015</v>
      </c>
      <c r="B1588" s="62" t="s">
        <v>2629</v>
      </c>
      <c r="C1588" s="62" t="s">
        <v>3016</v>
      </c>
      <c r="D1588" s="224" t="s">
        <v>3017</v>
      </c>
      <c r="E1588" s="225"/>
      <c r="F1588" s="62" t="s">
        <v>374</v>
      </c>
      <c r="G1588" s="63">
        <v>1</v>
      </c>
      <c r="H1588" s="64">
        <v>0</v>
      </c>
      <c r="I1588" s="63">
        <f t="shared" si="372"/>
        <v>0</v>
      </c>
      <c r="J1588" s="63">
        <v>0</v>
      </c>
      <c r="K1588" s="63">
        <f t="shared" si="373"/>
        <v>0</v>
      </c>
      <c r="L1588" s="65" t="s">
        <v>124</v>
      </c>
      <c r="Z1588" s="55">
        <f t="shared" si="374"/>
        <v>0</v>
      </c>
      <c r="AB1588" s="55">
        <f t="shared" si="375"/>
        <v>0</v>
      </c>
      <c r="AC1588" s="55">
        <f t="shared" si="376"/>
        <v>0</v>
      </c>
      <c r="AD1588" s="55">
        <f t="shared" si="377"/>
        <v>0</v>
      </c>
      <c r="AE1588" s="55">
        <f t="shared" si="378"/>
        <v>0</v>
      </c>
      <c r="AF1588" s="55">
        <f t="shared" si="379"/>
        <v>0</v>
      </c>
      <c r="AG1588" s="55">
        <f t="shared" si="380"/>
        <v>0</v>
      </c>
      <c r="AH1588" s="55">
        <f t="shared" si="381"/>
        <v>0</v>
      </c>
      <c r="AI1588" s="34" t="s">
        <v>2629</v>
      </c>
      <c r="AJ1588" s="63">
        <f t="shared" si="382"/>
        <v>0</v>
      </c>
      <c r="AK1588" s="63">
        <f t="shared" si="383"/>
        <v>0</v>
      </c>
      <c r="AL1588" s="63">
        <f t="shared" si="384"/>
        <v>0</v>
      </c>
      <c r="AN1588" s="55">
        <v>21</v>
      </c>
      <c r="AO1588" s="55">
        <f t="shared" si="385"/>
        <v>0</v>
      </c>
      <c r="AP1588" s="55">
        <f t="shared" si="386"/>
        <v>0</v>
      </c>
      <c r="AQ1588" s="66" t="s">
        <v>125</v>
      </c>
      <c r="AV1588" s="55">
        <f t="shared" si="387"/>
        <v>0</v>
      </c>
      <c r="AW1588" s="55">
        <f t="shared" si="388"/>
        <v>0</v>
      </c>
      <c r="AX1588" s="55">
        <f t="shared" si="389"/>
        <v>0</v>
      </c>
      <c r="AY1588" s="58" t="s">
        <v>2992</v>
      </c>
      <c r="AZ1588" s="58" t="s">
        <v>2633</v>
      </c>
      <c r="BA1588" s="34" t="s">
        <v>2634</v>
      </c>
      <c r="BC1588" s="55">
        <f t="shared" si="390"/>
        <v>0</v>
      </c>
      <c r="BD1588" s="55">
        <f t="shared" si="391"/>
        <v>0</v>
      </c>
      <c r="BE1588" s="55">
        <v>0</v>
      </c>
      <c r="BF1588" s="55">
        <f t="shared" si="392"/>
        <v>0</v>
      </c>
      <c r="BH1588" s="63">
        <f t="shared" si="393"/>
        <v>0</v>
      </c>
      <c r="BI1588" s="63">
        <f t="shared" si="394"/>
        <v>0</v>
      </c>
      <c r="BJ1588" s="63">
        <f t="shared" si="395"/>
        <v>0</v>
      </c>
      <c r="BK1588" s="63"/>
      <c r="BL1588" s="55"/>
      <c r="BW1588" s="55">
        <v>21</v>
      </c>
    </row>
    <row r="1589" spans="1:75" ht="13.5" customHeight="1">
      <c r="A1589" s="61" t="s">
        <v>3018</v>
      </c>
      <c r="B1589" s="62" t="s">
        <v>2629</v>
      </c>
      <c r="C1589" s="62" t="s">
        <v>3019</v>
      </c>
      <c r="D1589" s="224" t="s">
        <v>3020</v>
      </c>
      <c r="E1589" s="225"/>
      <c r="F1589" s="62" t="s">
        <v>374</v>
      </c>
      <c r="G1589" s="63">
        <v>3</v>
      </c>
      <c r="H1589" s="64">
        <v>0</v>
      </c>
      <c r="I1589" s="63">
        <f t="shared" si="372"/>
        <v>0</v>
      </c>
      <c r="J1589" s="63">
        <v>0</v>
      </c>
      <c r="K1589" s="63">
        <f t="shared" si="373"/>
        <v>0</v>
      </c>
      <c r="L1589" s="65" t="s">
        <v>124</v>
      </c>
      <c r="Z1589" s="55">
        <f t="shared" si="374"/>
        <v>0</v>
      </c>
      <c r="AB1589" s="55">
        <f t="shared" si="375"/>
        <v>0</v>
      </c>
      <c r="AC1589" s="55">
        <f t="shared" si="376"/>
        <v>0</v>
      </c>
      <c r="AD1589" s="55">
        <f t="shared" si="377"/>
        <v>0</v>
      </c>
      <c r="AE1589" s="55">
        <f t="shared" si="378"/>
        <v>0</v>
      </c>
      <c r="AF1589" s="55">
        <f t="shared" si="379"/>
        <v>0</v>
      </c>
      <c r="AG1589" s="55">
        <f t="shared" si="380"/>
        <v>0</v>
      </c>
      <c r="AH1589" s="55">
        <f t="shared" si="381"/>
        <v>0</v>
      </c>
      <c r="AI1589" s="34" t="s">
        <v>2629</v>
      </c>
      <c r="AJ1589" s="63">
        <f t="shared" si="382"/>
        <v>0</v>
      </c>
      <c r="AK1589" s="63">
        <f t="shared" si="383"/>
        <v>0</v>
      </c>
      <c r="AL1589" s="63">
        <f t="shared" si="384"/>
        <v>0</v>
      </c>
      <c r="AN1589" s="55">
        <v>21</v>
      </c>
      <c r="AO1589" s="55">
        <f t="shared" si="385"/>
        <v>0</v>
      </c>
      <c r="AP1589" s="55">
        <f t="shared" si="386"/>
        <v>0</v>
      </c>
      <c r="AQ1589" s="66" t="s">
        <v>125</v>
      </c>
      <c r="AV1589" s="55">
        <f t="shared" si="387"/>
        <v>0</v>
      </c>
      <c r="AW1589" s="55">
        <f t="shared" si="388"/>
        <v>0</v>
      </c>
      <c r="AX1589" s="55">
        <f t="shared" si="389"/>
        <v>0</v>
      </c>
      <c r="AY1589" s="58" t="s">
        <v>2992</v>
      </c>
      <c r="AZ1589" s="58" t="s">
        <v>2633</v>
      </c>
      <c r="BA1589" s="34" t="s">
        <v>2634</v>
      </c>
      <c r="BC1589" s="55">
        <f t="shared" si="390"/>
        <v>0</v>
      </c>
      <c r="BD1589" s="55">
        <f t="shared" si="391"/>
        <v>0</v>
      </c>
      <c r="BE1589" s="55">
        <v>0</v>
      </c>
      <c r="BF1589" s="55">
        <f t="shared" si="392"/>
        <v>0</v>
      </c>
      <c r="BH1589" s="63">
        <f t="shared" si="393"/>
        <v>0</v>
      </c>
      <c r="BI1589" s="63">
        <f t="shared" si="394"/>
        <v>0</v>
      </c>
      <c r="BJ1589" s="63">
        <f t="shared" si="395"/>
        <v>0</v>
      </c>
      <c r="BK1589" s="63"/>
      <c r="BL1589" s="55"/>
      <c r="BW1589" s="55">
        <v>21</v>
      </c>
    </row>
    <row r="1590" spans="1:75" ht="13.5" customHeight="1">
      <c r="A1590" s="61" t="s">
        <v>3021</v>
      </c>
      <c r="B1590" s="62" t="s">
        <v>2629</v>
      </c>
      <c r="C1590" s="62" t="s">
        <v>3022</v>
      </c>
      <c r="D1590" s="224" t="s">
        <v>3023</v>
      </c>
      <c r="E1590" s="225"/>
      <c r="F1590" s="62" t="s">
        <v>374</v>
      </c>
      <c r="G1590" s="63">
        <v>6</v>
      </c>
      <c r="H1590" s="64">
        <v>0</v>
      </c>
      <c r="I1590" s="63">
        <f t="shared" si="372"/>
        <v>0</v>
      </c>
      <c r="J1590" s="63">
        <v>0</v>
      </c>
      <c r="K1590" s="63">
        <f t="shared" si="373"/>
        <v>0</v>
      </c>
      <c r="L1590" s="65" t="s">
        <v>124</v>
      </c>
      <c r="Z1590" s="55">
        <f t="shared" si="374"/>
        <v>0</v>
      </c>
      <c r="AB1590" s="55">
        <f t="shared" si="375"/>
        <v>0</v>
      </c>
      <c r="AC1590" s="55">
        <f t="shared" si="376"/>
        <v>0</v>
      </c>
      <c r="AD1590" s="55">
        <f t="shared" si="377"/>
        <v>0</v>
      </c>
      <c r="AE1590" s="55">
        <f t="shared" si="378"/>
        <v>0</v>
      </c>
      <c r="AF1590" s="55">
        <f t="shared" si="379"/>
        <v>0</v>
      </c>
      <c r="AG1590" s="55">
        <f t="shared" si="380"/>
        <v>0</v>
      </c>
      <c r="AH1590" s="55">
        <f t="shared" si="381"/>
        <v>0</v>
      </c>
      <c r="AI1590" s="34" t="s">
        <v>2629</v>
      </c>
      <c r="AJ1590" s="63">
        <f t="shared" si="382"/>
        <v>0</v>
      </c>
      <c r="AK1590" s="63">
        <f t="shared" si="383"/>
        <v>0</v>
      </c>
      <c r="AL1590" s="63">
        <f t="shared" si="384"/>
        <v>0</v>
      </c>
      <c r="AN1590" s="55">
        <v>21</v>
      </c>
      <c r="AO1590" s="55">
        <f t="shared" si="385"/>
        <v>0</v>
      </c>
      <c r="AP1590" s="55">
        <f t="shared" si="386"/>
        <v>0</v>
      </c>
      <c r="AQ1590" s="66" t="s">
        <v>125</v>
      </c>
      <c r="AV1590" s="55">
        <f t="shared" si="387"/>
        <v>0</v>
      </c>
      <c r="AW1590" s="55">
        <f t="shared" si="388"/>
        <v>0</v>
      </c>
      <c r="AX1590" s="55">
        <f t="shared" si="389"/>
        <v>0</v>
      </c>
      <c r="AY1590" s="58" t="s">
        <v>2992</v>
      </c>
      <c r="AZ1590" s="58" t="s">
        <v>2633</v>
      </c>
      <c r="BA1590" s="34" t="s">
        <v>2634</v>
      </c>
      <c r="BC1590" s="55">
        <f t="shared" si="390"/>
        <v>0</v>
      </c>
      <c r="BD1590" s="55">
        <f t="shared" si="391"/>
        <v>0</v>
      </c>
      <c r="BE1590" s="55">
        <v>0</v>
      </c>
      <c r="BF1590" s="55">
        <f t="shared" si="392"/>
        <v>0</v>
      </c>
      <c r="BH1590" s="63">
        <f t="shared" si="393"/>
        <v>0</v>
      </c>
      <c r="BI1590" s="63">
        <f t="shared" si="394"/>
        <v>0</v>
      </c>
      <c r="BJ1590" s="63">
        <f t="shared" si="395"/>
        <v>0</v>
      </c>
      <c r="BK1590" s="63"/>
      <c r="BL1590" s="55"/>
      <c r="BW1590" s="55">
        <v>21</v>
      </c>
    </row>
    <row r="1591" spans="1:75" ht="27" customHeight="1">
      <c r="A1591" s="61" t="s">
        <v>2131</v>
      </c>
      <c r="B1591" s="62" t="s">
        <v>2629</v>
      </c>
      <c r="C1591" s="62" t="s">
        <v>3024</v>
      </c>
      <c r="D1591" s="224" t="s">
        <v>3025</v>
      </c>
      <c r="E1591" s="225"/>
      <c r="F1591" s="62" t="s">
        <v>374</v>
      </c>
      <c r="G1591" s="63">
        <v>3</v>
      </c>
      <c r="H1591" s="64">
        <v>0</v>
      </c>
      <c r="I1591" s="63">
        <f t="shared" si="372"/>
        <v>0</v>
      </c>
      <c r="J1591" s="63">
        <v>0</v>
      </c>
      <c r="K1591" s="63">
        <f t="shared" si="373"/>
        <v>0</v>
      </c>
      <c r="L1591" s="65" t="s">
        <v>124</v>
      </c>
      <c r="Z1591" s="55">
        <f t="shared" si="374"/>
        <v>0</v>
      </c>
      <c r="AB1591" s="55">
        <f t="shared" si="375"/>
        <v>0</v>
      </c>
      <c r="AC1591" s="55">
        <f t="shared" si="376"/>
        <v>0</v>
      </c>
      <c r="AD1591" s="55">
        <f t="shared" si="377"/>
        <v>0</v>
      </c>
      <c r="AE1591" s="55">
        <f t="shared" si="378"/>
        <v>0</v>
      </c>
      <c r="AF1591" s="55">
        <f t="shared" si="379"/>
        <v>0</v>
      </c>
      <c r="AG1591" s="55">
        <f t="shared" si="380"/>
        <v>0</v>
      </c>
      <c r="AH1591" s="55">
        <f t="shared" si="381"/>
        <v>0</v>
      </c>
      <c r="AI1591" s="34" t="s">
        <v>2629</v>
      </c>
      <c r="AJ1591" s="63">
        <f t="shared" si="382"/>
        <v>0</v>
      </c>
      <c r="AK1591" s="63">
        <f t="shared" si="383"/>
        <v>0</v>
      </c>
      <c r="AL1591" s="63">
        <f t="shared" si="384"/>
        <v>0</v>
      </c>
      <c r="AN1591" s="55">
        <v>21</v>
      </c>
      <c r="AO1591" s="55">
        <f t="shared" si="385"/>
        <v>0</v>
      </c>
      <c r="AP1591" s="55">
        <f t="shared" si="386"/>
        <v>0</v>
      </c>
      <c r="AQ1591" s="66" t="s">
        <v>125</v>
      </c>
      <c r="AV1591" s="55">
        <f t="shared" si="387"/>
        <v>0</v>
      </c>
      <c r="AW1591" s="55">
        <f t="shared" si="388"/>
        <v>0</v>
      </c>
      <c r="AX1591" s="55">
        <f t="shared" si="389"/>
        <v>0</v>
      </c>
      <c r="AY1591" s="58" t="s">
        <v>2992</v>
      </c>
      <c r="AZ1591" s="58" t="s">
        <v>2633</v>
      </c>
      <c r="BA1591" s="34" t="s">
        <v>2634</v>
      </c>
      <c r="BC1591" s="55">
        <f t="shared" si="390"/>
        <v>0</v>
      </c>
      <c r="BD1591" s="55">
        <f t="shared" si="391"/>
        <v>0</v>
      </c>
      <c r="BE1591" s="55">
        <v>0</v>
      </c>
      <c r="BF1591" s="55">
        <f t="shared" si="392"/>
        <v>0</v>
      </c>
      <c r="BH1591" s="63">
        <f t="shared" si="393"/>
        <v>0</v>
      </c>
      <c r="BI1591" s="63">
        <f t="shared" si="394"/>
        <v>0</v>
      </c>
      <c r="BJ1591" s="63">
        <f t="shared" si="395"/>
        <v>0</v>
      </c>
      <c r="BK1591" s="63"/>
      <c r="BL1591" s="55"/>
      <c r="BW1591" s="55">
        <v>21</v>
      </c>
    </row>
    <row r="1592" spans="1:75" ht="27" customHeight="1">
      <c r="A1592" s="61" t="s">
        <v>2168</v>
      </c>
      <c r="B1592" s="62" t="s">
        <v>2629</v>
      </c>
      <c r="C1592" s="62" t="s">
        <v>3026</v>
      </c>
      <c r="D1592" s="224" t="s">
        <v>3027</v>
      </c>
      <c r="E1592" s="225"/>
      <c r="F1592" s="62" t="s">
        <v>2936</v>
      </c>
      <c r="G1592" s="63">
        <v>2</v>
      </c>
      <c r="H1592" s="64">
        <v>0</v>
      </c>
      <c r="I1592" s="63">
        <f t="shared" si="372"/>
        <v>0</v>
      </c>
      <c r="J1592" s="63">
        <v>0</v>
      </c>
      <c r="K1592" s="63">
        <f t="shared" si="373"/>
        <v>0</v>
      </c>
      <c r="L1592" s="65" t="s">
        <v>124</v>
      </c>
      <c r="Z1592" s="55">
        <f t="shared" si="374"/>
        <v>0</v>
      </c>
      <c r="AB1592" s="55">
        <f t="shared" si="375"/>
        <v>0</v>
      </c>
      <c r="AC1592" s="55">
        <f t="shared" si="376"/>
        <v>0</v>
      </c>
      <c r="AD1592" s="55">
        <f t="shared" si="377"/>
        <v>0</v>
      </c>
      <c r="AE1592" s="55">
        <f t="shared" si="378"/>
        <v>0</v>
      </c>
      <c r="AF1592" s="55">
        <f t="shared" si="379"/>
        <v>0</v>
      </c>
      <c r="AG1592" s="55">
        <f t="shared" si="380"/>
        <v>0</v>
      </c>
      <c r="AH1592" s="55">
        <f t="shared" si="381"/>
        <v>0</v>
      </c>
      <c r="AI1592" s="34" t="s">
        <v>2629</v>
      </c>
      <c r="AJ1592" s="63">
        <f t="shared" si="382"/>
        <v>0</v>
      </c>
      <c r="AK1592" s="63">
        <f t="shared" si="383"/>
        <v>0</v>
      </c>
      <c r="AL1592" s="63">
        <f t="shared" si="384"/>
        <v>0</v>
      </c>
      <c r="AN1592" s="55">
        <v>21</v>
      </c>
      <c r="AO1592" s="55">
        <f t="shared" si="385"/>
        <v>0</v>
      </c>
      <c r="AP1592" s="55">
        <f t="shared" si="386"/>
        <v>0</v>
      </c>
      <c r="AQ1592" s="66" t="s">
        <v>125</v>
      </c>
      <c r="AV1592" s="55">
        <f t="shared" si="387"/>
        <v>0</v>
      </c>
      <c r="AW1592" s="55">
        <f t="shared" si="388"/>
        <v>0</v>
      </c>
      <c r="AX1592" s="55">
        <f t="shared" si="389"/>
        <v>0</v>
      </c>
      <c r="AY1592" s="58" t="s">
        <v>2992</v>
      </c>
      <c r="AZ1592" s="58" t="s">
        <v>2633</v>
      </c>
      <c r="BA1592" s="34" t="s">
        <v>2634</v>
      </c>
      <c r="BC1592" s="55">
        <f t="shared" si="390"/>
        <v>0</v>
      </c>
      <c r="BD1592" s="55">
        <f t="shared" si="391"/>
        <v>0</v>
      </c>
      <c r="BE1592" s="55">
        <v>0</v>
      </c>
      <c r="BF1592" s="55">
        <f t="shared" si="392"/>
        <v>0</v>
      </c>
      <c r="BH1592" s="63">
        <f t="shared" si="393"/>
        <v>0</v>
      </c>
      <c r="BI1592" s="63">
        <f t="shared" si="394"/>
        <v>0</v>
      </c>
      <c r="BJ1592" s="63">
        <f t="shared" si="395"/>
        <v>0</v>
      </c>
      <c r="BK1592" s="63"/>
      <c r="BL1592" s="55"/>
      <c r="BW1592" s="55">
        <v>21</v>
      </c>
    </row>
    <row r="1593" spans="1:75" ht="27" customHeight="1">
      <c r="A1593" s="61" t="s">
        <v>3028</v>
      </c>
      <c r="B1593" s="62" t="s">
        <v>2629</v>
      </c>
      <c r="C1593" s="62" t="s">
        <v>3029</v>
      </c>
      <c r="D1593" s="224" t="s">
        <v>3030</v>
      </c>
      <c r="E1593" s="225"/>
      <c r="F1593" s="62" t="s">
        <v>2936</v>
      </c>
      <c r="G1593" s="63">
        <v>1</v>
      </c>
      <c r="H1593" s="64">
        <v>0</v>
      </c>
      <c r="I1593" s="63">
        <f t="shared" si="372"/>
        <v>0</v>
      </c>
      <c r="J1593" s="63">
        <v>0</v>
      </c>
      <c r="K1593" s="63">
        <f t="shared" si="373"/>
        <v>0</v>
      </c>
      <c r="L1593" s="65" t="s">
        <v>124</v>
      </c>
      <c r="Z1593" s="55">
        <f t="shared" si="374"/>
        <v>0</v>
      </c>
      <c r="AB1593" s="55">
        <f t="shared" si="375"/>
        <v>0</v>
      </c>
      <c r="AC1593" s="55">
        <f t="shared" si="376"/>
        <v>0</v>
      </c>
      <c r="AD1593" s="55">
        <f t="shared" si="377"/>
        <v>0</v>
      </c>
      <c r="AE1593" s="55">
        <f t="shared" si="378"/>
        <v>0</v>
      </c>
      <c r="AF1593" s="55">
        <f t="shared" si="379"/>
        <v>0</v>
      </c>
      <c r="AG1593" s="55">
        <f t="shared" si="380"/>
        <v>0</v>
      </c>
      <c r="AH1593" s="55">
        <f t="shared" si="381"/>
        <v>0</v>
      </c>
      <c r="AI1593" s="34" t="s">
        <v>2629</v>
      </c>
      <c r="AJ1593" s="63">
        <f t="shared" si="382"/>
        <v>0</v>
      </c>
      <c r="AK1593" s="63">
        <f t="shared" si="383"/>
        <v>0</v>
      </c>
      <c r="AL1593" s="63">
        <f t="shared" si="384"/>
        <v>0</v>
      </c>
      <c r="AN1593" s="55">
        <v>21</v>
      </c>
      <c r="AO1593" s="55">
        <f t="shared" si="385"/>
        <v>0</v>
      </c>
      <c r="AP1593" s="55">
        <f t="shared" si="386"/>
        <v>0</v>
      </c>
      <c r="AQ1593" s="66" t="s">
        <v>125</v>
      </c>
      <c r="AV1593" s="55">
        <f t="shared" si="387"/>
        <v>0</v>
      </c>
      <c r="AW1593" s="55">
        <f t="shared" si="388"/>
        <v>0</v>
      </c>
      <c r="AX1593" s="55">
        <f t="shared" si="389"/>
        <v>0</v>
      </c>
      <c r="AY1593" s="58" t="s">
        <v>2992</v>
      </c>
      <c r="AZ1593" s="58" t="s">
        <v>2633</v>
      </c>
      <c r="BA1593" s="34" t="s">
        <v>2634</v>
      </c>
      <c r="BC1593" s="55">
        <f t="shared" si="390"/>
        <v>0</v>
      </c>
      <c r="BD1593" s="55">
        <f t="shared" si="391"/>
        <v>0</v>
      </c>
      <c r="BE1593" s="55">
        <v>0</v>
      </c>
      <c r="BF1593" s="55">
        <f t="shared" si="392"/>
        <v>0</v>
      </c>
      <c r="BH1593" s="63">
        <f t="shared" si="393"/>
        <v>0</v>
      </c>
      <c r="BI1593" s="63">
        <f t="shared" si="394"/>
        <v>0</v>
      </c>
      <c r="BJ1593" s="63">
        <f t="shared" si="395"/>
        <v>0</v>
      </c>
      <c r="BK1593" s="63"/>
      <c r="BL1593" s="55"/>
      <c r="BW1593" s="55">
        <v>21</v>
      </c>
    </row>
    <row r="1594" spans="1:75" ht="13.5" customHeight="1">
      <c r="A1594" s="61" t="s">
        <v>3031</v>
      </c>
      <c r="B1594" s="62" t="s">
        <v>2629</v>
      </c>
      <c r="C1594" s="62" t="s">
        <v>3032</v>
      </c>
      <c r="D1594" s="224" t="s">
        <v>3033</v>
      </c>
      <c r="E1594" s="225"/>
      <c r="F1594" s="62" t="s">
        <v>2936</v>
      </c>
      <c r="G1594" s="63">
        <v>1</v>
      </c>
      <c r="H1594" s="64">
        <v>0</v>
      </c>
      <c r="I1594" s="63">
        <f t="shared" si="372"/>
        <v>0</v>
      </c>
      <c r="J1594" s="63">
        <v>0</v>
      </c>
      <c r="K1594" s="63">
        <f t="shared" si="373"/>
        <v>0</v>
      </c>
      <c r="L1594" s="65" t="s">
        <v>124</v>
      </c>
      <c r="Z1594" s="55">
        <f t="shared" si="374"/>
        <v>0</v>
      </c>
      <c r="AB1594" s="55">
        <f t="shared" si="375"/>
        <v>0</v>
      </c>
      <c r="AC1594" s="55">
        <f t="shared" si="376"/>
        <v>0</v>
      </c>
      <c r="AD1594" s="55">
        <f t="shared" si="377"/>
        <v>0</v>
      </c>
      <c r="AE1594" s="55">
        <f t="shared" si="378"/>
        <v>0</v>
      </c>
      <c r="AF1594" s="55">
        <f t="shared" si="379"/>
        <v>0</v>
      </c>
      <c r="AG1594" s="55">
        <f t="shared" si="380"/>
        <v>0</v>
      </c>
      <c r="AH1594" s="55">
        <f t="shared" si="381"/>
        <v>0</v>
      </c>
      <c r="AI1594" s="34" t="s">
        <v>2629</v>
      </c>
      <c r="AJ1594" s="63">
        <f t="shared" si="382"/>
        <v>0</v>
      </c>
      <c r="AK1594" s="63">
        <f t="shared" si="383"/>
        <v>0</v>
      </c>
      <c r="AL1594" s="63">
        <f t="shared" si="384"/>
        <v>0</v>
      </c>
      <c r="AN1594" s="55">
        <v>21</v>
      </c>
      <c r="AO1594" s="55">
        <f t="shared" si="385"/>
        <v>0</v>
      </c>
      <c r="AP1594" s="55">
        <f t="shared" si="386"/>
        <v>0</v>
      </c>
      <c r="AQ1594" s="66" t="s">
        <v>125</v>
      </c>
      <c r="AV1594" s="55">
        <f t="shared" si="387"/>
        <v>0</v>
      </c>
      <c r="AW1594" s="55">
        <f t="shared" si="388"/>
        <v>0</v>
      </c>
      <c r="AX1594" s="55">
        <f t="shared" si="389"/>
        <v>0</v>
      </c>
      <c r="AY1594" s="58" t="s">
        <v>2992</v>
      </c>
      <c r="AZ1594" s="58" t="s">
        <v>2633</v>
      </c>
      <c r="BA1594" s="34" t="s">
        <v>2634</v>
      </c>
      <c r="BC1594" s="55">
        <f t="shared" si="390"/>
        <v>0</v>
      </c>
      <c r="BD1594" s="55">
        <f t="shared" si="391"/>
        <v>0</v>
      </c>
      <c r="BE1594" s="55">
        <v>0</v>
      </c>
      <c r="BF1594" s="55">
        <f t="shared" si="392"/>
        <v>0</v>
      </c>
      <c r="BH1594" s="63">
        <f t="shared" si="393"/>
        <v>0</v>
      </c>
      <c r="BI1594" s="63">
        <f t="shared" si="394"/>
        <v>0</v>
      </c>
      <c r="BJ1594" s="63">
        <f t="shared" si="395"/>
        <v>0</v>
      </c>
      <c r="BK1594" s="63"/>
      <c r="BL1594" s="55"/>
      <c r="BW1594" s="55">
        <v>21</v>
      </c>
    </row>
    <row r="1595" spans="1:75" ht="13.5" customHeight="1">
      <c r="A1595" s="61" t="s">
        <v>3034</v>
      </c>
      <c r="B1595" s="62" t="s">
        <v>2629</v>
      </c>
      <c r="C1595" s="62" t="s">
        <v>3035</v>
      </c>
      <c r="D1595" s="224" t="s">
        <v>3036</v>
      </c>
      <c r="E1595" s="225"/>
      <c r="F1595" s="62" t="s">
        <v>2936</v>
      </c>
      <c r="G1595" s="63">
        <v>3</v>
      </c>
      <c r="H1595" s="64">
        <v>0</v>
      </c>
      <c r="I1595" s="63">
        <f t="shared" si="372"/>
        <v>0</v>
      </c>
      <c r="J1595" s="63">
        <v>0</v>
      </c>
      <c r="K1595" s="63">
        <f t="shared" si="373"/>
        <v>0</v>
      </c>
      <c r="L1595" s="65" t="s">
        <v>124</v>
      </c>
      <c r="Z1595" s="55">
        <f t="shared" si="374"/>
        <v>0</v>
      </c>
      <c r="AB1595" s="55">
        <f t="shared" si="375"/>
        <v>0</v>
      </c>
      <c r="AC1595" s="55">
        <f t="shared" si="376"/>
        <v>0</v>
      </c>
      <c r="AD1595" s="55">
        <f t="shared" si="377"/>
        <v>0</v>
      </c>
      <c r="AE1595" s="55">
        <f t="shared" si="378"/>
        <v>0</v>
      </c>
      <c r="AF1595" s="55">
        <f t="shared" si="379"/>
        <v>0</v>
      </c>
      <c r="AG1595" s="55">
        <f t="shared" si="380"/>
        <v>0</v>
      </c>
      <c r="AH1595" s="55">
        <f t="shared" si="381"/>
        <v>0</v>
      </c>
      <c r="AI1595" s="34" t="s">
        <v>2629</v>
      </c>
      <c r="AJ1595" s="63">
        <f t="shared" si="382"/>
        <v>0</v>
      </c>
      <c r="AK1595" s="63">
        <f t="shared" si="383"/>
        <v>0</v>
      </c>
      <c r="AL1595" s="63">
        <f t="shared" si="384"/>
        <v>0</v>
      </c>
      <c r="AN1595" s="55">
        <v>21</v>
      </c>
      <c r="AO1595" s="55">
        <f t="shared" si="385"/>
        <v>0</v>
      </c>
      <c r="AP1595" s="55">
        <f t="shared" si="386"/>
        <v>0</v>
      </c>
      <c r="AQ1595" s="66" t="s">
        <v>125</v>
      </c>
      <c r="AV1595" s="55">
        <f t="shared" si="387"/>
        <v>0</v>
      </c>
      <c r="AW1595" s="55">
        <f t="shared" si="388"/>
        <v>0</v>
      </c>
      <c r="AX1595" s="55">
        <f t="shared" si="389"/>
        <v>0</v>
      </c>
      <c r="AY1595" s="58" t="s">
        <v>2992</v>
      </c>
      <c r="AZ1595" s="58" t="s">
        <v>2633</v>
      </c>
      <c r="BA1595" s="34" t="s">
        <v>2634</v>
      </c>
      <c r="BC1595" s="55">
        <f t="shared" si="390"/>
        <v>0</v>
      </c>
      <c r="BD1595" s="55">
        <f t="shared" si="391"/>
        <v>0</v>
      </c>
      <c r="BE1595" s="55">
        <v>0</v>
      </c>
      <c r="BF1595" s="55">
        <f t="shared" si="392"/>
        <v>0</v>
      </c>
      <c r="BH1595" s="63">
        <f t="shared" si="393"/>
        <v>0</v>
      </c>
      <c r="BI1595" s="63">
        <f t="shared" si="394"/>
        <v>0</v>
      </c>
      <c r="BJ1595" s="63">
        <f t="shared" si="395"/>
        <v>0</v>
      </c>
      <c r="BK1595" s="63"/>
      <c r="BL1595" s="55"/>
      <c r="BW1595" s="55">
        <v>21</v>
      </c>
    </row>
    <row r="1596" spans="1:75" ht="13.5" customHeight="1">
      <c r="A1596" s="61" t="s">
        <v>2200</v>
      </c>
      <c r="B1596" s="62" t="s">
        <v>2629</v>
      </c>
      <c r="C1596" s="62" t="s">
        <v>3037</v>
      </c>
      <c r="D1596" s="224" t="s">
        <v>3038</v>
      </c>
      <c r="E1596" s="225"/>
      <c r="F1596" s="62" t="s">
        <v>2936</v>
      </c>
      <c r="G1596" s="63">
        <v>1</v>
      </c>
      <c r="H1596" s="64">
        <v>0</v>
      </c>
      <c r="I1596" s="63">
        <f t="shared" si="372"/>
        <v>0</v>
      </c>
      <c r="J1596" s="63">
        <v>0</v>
      </c>
      <c r="K1596" s="63">
        <f t="shared" si="373"/>
        <v>0</v>
      </c>
      <c r="L1596" s="65" t="s">
        <v>124</v>
      </c>
      <c r="Z1596" s="55">
        <f t="shared" si="374"/>
        <v>0</v>
      </c>
      <c r="AB1596" s="55">
        <f t="shared" si="375"/>
        <v>0</v>
      </c>
      <c r="AC1596" s="55">
        <f t="shared" si="376"/>
        <v>0</v>
      </c>
      <c r="AD1596" s="55">
        <f t="shared" si="377"/>
        <v>0</v>
      </c>
      <c r="AE1596" s="55">
        <f t="shared" si="378"/>
        <v>0</v>
      </c>
      <c r="AF1596" s="55">
        <f t="shared" si="379"/>
        <v>0</v>
      </c>
      <c r="AG1596" s="55">
        <f t="shared" si="380"/>
        <v>0</v>
      </c>
      <c r="AH1596" s="55">
        <f t="shared" si="381"/>
        <v>0</v>
      </c>
      <c r="AI1596" s="34" t="s">
        <v>2629</v>
      </c>
      <c r="AJ1596" s="63">
        <f t="shared" si="382"/>
        <v>0</v>
      </c>
      <c r="AK1596" s="63">
        <f t="shared" si="383"/>
        <v>0</v>
      </c>
      <c r="AL1596" s="63">
        <f t="shared" si="384"/>
        <v>0</v>
      </c>
      <c r="AN1596" s="55">
        <v>21</v>
      </c>
      <c r="AO1596" s="55">
        <f t="shared" si="385"/>
        <v>0</v>
      </c>
      <c r="AP1596" s="55">
        <f t="shared" si="386"/>
        <v>0</v>
      </c>
      <c r="AQ1596" s="66" t="s">
        <v>125</v>
      </c>
      <c r="AV1596" s="55">
        <f t="shared" si="387"/>
        <v>0</v>
      </c>
      <c r="AW1596" s="55">
        <f t="shared" si="388"/>
        <v>0</v>
      </c>
      <c r="AX1596" s="55">
        <f t="shared" si="389"/>
        <v>0</v>
      </c>
      <c r="AY1596" s="58" t="s">
        <v>2992</v>
      </c>
      <c r="AZ1596" s="58" t="s">
        <v>2633</v>
      </c>
      <c r="BA1596" s="34" t="s">
        <v>2634</v>
      </c>
      <c r="BC1596" s="55">
        <f t="shared" si="390"/>
        <v>0</v>
      </c>
      <c r="BD1596" s="55">
        <f t="shared" si="391"/>
        <v>0</v>
      </c>
      <c r="BE1596" s="55">
        <v>0</v>
      </c>
      <c r="BF1596" s="55">
        <f t="shared" si="392"/>
        <v>0</v>
      </c>
      <c r="BH1596" s="63">
        <f t="shared" si="393"/>
        <v>0</v>
      </c>
      <c r="BI1596" s="63">
        <f t="shared" si="394"/>
        <v>0</v>
      </c>
      <c r="BJ1596" s="63">
        <f t="shared" si="395"/>
        <v>0</v>
      </c>
      <c r="BK1596" s="63"/>
      <c r="BL1596" s="55"/>
      <c r="BW1596" s="55">
        <v>21</v>
      </c>
    </row>
    <row r="1597" spans="1:75" ht="27" customHeight="1">
      <c r="A1597" s="61" t="s">
        <v>3039</v>
      </c>
      <c r="B1597" s="62" t="s">
        <v>2629</v>
      </c>
      <c r="C1597" s="62" t="s">
        <v>3040</v>
      </c>
      <c r="D1597" s="224" t="s">
        <v>3041</v>
      </c>
      <c r="E1597" s="225"/>
      <c r="F1597" s="62" t="s">
        <v>2936</v>
      </c>
      <c r="G1597" s="63">
        <v>1</v>
      </c>
      <c r="H1597" s="64">
        <v>0</v>
      </c>
      <c r="I1597" s="63">
        <f t="shared" si="372"/>
        <v>0</v>
      </c>
      <c r="J1597" s="63">
        <v>0</v>
      </c>
      <c r="K1597" s="63">
        <f t="shared" si="373"/>
        <v>0</v>
      </c>
      <c r="L1597" s="65" t="s">
        <v>124</v>
      </c>
      <c r="Z1597" s="55">
        <f t="shared" si="374"/>
        <v>0</v>
      </c>
      <c r="AB1597" s="55">
        <f t="shared" si="375"/>
        <v>0</v>
      </c>
      <c r="AC1597" s="55">
        <f t="shared" si="376"/>
        <v>0</v>
      </c>
      <c r="AD1597" s="55">
        <f t="shared" si="377"/>
        <v>0</v>
      </c>
      <c r="AE1597" s="55">
        <f t="shared" si="378"/>
        <v>0</v>
      </c>
      <c r="AF1597" s="55">
        <f t="shared" si="379"/>
        <v>0</v>
      </c>
      <c r="AG1597" s="55">
        <f t="shared" si="380"/>
        <v>0</v>
      </c>
      <c r="AH1597" s="55">
        <f t="shared" si="381"/>
        <v>0</v>
      </c>
      <c r="AI1597" s="34" t="s">
        <v>2629</v>
      </c>
      <c r="AJ1597" s="63">
        <f t="shared" si="382"/>
        <v>0</v>
      </c>
      <c r="AK1597" s="63">
        <f t="shared" si="383"/>
        <v>0</v>
      </c>
      <c r="AL1597" s="63">
        <f t="shared" si="384"/>
        <v>0</v>
      </c>
      <c r="AN1597" s="55">
        <v>21</v>
      </c>
      <c r="AO1597" s="55">
        <f t="shared" si="385"/>
        <v>0</v>
      </c>
      <c r="AP1597" s="55">
        <f t="shared" si="386"/>
        <v>0</v>
      </c>
      <c r="AQ1597" s="66" t="s">
        <v>125</v>
      </c>
      <c r="AV1597" s="55">
        <f t="shared" si="387"/>
        <v>0</v>
      </c>
      <c r="AW1597" s="55">
        <f t="shared" si="388"/>
        <v>0</v>
      </c>
      <c r="AX1597" s="55">
        <f t="shared" si="389"/>
        <v>0</v>
      </c>
      <c r="AY1597" s="58" t="s">
        <v>2992</v>
      </c>
      <c r="AZ1597" s="58" t="s">
        <v>2633</v>
      </c>
      <c r="BA1597" s="34" t="s">
        <v>2634</v>
      </c>
      <c r="BC1597" s="55">
        <f t="shared" si="390"/>
        <v>0</v>
      </c>
      <c r="BD1597" s="55">
        <f t="shared" si="391"/>
        <v>0</v>
      </c>
      <c r="BE1597" s="55">
        <v>0</v>
      </c>
      <c r="BF1597" s="55">
        <f t="shared" si="392"/>
        <v>0</v>
      </c>
      <c r="BH1597" s="63">
        <f t="shared" si="393"/>
        <v>0</v>
      </c>
      <c r="BI1597" s="63">
        <f t="shared" si="394"/>
        <v>0</v>
      </c>
      <c r="BJ1597" s="63">
        <f t="shared" si="395"/>
        <v>0</v>
      </c>
      <c r="BK1597" s="63"/>
      <c r="BL1597" s="55"/>
      <c r="BW1597" s="55">
        <v>21</v>
      </c>
    </row>
    <row r="1598" spans="1:75" ht="27" customHeight="1">
      <c r="A1598" s="61" t="s">
        <v>3042</v>
      </c>
      <c r="B1598" s="62" t="s">
        <v>2629</v>
      </c>
      <c r="C1598" s="62" t="s">
        <v>3043</v>
      </c>
      <c r="D1598" s="224" t="s">
        <v>3044</v>
      </c>
      <c r="E1598" s="225"/>
      <c r="F1598" s="62" t="s">
        <v>2936</v>
      </c>
      <c r="G1598" s="63">
        <v>1</v>
      </c>
      <c r="H1598" s="64">
        <v>0</v>
      </c>
      <c r="I1598" s="63">
        <f t="shared" si="372"/>
        <v>0</v>
      </c>
      <c r="J1598" s="63">
        <v>0</v>
      </c>
      <c r="K1598" s="63">
        <f t="shared" si="373"/>
        <v>0</v>
      </c>
      <c r="L1598" s="65" t="s">
        <v>124</v>
      </c>
      <c r="Z1598" s="55">
        <f t="shared" si="374"/>
        <v>0</v>
      </c>
      <c r="AB1598" s="55">
        <f t="shared" si="375"/>
        <v>0</v>
      </c>
      <c r="AC1598" s="55">
        <f t="shared" si="376"/>
        <v>0</v>
      </c>
      <c r="AD1598" s="55">
        <f t="shared" si="377"/>
        <v>0</v>
      </c>
      <c r="AE1598" s="55">
        <f t="shared" si="378"/>
        <v>0</v>
      </c>
      <c r="AF1598" s="55">
        <f t="shared" si="379"/>
        <v>0</v>
      </c>
      <c r="AG1598" s="55">
        <f t="shared" si="380"/>
        <v>0</v>
      </c>
      <c r="AH1598" s="55">
        <f t="shared" si="381"/>
        <v>0</v>
      </c>
      <c r="AI1598" s="34" t="s">
        <v>2629</v>
      </c>
      <c r="AJ1598" s="63">
        <f t="shared" si="382"/>
        <v>0</v>
      </c>
      <c r="AK1598" s="63">
        <f t="shared" si="383"/>
        <v>0</v>
      </c>
      <c r="AL1598" s="63">
        <f t="shared" si="384"/>
        <v>0</v>
      </c>
      <c r="AN1598" s="55">
        <v>21</v>
      </c>
      <c r="AO1598" s="55">
        <f t="shared" si="385"/>
        <v>0</v>
      </c>
      <c r="AP1598" s="55">
        <f t="shared" si="386"/>
        <v>0</v>
      </c>
      <c r="AQ1598" s="66" t="s">
        <v>125</v>
      </c>
      <c r="AV1598" s="55">
        <f t="shared" si="387"/>
        <v>0</v>
      </c>
      <c r="AW1598" s="55">
        <f t="shared" si="388"/>
        <v>0</v>
      </c>
      <c r="AX1598" s="55">
        <f t="shared" si="389"/>
        <v>0</v>
      </c>
      <c r="AY1598" s="58" t="s">
        <v>2992</v>
      </c>
      <c r="AZ1598" s="58" t="s">
        <v>2633</v>
      </c>
      <c r="BA1598" s="34" t="s">
        <v>2634</v>
      </c>
      <c r="BC1598" s="55">
        <f t="shared" si="390"/>
        <v>0</v>
      </c>
      <c r="BD1598" s="55">
        <f t="shared" si="391"/>
        <v>0</v>
      </c>
      <c r="BE1598" s="55">
        <v>0</v>
      </c>
      <c r="BF1598" s="55">
        <f t="shared" si="392"/>
        <v>0</v>
      </c>
      <c r="BH1598" s="63">
        <f t="shared" si="393"/>
        <v>0</v>
      </c>
      <c r="BI1598" s="63">
        <f t="shared" si="394"/>
        <v>0</v>
      </c>
      <c r="BJ1598" s="63">
        <f t="shared" si="395"/>
        <v>0</v>
      </c>
      <c r="BK1598" s="63"/>
      <c r="BL1598" s="55"/>
      <c r="BW1598" s="55">
        <v>21</v>
      </c>
    </row>
    <row r="1599" spans="1:75" ht="13.5" customHeight="1">
      <c r="A1599" s="61" t="s">
        <v>3045</v>
      </c>
      <c r="B1599" s="62" t="s">
        <v>2629</v>
      </c>
      <c r="C1599" s="62" t="s">
        <v>3046</v>
      </c>
      <c r="D1599" s="224" t="s">
        <v>3047</v>
      </c>
      <c r="E1599" s="225"/>
      <c r="F1599" s="62" t="s">
        <v>2936</v>
      </c>
      <c r="G1599" s="63">
        <v>1</v>
      </c>
      <c r="H1599" s="64">
        <v>0</v>
      </c>
      <c r="I1599" s="63">
        <f t="shared" si="372"/>
        <v>0</v>
      </c>
      <c r="J1599" s="63">
        <v>0</v>
      </c>
      <c r="K1599" s="63">
        <f t="shared" si="373"/>
        <v>0</v>
      </c>
      <c r="L1599" s="65" t="s">
        <v>124</v>
      </c>
      <c r="Z1599" s="55">
        <f t="shared" si="374"/>
        <v>0</v>
      </c>
      <c r="AB1599" s="55">
        <f t="shared" si="375"/>
        <v>0</v>
      </c>
      <c r="AC1599" s="55">
        <f t="shared" si="376"/>
        <v>0</v>
      </c>
      <c r="AD1599" s="55">
        <f t="shared" si="377"/>
        <v>0</v>
      </c>
      <c r="AE1599" s="55">
        <f t="shared" si="378"/>
        <v>0</v>
      </c>
      <c r="AF1599" s="55">
        <f t="shared" si="379"/>
        <v>0</v>
      </c>
      <c r="AG1599" s="55">
        <f t="shared" si="380"/>
        <v>0</v>
      </c>
      <c r="AH1599" s="55">
        <f t="shared" si="381"/>
        <v>0</v>
      </c>
      <c r="AI1599" s="34" t="s">
        <v>2629</v>
      </c>
      <c r="AJ1599" s="63">
        <f t="shared" si="382"/>
        <v>0</v>
      </c>
      <c r="AK1599" s="63">
        <f t="shared" si="383"/>
        <v>0</v>
      </c>
      <c r="AL1599" s="63">
        <f t="shared" si="384"/>
        <v>0</v>
      </c>
      <c r="AN1599" s="55">
        <v>21</v>
      </c>
      <c r="AO1599" s="55">
        <f t="shared" si="385"/>
        <v>0</v>
      </c>
      <c r="AP1599" s="55">
        <f t="shared" si="386"/>
        <v>0</v>
      </c>
      <c r="AQ1599" s="66" t="s">
        <v>125</v>
      </c>
      <c r="AV1599" s="55">
        <f t="shared" si="387"/>
        <v>0</v>
      </c>
      <c r="AW1599" s="55">
        <f t="shared" si="388"/>
        <v>0</v>
      </c>
      <c r="AX1599" s="55">
        <f t="shared" si="389"/>
        <v>0</v>
      </c>
      <c r="AY1599" s="58" t="s">
        <v>2992</v>
      </c>
      <c r="AZ1599" s="58" t="s">
        <v>2633</v>
      </c>
      <c r="BA1599" s="34" t="s">
        <v>2634</v>
      </c>
      <c r="BC1599" s="55">
        <f t="shared" si="390"/>
        <v>0</v>
      </c>
      <c r="BD1599" s="55">
        <f t="shared" si="391"/>
        <v>0</v>
      </c>
      <c r="BE1599" s="55">
        <v>0</v>
      </c>
      <c r="BF1599" s="55">
        <f t="shared" si="392"/>
        <v>0</v>
      </c>
      <c r="BH1599" s="63">
        <f t="shared" si="393"/>
        <v>0</v>
      </c>
      <c r="BI1599" s="63">
        <f t="shared" si="394"/>
        <v>0</v>
      </c>
      <c r="BJ1599" s="63">
        <f t="shared" si="395"/>
        <v>0</v>
      </c>
      <c r="BK1599" s="63"/>
      <c r="BL1599" s="55"/>
      <c r="BW1599" s="55">
        <v>21</v>
      </c>
    </row>
    <row r="1600" spans="1:75" ht="27" customHeight="1">
      <c r="A1600" s="61" t="s">
        <v>3048</v>
      </c>
      <c r="B1600" s="62" t="s">
        <v>2629</v>
      </c>
      <c r="C1600" s="62" t="s">
        <v>3049</v>
      </c>
      <c r="D1600" s="224" t="s">
        <v>3050</v>
      </c>
      <c r="E1600" s="225"/>
      <c r="F1600" s="62" t="s">
        <v>2936</v>
      </c>
      <c r="G1600" s="63">
        <v>2</v>
      </c>
      <c r="H1600" s="64">
        <v>0</v>
      </c>
      <c r="I1600" s="63">
        <f t="shared" si="372"/>
        <v>0</v>
      </c>
      <c r="J1600" s="63">
        <v>0</v>
      </c>
      <c r="K1600" s="63">
        <f t="shared" si="373"/>
        <v>0</v>
      </c>
      <c r="L1600" s="65" t="s">
        <v>124</v>
      </c>
      <c r="Z1600" s="55">
        <f t="shared" si="374"/>
        <v>0</v>
      </c>
      <c r="AB1600" s="55">
        <f t="shared" si="375"/>
        <v>0</v>
      </c>
      <c r="AC1600" s="55">
        <f t="shared" si="376"/>
        <v>0</v>
      </c>
      <c r="AD1600" s="55">
        <f t="shared" si="377"/>
        <v>0</v>
      </c>
      <c r="AE1600" s="55">
        <f t="shared" si="378"/>
        <v>0</v>
      </c>
      <c r="AF1600" s="55">
        <f t="shared" si="379"/>
        <v>0</v>
      </c>
      <c r="AG1600" s="55">
        <f t="shared" si="380"/>
        <v>0</v>
      </c>
      <c r="AH1600" s="55">
        <f t="shared" si="381"/>
        <v>0</v>
      </c>
      <c r="AI1600" s="34" t="s">
        <v>2629</v>
      </c>
      <c r="AJ1600" s="63">
        <f t="shared" si="382"/>
        <v>0</v>
      </c>
      <c r="AK1600" s="63">
        <f t="shared" si="383"/>
        <v>0</v>
      </c>
      <c r="AL1600" s="63">
        <f t="shared" si="384"/>
        <v>0</v>
      </c>
      <c r="AN1600" s="55">
        <v>21</v>
      </c>
      <c r="AO1600" s="55">
        <f t="shared" si="385"/>
        <v>0</v>
      </c>
      <c r="AP1600" s="55">
        <f t="shared" si="386"/>
        <v>0</v>
      </c>
      <c r="AQ1600" s="66" t="s">
        <v>125</v>
      </c>
      <c r="AV1600" s="55">
        <f t="shared" si="387"/>
        <v>0</v>
      </c>
      <c r="AW1600" s="55">
        <f t="shared" si="388"/>
        <v>0</v>
      </c>
      <c r="AX1600" s="55">
        <f t="shared" si="389"/>
        <v>0</v>
      </c>
      <c r="AY1600" s="58" t="s">
        <v>2992</v>
      </c>
      <c r="AZ1600" s="58" t="s">
        <v>2633</v>
      </c>
      <c r="BA1600" s="34" t="s">
        <v>2634</v>
      </c>
      <c r="BC1600" s="55">
        <f t="shared" si="390"/>
        <v>0</v>
      </c>
      <c r="BD1600" s="55">
        <f t="shared" si="391"/>
        <v>0</v>
      </c>
      <c r="BE1600" s="55">
        <v>0</v>
      </c>
      <c r="BF1600" s="55">
        <f t="shared" si="392"/>
        <v>0</v>
      </c>
      <c r="BH1600" s="63">
        <f t="shared" si="393"/>
        <v>0</v>
      </c>
      <c r="BI1600" s="63">
        <f t="shared" si="394"/>
        <v>0</v>
      </c>
      <c r="BJ1600" s="63">
        <f t="shared" si="395"/>
        <v>0</v>
      </c>
      <c r="BK1600" s="63"/>
      <c r="BL1600" s="55"/>
      <c r="BW1600" s="55">
        <v>21</v>
      </c>
    </row>
    <row r="1601" spans="1:75" ht="13.5" customHeight="1">
      <c r="A1601" s="61" t="s">
        <v>2241</v>
      </c>
      <c r="B1601" s="62" t="s">
        <v>2629</v>
      </c>
      <c r="C1601" s="62" t="s">
        <v>3051</v>
      </c>
      <c r="D1601" s="224" t="s">
        <v>3052</v>
      </c>
      <c r="E1601" s="225"/>
      <c r="F1601" s="62" t="s">
        <v>2936</v>
      </c>
      <c r="G1601" s="63">
        <v>6</v>
      </c>
      <c r="H1601" s="64">
        <v>0</v>
      </c>
      <c r="I1601" s="63">
        <f t="shared" si="372"/>
        <v>0</v>
      </c>
      <c r="J1601" s="63">
        <v>0</v>
      </c>
      <c r="K1601" s="63">
        <f t="shared" si="373"/>
        <v>0</v>
      </c>
      <c r="L1601" s="65" t="s">
        <v>124</v>
      </c>
      <c r="Z1601" s="55">
        <f t="shared" si="374"/>
        <v>0</v>
      </c>
      <c r="AB1601" s="55">
        <f t="shared" si="375"/>
        <v>0</v>
      </c>
      <c r="AC1601" s="55">
        <f t="shared" si="376"/>
        <v>0</v>
      </c>
      <c r="AD1601" s="55">
        <f t="shared" si="377"/>
        <v>0</v>
      </c>
      <c r="AE1601" s="55">
        <f t="shared" si="378"/>
        <v>0</v>
      </c>
      <c r="AF1601" s="55">
        <f t="shared" si="379"/>
        <v>0</v>
      </c>
      <c r="AG1601" s="55">
        <f t="shared" si="380"/>
        <v>0</v>
      </c>
      <c r="AH1601" s="55">
        <f t="shared" si="381"/>
        <v>0</v>
      </c>
      <c r="AI1601" s="34" t="s">
        <v>2629</v>
      </c>
      <c r="AJ1601" s="63">
        <f t="shared" si="382"/>
        <v>0</v>
      </c>
      <c r="AK1601" s="63">
        <f t="shared" si="383"/>
        <v>0</v>
      </c>
      <c r="AL1601" s="63">
        <f t="shared" si="384"/>
        <v>0</v>
      </c>
      <c r="AN1601" s="55">
        <v>21</v>
      </c>
      <c r="AO1601" s="55">
        <f t="shared" si="385"/>
        <v>0</v>
      </c>
      <c r="AP1601" s="55">
        <f t="shared" si="386"/>
        <v>0</v>
      </c>
      <c r="AQ1601" s="66" t="s">
        <v>125</v>
      </c>
      <c r="AV1601" s="55">
        <f t="shared" si="387"/>
        <v>0</v>
      </c>
      <c r="AW1601" s="55">
        <f t="shared" si="388"/>
        <v>0</v>
      </c>
      <c r="AX1601" s="55">
        <f t="shared" si="389"/>
        <v>0</v>
      </c>
      <c r="AY1601" s="58" t="s">
        <v>2992</v>
      </c>
      <c r="AZ1601" s="58" t="s">
        <v>2633</v>
      </c>
      <c r="BA1601" s="34" t="s">
        <v>2634</v>
      </c>
      <c r="BC1601" s="55">
        <f t="shared" si="390"/>
        <v>0</v>
      </c>
      <c r="BD1601" s="55">
        <f t="shared" si="391"/>
        <v>0</v>
      </c>
      <c r="BE1601" s="55">
        <v>0</v>
      </c>
      <c r="BF1601" s="55">
        <f t="shared" si="392"/>
        <v>0</v>
      </c>
      <c r="BH1601" s="63">
        <f t="shared" si="393"/>
        <v>0</v>
      </c>
      <c r="BI1601" s="63">
        <f t="shared" si="394"/>
        <v>0</v>
      </c>
      <c r="BJ1601" s="63">
        <f t="shared" si="395"/>
        <v>0</v>
      </c>
      <c r="BK1601" s="63"/>
      <c r="BL1601" s="55"/>
      <c r="BW1601" s="55">
        <v>21</v>
      </c>
    </row>
    <row r="1602" spans="1:75" ht="27" customHeight="1">
      <c r="A1602" s="61" t="s">
        <v>3053</v>
      </c>
      <c r="B1602" s="62" t="s">
        <v>2629</v>
      </c>
      <c r="C1602" s="62" t="s">
        <v>3054</v>
      </c>
      <c r="D1602" s="224" t="s">
        <v>3055</v>
      </c>
      <c r="E1602" s="225"/>
      <c r="F1602" s="62" t="s">
        <v>2936</v>
      </c>
      <c r="G1602" s="63">
        <v>1</v>
      </c>
      <c r="H1602" s="64">
        <v>0</v>
      </c>
      <c r="I1602" s="63">
        <f t="shared" si="372"/>
        <v>0</v>
      </c>
      <c r="J1602" s="63">
        <v>0</v>
      </c>
      <c r="K1602" s="63">
        <f t="shared" si="373"/>
        <v>0</v>
      </c>
      <c r="L1602" s="65" t="s">
        <v>124</v>
      </c>
      <c r="Z1602" s="55">
        <f t="shared" si="374"/>
        <v>0</v>
      </c>
      <c r="AB1602" s="55">
        <f t="shared" si="375"/>
        <v>0</v>
      </c>
      <c r="AC1602" s="55">
        <f t="shared" si="376"/>
        <v>0</v>
      </c>
      <c r="AD1602" s="55">
        <f t="shared" si="377"/>
        <v>0</v>
      </c>
      <c r="AE1602" s="55">
        <f t="shared" si="378"/>
        <v>0</v>
      </c>
      <c r="AF1602" s="55">
        <f t="shared" si="379"/>
        <v>0</v>
      </c>
      <c r="AG1602" s="55">
        <f t="shared" si="380"/>
        <v>0</v>
      </c>
      <c r="AH1602" s="55">
        <f t="shared" si="381"/>
        <v>0</v>
      </c>
      <c r="AI1602" s="34" t="s">
        <v>2629</v>
      </c>
      <c r="AJ1602" s="63">
        <f t="shared" si="382"/>
        <v>0</v>
      </c>
      <c r="AK1602" s="63">
        <f t="shared" si="383"/>
        <v>0</v>
      </c>
      <c r="AL1602" s="63">
        <f t="shared" si="384"/>
        <v>0</v>
      </c>
      <c r="AN1602" s="55">
        <v>21</v>
      </c>
      <c r="AO1602" s="55">
        <f t="shared" si="385"/>
        <v>0</v>
      </c>
      <c r="AP1602" s="55">
        <f t="shared" si="386"/>
        <v>0</v>
      </c>
      <c r="AQ1602" s="66" t="s">
        <v>125</v>
      </c>
      <c r="AV1602" s="55">
        <f t="shared" si="387"/>
        <v>0</v>
      </c>
      <c r="AW1602" s="55">
        <f t="shared" si="388"/>
        <v>0</v>
      </c>
      <c r="AX1602" s="55">
        <f t="shared" si="389"/>
        <v>0</v>
      </c>
      <c r="AY1602" s="58" t="s">
        <v>2992</v>
      </c>
      <c r="AZ1602" s="58" t="s">
        <v>2633</v>
      </c>
      <c r="BA1602" s="34" t="s">
        <v>2634</v>
      </c>
      <c r="BC1602" s="55">
        <f t="shared" si="390"/>
        <v>0</v>
      </c>
      <c r="BD1602" s="55">
        <f t="shared" si="391"/>
        <v>0</v>
      </c>
      <c r="BE1602" s="55">
        <v>0</v>
      </c>
      <c r="BF1602" s="55">
        <f t="shared" si="392"/>
        <v>0</v>
      </c>
      <c r="BH1602" s="63">
        <f t="shared" si="393"/>
        <v>0</v>
      </c>
      <c r="BI1602" s="63">
        <f t="shared" si="394"/>
        <v>0</v>
      </c>
      <c r="BJ1602" s="63">
        <f t="shared" si="395"/>
        <v>0</v>
      </c>
      <c r="BK1602" s="63"/>
      <c r="BL1602" s="55"/>
      <c r="BW1602" s="55">
        <v>21</v>
      </c>
    </row>
    <row r="1603" spans="1:75" ht="13.5" customHeight="1">
      <c r="A1603" s="61" t="s">
        <v>2270</v>
      </c>
      <c r="B1603" s="62" t="s">
        <v>2629</v>
      </c>
      <c r="C1603" s="62" t="s">
        <v>3056</v>
      </c>
      <c r="D1603" s="224" t="s">
        <v>3057</v>
      </c>
      <c r="E1603" s="225"/>
      <c r="F1603" s="62" t="s">
        <v>2936</v>
      </c>
      <c r="G1603" s="63">
        <v>1</v>
      </c>
      <c r="H1603" s="64">
        <v>0</v>
      </c>
      <c r="I1603" s="63">
        <f t="shared" si="372"/>
        <v>0</v>
      </c>
      <c r="J1603" s="63">
        <v>0</v>
      </c>
      <c r="K1603" s="63">
        <f t="shared" si="373"/>
        <v>0</v>
      </c>
      <c r="L1603" s="65" t="s">
        <v>124</v>
      </c>
      <c r="Z1603" s="55">
        <f t="shared" si="374"/>
        <v>0</v>
      </c>
      <c r="AB1603" s="55">
        <f t="shared" si="375"/>
        <v>0</v>
      </c>
      <c r="AC1603" s="55">
        <f t="shared" si="376"/>
        <v>0</v>
      </c>
      <c r="AD1603" s="55">
        <f t="shared" si="377"/>
        <v>0</v>
      </c>
      <c r="AE1603" s="55">
        <f t="shared" si="378"/>
        <v>0</v>
      </c>
      <c r="AF1603" s="55">
        <f t="shared" si="379"/>
        <v>0</v>
      </c>
      <c r="AG1603" s="55">
        <f t="shared" si="380"/>
        <v>0</v>
      </c>
      <c r="AH1603" s="55">
        <f t="shared" si="381"/>
        <v>0</v>
      </c>
      <c r="AI1603" s="34" t="s">
        <v>2629</v>
      </c>
      <c r="AJ1603" s="63">
        <f t="shared" si="382"/>
        <v>0</v>
      </c>
      <c r="AK1603" s="63">
        <f t="shared" si="383"/>
        <v>0</v>
      </c>
      <c r="AL1603" s="63">
        <f t="shared" si="384"/>
        <v>0</v>
      </c>
      <c r="AN1603" s="55">
        <v>21</v>
      </c>
      <c r="AO1603" s="55">
        <f t="shared" si="385"/>
        <v>0</v>
      </c>
      <c r="AP1603" s="55">
        <f t="shared" si="386"/>
        <v>0</v>
      </c>
      <c r="AQ1603" s="66" t="s">
        <v>125</v>
      </c>
      <c r="AV1603" s="55">
        <f t="shared" si="387"/>
        <v>0</v>
      </c>
      <c r="AW1603" s="55">
        <f t="shared" si="388"/>
        <v>0</v>
      </c>
      <c r="AX1603" s="55">
        <f t="shared" si="389"/>
        <v>0</v>
      </c>
      <c r="AY1603" s="58" t="s">
        <v>2992</v>
      </c>
      <c r="AZ1603" s="58" t="s">
        <v>2633</v>
      </c>
      <c r="BA1603" s="34" t="s">
        <v>2634</v>
      </c>
      <c r="BC1603" s="55">
        <f t="shared" si="390"/>
        <v>0</v>
      </c>
      <c r="BD1603" s="55">
        <f t="shared" si="391"/>
        <v>0</v>
      </c>
      <c r="BE1603" s="55">
        <v>0</v>
      </c>
      <c r="BF1603" s="55">
        <f t="shared" si="392"/>
        <v>0</v>
      </c>
      <c r="BH1603" s="63">
        <f t="shared" si="393"/>
        <v>0</v>
      </c>
      <c r="BI1603" s="63">
        <f t="shared" si="394"/>
        <v>0</v>
      </c>
      <c r="BJ1603" s="63">
        <f t="shared" si="395"/>
        <v>0</v>
      </c>
      <c r="BK1603" s="63"/>
      <c r="BL1603" s="55"/>
      <c r="BW1603" s="55">
        <v>21</v>
      </c>
    </row>
    <row r="1604" spans="1:75" ht="27" customHeight="1">
      <c r="A1604" s="61" t="s">
        <v>2293</v>
      </c>
      <c r="B1604" s="62" t="s">
        <v>2629</v>
      </c>
      <c r="C1604" s="62" t="s">
        <v>3058</v>
      </c>
      <c r="D1604" s="224" t="s">
        <v>3059</v>
      </c>
      <c r="E1604" s="225"/>
      <c r="F1604" s="62" t="s">
        <v>2936</v>
      </c>
      <c r="G1604" s="63">
        <v>1</v>
      </c>
      <c r="H1604" s="64">
        <v>0</v>
      </c>
      <c r="I1604" s="63">
        <f t="shared" si="372"/>
        <v>0</v>
      </c>
      <c r="J1604" s="63">
        <v>0</v>
      </c>
      <c r="K1604" s="63">
        <f t="shared" si="373"/>
        <v>0</v>
      </c>
      <c r="L1604" s="65" t="s">
        <v>124</v>
      </c>
      <c r="Z1604" s="55">
        <f t="shared" si="374"/>
        <v>0</v>
      </c>
      <c r="AB1604" s="55">
        <f t="shared" si="375"/>
        <v>0</v>
      </c>
      <c r="AC1604" s="55">
        <f t="shared" si="376"/>
        <v>0</v>
      </c>
      <c r="AD1604" s="55">
        <f t="shared" si="377"/>
        <v>0</v>
      </c>
      <c r="AE1604" s="55">
        <f t="shared" si="378"/>
        <v>0</v>
      </c>
      <c r="AF1604" s="55">
        <f t="shared" si="379"/>
        <v>0</v>
      </c>
      <c r="AG1604" s="55">
        <f t="shared" si="380"/>
        <v>0</v>
      </c>
      <c r="AH1604" s="55">
        <f t="shared" si="381"/>
        <v>0</v>
      </c>
      <c r="AI1604" s="34" t="s">
        <v>2629</v>
      </c>
      <c r="AJ1604" s="63">
        <f t="shared" si="382"/>
        <v>0</v>
      </c>
      <c r="AK1604" s="63">
        <f t="shared" si="383"/>
        <v>0</v>
      </c>
      <c r="AL1604" s="63">
        <f t="shared" si="384"/>
        <v>0</v>
      </c>
      <c r="AN1604" s="55">
        <v>21</v>
      </c>
      <c r="AO1604" s="55">
        <f t="shared" si="385"/>
        <v>0</v>
      </c>
      <c r="AP1604" s="55">
        <f t="shared" si="386"/>
        <v>0</v>
      </c>
      <c r="AQ1604" s="66" t="s">
        <v>125</v>
      </c>
      <c r="AV1604" s="55">
        <f t="shared" si="387"/>
        <v>0</v>
      </c>
      <c r="AW1604" s="55">
        <f t="shared" si="388"/>
        <v>0</v>
      </c>
      <c r="AX1604" s="55">
        <f t="shared" si="389"/>
        <v>0</v>
      </c>
      <c r="AY1604" s="58" t="s">
        <v>2992</v>
      </c>
      <c r="AZ1604" s="58" t="s">
        <v>2633</v>
      </c>
      <c r="BA1604" s="34" t="s">
        <v>2634</v>
      </c>
      <c r="BC1604" s="55">
        <f t="shared" si="390"/>
        <v>0</v>
      </c>
      <c r="BD1604" s="55">
        <f t="shared" si="391"/>
        <v>0</v>
      </c>
      <c r="BE1604" s="55">
        <v>0</v>
      </c>
      <c r="BF1604" s="55">
        <f t="shared" si="392"/>
        <v>0</v>
      </c>
      <c r="BH1604" s="63">
        <f t="shared" si="393"/>
        <v>0</v>
      </c>
      <c r="BI1604" s="63">
        <f t="shared" si="394"/>
        <v>0</v>
      </c>
      <c r="BJ1604" s="63">
        <f t="shared" si="395"/>
        <v>0</v>
      </c>
      <c r="BK1604" s="63"/>
      <c r="BL1604" s="55"/>
      <c r="BW1604" s="55">
        <v>21</v>
      </c>
    </row>
    <row r="1605" spans="1:75" ht="13.5" customHeight="1">
      <c r="A1605" s="61" t="s">
        <v>3060</v>
      </c>
      <c r="B1605" s="62" t="s">
        <v>2629</v>
      </c>
      <c r="C1605" s="62" t="s">
        <v>3061</v>
      </c>
      <c r="D1605" s="224" t="s">
        <v>3062</v>
      </c>
      <c r="E1605" s="225"/>
      <c r="F1605" s="62" t="s">
        <v>2936</v>
      </c>
      <c r="G1605" s="63">
        <v>1</v>
      </c>
      <c r="H1605" s="64">
        <v>0</v>
      </c>
      <c r="I1605" s="63">
        <f t="shared" si="372"/>
        <v>0</v>
      </c>
      <c r="J1605" s="63">
        <v>0</v>
      </c>
      <c r="K1605" s="63">
        <f t="shared" si="373"/>
        <v>0</v>
      </c>
      <c r="L1605" s="65" t="s">
        <v>124</v>
      </c>
      <c r="Z1605" s="55">
        <f t="shared" si="374"/>
        <v>0</v>
      </c>
      <c r="AB1605" s="55">
        <f t="shared" si="375"/>
        <v>0</v>
      </c>
      <c r="AC1605" s="55">
        <f t="shared" si="376"/>
        <v>0</v>
      </c>
      <c r="AD1605" s="55">
        <f t="shared" si="377"/>
        <v>0</v>
      </c>
      <c r="AE1605" s="55">
        <f t="shared" si="378"/>
        <v>0</v>
      </c>
      <c r="AF1605" s="55">
        <f t="shared" si="379"/>
        <v>0</v>
      </c>
      <c r="AG1605" s="55">
        <f t="shared" si="380"/>
        <v>0</v>
      </c>
      <c r="AH1605" s="55">
        <f t="shared" si="381"/>
        <v>0</v>
      </c>
      <c r="AI1605" s="34" t="s">
        <v>2629</v>
      </c>
      <c r="AJ1605" s="63">
        <f t="shared" si="382"/>
        <v>0</v>
      </c>
      <c r="AK1605" s="63">
        <f t="shared" si="383"/>
        <v>0</v>
      </c>
      <c r="AL1605" s="63">
        <f t="shared" si="384"/>
        <v>0</v>
      </c>
      <c r="AN1605" s="55">
        <v>21</v>
      </c>
      <c r="AO1605" s="55">
        <f t="shared" si="385"/>
        <v>0</v>
      </c>
      <c r="AP1605" s="55">
        <f t="shared" si="386"/>
        <v>0</v>
      </c>
      <c r="AQ1605" s="66" t="s">
        <v>125</v>
      </c>
      <c r="AV1605" s="55">
        <f t="shared" si="387"/>
        <v>0</v>
      </c>
      <c r="AW1605" s="55">
        <f t="shared" si="388"/>
        <v>0</v>
      </c>
      <c r="AX1605" s="55">
        <f t="shared" si="389"/>
        <v>0</v>
      </c>
      <c r="AY1605" s="58" t="s">
        <v>2992</v>
      </c>
      <c r="AZ1605" s="58" t="s">
        <v>2633</v>
      </c>
      <c r="BA1605" s="34" t="s">
        <v>2634</v>
      </c>
      <c r="BC1605" s="55">
        <f t="shared" si="390"/>
        <v>0</v>
      </c>
      <c r="BD1605" s="55">
        <f t="shared" si="391"/>
        <v>0</v>
      </c>
      <c r="BE1605" s="55">
        <v>0</v>
      </c>
      <c r="BF1605" s="55">
        <f t="shared" si="392"/>
        <v>0</v>
      </c>
      <c r="BH1605" s="63">
        <f t="shared" si="393"/>
        <v>0</v>
      </c>
      <c r="BI1605" s="63">
        <f t="shared" si="394"/>
        <v>0</v>
      </c>
      <c r="BJ1605" s="63">
        <f t="shared" si="395"/>
        <v>0</v>
      </c>
      <c r="BK1605" s="63"/>
      <c r="BL1605" s="55"/>
      <c r="BW1605" s="55">
        <v>21</v>
      </c>
    </row>
    <row r="1606" spans="1:47" ht="14.4">
      <c r="A1606" s="50" t="s">
        <v>4</v>
      </c>
      <c r="B1606" s="51" t="s">
        <v>2629</v>
      </c>
      <c r="C1606" s="51" t="s">
        <v>3063</v>
      </c>
      <c r="D1606" s="222" t="s">
        <v>3064</v>
      </c>
      <c r="E1606" s="223"/>
      <c r="F1606" s="52" t="s">
        <v>79</v>
      </c>
      <c r="G1606" s="52" t="s">
        <v>79</v>
      </c>
      <c r="H1606" s="53" t="s">
        <v>79</v>
      </c>
      <c r="I1606" s="27">
        <f>SUM(I1607:I1612)</f>
        <v>0</v>
      </c>
      <c r="J1606" s="34" t="s">
        <v>4</v>
      </c>
      <c r="K1606" s="27">
        <f>SUM(K1607:K1612)</f>
        <v>0</v>
      </c>
      <c r="L1606" s="54" t="s">
        <v>4</v>
      </c>
      <c r="AI1606" s="34" t="s">
        <v>2629</v>
      </c>
      <c r="AS1606" s="27">
        <f>SUM(AJ1607:AJ1612)</f>
        <v>0</v>
      </c>
      <c r="AT1606" s="27">
        <f>SUM(AK1607:AK1612)</f>
        <v>0</v>
      </c>
      <c r="AU1606" s="27">
        <f>SUM(AL1607:AL1612)</f>
        <v>0</v>
      </c>
    </row>
    <row r="1607" spans="1:75" ht="13.5" customHeight="1">
      <c r="A1607" s="1" t="s">
        <v>3065</v>
      </c>
      <c r="B1607" s="2" t="s">
        <v>2629</v>
      </c>
      <c r="C1607" s="2" t="s">
        <v>2817</v>
      </c>
      <c r="D1607" s="147" t="s">
        <v>2818</v>
      </c>
      <c r="E1607" s="148"/>
      <c r="F1607" s="2" t="s">
        <v>360</v>
      </c>
      <c r="G1607" s="55">
        <v>11</v>
      </c>
      <c r="H1607" s="56">
        <v>0</v>
      </c>
      <c r="I1607" s="55">
        <f>G1607*H1607</f>
        <v>0</v>
      </c>
      <c r="J1607" s="55">
        <v>0</v>
      </c>
      <c r="K1607" s="55">
        <f>G1607*J1607</f>
        <v>0</v>
      </c>
      <c r="L1607" s="57" t="s">
        <v>124</v>
      </c>
      <c r="Z1607" s="55">
        <f>IF(AQ1607="5",BJ1607,0)</f>
        <v>0</v>
      </c>
      <c r="AB1607" s="55">
        <f>IF(AQ1607="1",BH1607,0)</f>
        <v>0</v>
      </c>
      <c r="AC1607" s="55">
        <f>IF(AQ1607="1",BI1607,0)</f>
        <v>0</v>
      </c>
      <c r="AD1607" s="55">
        <f>IF(AQ1607="7",BH1607,0)</f>
        <v>0</v>
      </c>
      <c r="AE1607" s="55">
        <f>IF(AQ1607="7",BI1607,0)</f>
        <v>0</v>
      </c>
      <c r="AF1607" s="55">
        <f>IF(AQ1607="2",BH1607,0)</f>
        <v>0</v>
      </c>
      <c r="AG1607" s="55">
        <f>IF(AQ1607="2",BI1607,0)</f>
        <v>0</v>
      </c>
      <c r="AH1607" s="55">
        <f>IF(AQ1607="0",BJ1607,0)</f>
        <v>0</v>
      </c>
      <c r="AI1607" s="34" t="s">
        <v>2629</v>
      </c>
      <c r="AJ1607" s="55">
        <f>IF(AN1607=0,I1607,0)</f>
        <v>0</v>
      </c>
      <c r="AK1607" s="55">
        <f>IF(AN1607=12,I1607,0)</f>
        <v>0</v>
      </c>
      <c r="AL1607" s="55">
        <f>IF(AN1607=21,I1607,0)</f>
        <v>0</v>
      </c>
      <c r="AN1607" s="55">
        <v>21</v>
      </c>
      <c r="AO1607" s="55">
        <f>H1607*0</f>
        <v>0</v>
      </c>
      <c r="AP1607" s="55">
        <f>H1607*(1-0)</f>
        <v>0</v>
      </c>
      <c r="AQ1607" s="58" t="s">
        <v>125</v>
      </c>
      <c r="AV1607" s="55">
        <f>AW1607+AX1607</f>
        <v>0</v>
      </c>
      <c r="AW1607" s="55">
        <f>G1607*AO1607</f>
        <v>0</v>
      </c>
      <c r="AX1607" s="55">
        <f>G1607*AP1607</f>
        <v>0</v>
      </c>
      <c r="AY1607" s="58" t="s">
        <v>3066</v>
      </c>
      <c r="AZ1607" s="58" t="s">
        <v>2633</v>
      </c>
      <c r="BA1607" s="34" t="s">
        <v>2634</v>
      </c>
      <c r="BC1607" s="55">
        <f>AW1607+AX1607</f>
        <v>0</v>
      </c>
      <c r="BD1607" s="55">
        <f>H1607/(100-BE1607)*100</f>
        <v>0</v>
      </c>
      <c r="BE1607" s="55">
        <v>0</v>
      </c>
      <c r="BF1607" s="55">
        <f>K1607</f>
        <v>0</v>
      </c>
      <c r="BH1607" s="55">
        <f>G1607*AO1607</f>
        <v>0</v>
      </c>
      <c r="BI1607" s="55">
        <f>G1607*AP1607</f>
        <v>0</v>
      </c>
      <c r="BJ1607" s="55">
        <f>G1607*H1607</f>
        <v>0</v>
      </c>
      <c r="BK1607" s="55"/>
      <c r="BL1607" s="55"/>
      <c r="BW1607" s="55">
        <v>21</v>
      </c>
    </row>
    <row r="1608" spans="1:12" ht="13.5" customHeight="1">
      <c r="A1608" s="59"/>
      <c r="D1608" s="218" t="s">
        <v>3067</v>
      </c>
      <c r="E1608" s="219"/>
      <c r="F1608" s="219"/>
      <c r="G1608" s="219"/>
      <c r="H1608" s="220"/>
      <c r="I1608" s="219"/>
      <c r="J1608" s="219"/>
      <c r="K1608" s="219"/>
      <c r="L1608" s="221"/>
    </row>
    <row r="1609" spans="1:75" ht="13.5" customHeight="1">
      <c r="A1609" s="61" t="s">
        <v>3068</v>
      </c>
      <c r="B1609" s="62" t="s">
        <v>2629</v>
      </c>
      <c r="C1609" s="62" t="s">
        <v>3069</v>
      </c>
      <c r="D1609" s="224" t="s">
        <v>3070</v>
      </c>
      <c r="E1609" s="225"/>
      <c r="F1609" s="62" t="s">
        <v>2936</v>
      </c>
      <c r="G1609" s="63">
        <v>1</v>
      </c>
      <c r="H1609" s="64">
        <v>0</v>
      </c>
      <c r="I1609" s="63">
        <f>G1609*H1609</f>
        <v>0</v>
      </c>
      <c r="J1609" s="63">
        <v>0</v>
      </c>
      <c r="K1609" s="63">
        <f>G1609*J1609</f>
        <v>0</v>
      </c>
      <c r="L1609" s="65" t="s">
        <v>124</v>
      </c>
      <c r="Z1609" s="55">
        <f>IF(AQ1609="5",BJ1609,0)</f>
        <v>0</v>
      </c>
      <c r="AB1609" s="55">
        <f>IF(AQ1609="1",BH1609,0)</f>
        <v>0</v>
      </c>
      <c r="AC1609" s="55">
        <f>IF(AQ1609="1",BI1609,0)</f>
        <v>0</v>
      </c>
      <c r="AD1609" s="55">
        <f>IF(AQ1609="7",BH1609,0)</f>
        <v>0</v>
      </c>
      <c r="AE1609" s="55">
        <f>IF(AQ1609="7",BI1609,0)</f>
        <v>0</v>
      </c>
      <c r="AF1609" s="55">
        <f>IF(AQ1609="2",BH1609,0)</f>
        <v>0</v>
      </c>
      <c r="AG1609" s="55">
        <f>IF(AQ1609="2",BI1609,0)</f>
        <v>0</v>
      </c>
      <c r="AH1609" s="55">
        <f>IF(AQ1609="0",BJ1609,0)</f>
        <v>0</v>
      </c>
      <c r="AI1609" s="34" t="s">
        <v>2629</v>
      </c>
      <c r="AJ1609" s="63">
        <f>IF(AN1609=0,I1609,0)</f>
        <v>0</v>
      </c>
      <c r="AK1609" s="63">
        <f>IF(AN1609=12,I1609,0)</f>
        <v>0</v>
      </c>
      <c r="AL1609" s="63">
        <f>IF(AN1609=21,I1609,0)</f>
        <v>0</v>
      </c>
      <c r="AN1609" s="55">
        <v>21</v>
      </c>
      <c r="AO1609" s="55">
        <f>H1609*1</f>
        <v>0</v>
      </c>
      <c r="AP1609" s="55">
        <f>H1609*(1-1)</f>
        <v>0</v>
      </c>
      <c r="AQ1609" s="66" t="s">
        <v>125</v>
      </c>
      <c r="AV1609" s="55">
        <f>AW1609+AX1609</f>
        <v>0</v>
      </c>
      <c r="AW1609" s="55">
        <f>G1609*AO1609</f>
        <v>0</v>
      </c>
      <c r="AX1609" s="55">
        <f>G1609*AP1609</f>
        <v>0</v>
      </c>
      <c r="AY1609" s="58" t="s">
        <v>3066</v>
      </c>
      <c r="AZ1609" s="58" t="s">
        <v>2633</v>
      </c>
      <c r="BA1609" s="34" t="s">
        <v>2634</v>
      </c>
      <c r="BC1609" s="55">
        <f>AW1609+AX1609</f>
        <v>0</v>
      </c>
      <c r="BD1609" s="55">
        <f>H1609/(100-BE1609)*100</f>
        <v>0</v>
      </c>
      <c r="BE1609" s="55">
        <v>0</v>
      </c>
      <c r="BF1609" s="55">
        <f>K1609</f>
        <v>0</v>
      </c>
      <c r="BH1609" s="63">
        <f>G1609*AO1609</f>
        <v>0</v>
      </c>
      <c r="BI1609" s="63">
        <f>G1609*AP1609</f>
        <v>0</v>
      </c>
      <c r="BJ1609" s="63">
        <f>G1609*H1609</f>
        <v>0</v>
      </c>
      <c r="BK1609" s="63"/>
      <c r="BL1609" s="55"/>
      <c r="BW1609" s="55">
        <v>21</v>
      </c>
    </row>
    <row r="1610" spans="1:75" ht="13.5" customHeight="1">
      <c r="A1610" s="61" t="s">
        <v>3071</v>
      </c>
      <c r="B1610" s="62" t="s">
        <v>2629</v>
      </c>
      <c r="C1610" s="62" t="s">
        <v>3072</v>
      </c>
      <c r="D1610" s="224" t="s">
        <v>3073</v>
      </c>
      <c r="E1610" s="225"/>
      <c r="F1610" s="62" t="s">
        <v>2936</v>
      </c>
      <c r="G1610" s="63">
        <v>1</v>
      </c>
      <c r="H1610" s="64">
        <v>0</v>
      </c>
      <c r="I1610" s="63">
        <f>G1610*H1610</f>
        <v>0</v>
      </c>
      <c r="J1610" s="63">
        <v>0</v>
      </c>
      <c r="K1610" s="63">
        <f>G1610*J1610</f>
        <v>0</v>
      </c>
      <c r="L1610" s="65" t="s">
        <v>124</v>
      </c>
      <c r="Z1610" s="55">
        <f>IF(AQ1610="5",BJ1610,0)</f>
        <v>0</v>
      </c>
      <c r="AB1610" s="55">
        <f>IF(AQ1610="1",BH1610,0)</f>
        <v>0</v>
      </c>
      <c r="AC1610" s="55">
        <f>IF(AQ1610="1",BI1610,0)</f>
        <v>0</v>
      </c>
      <c r="AD1610" s="55">
        <f>IF(AQ1610="7",BH1610,0)</f>
        <v>0</v>
      </c>
      <c r="AE1610" s="55">
        <f>IF(AQ1610="7",BI1610,0)</f>
        <v>0</v>
      </c>
      <c r="AF1610" s="55">
        <f>IF(AQ1610="2",BH1610,0)</f>
        <v>0</v>
      </c>
      <c r="AG1610" s="55">
        <f>IF(AQ1610="2",BI1610,0)</f>
        <v>0</v>
      </c>
      <c r="AH1610" s="55">
        <f>IF(AQ1610="0",BJ1610,0)</f>
        <v>0</v>
      </c>
      <c r="AI1610" s="34" t="s">
        <v>2629</v>
      </c>
      <c r="AJ1610" s="63">
        <f>IF(AN1610=0,I1610,0)</f>
        <v>0</v>
      </c>
      <c r="AK1610" s="63">
        <f>IF(AN1610=12,I1610,0)</f>
        <v>0</v>
      </c>
      <c r="AL1610" s="63">
        <f>IF(AN1610=21,I1610,0)</f>
        <v>0</v>
      </c>
      <c r="AN1610" s="55">
        <v>21</v>
      </c>
      <c r="AO1610" s="55">
        <f>H1610*1</f>
        <v>0</v>
      </c>
      <c r="AP1610" s="55">
        <f>H1610*(1-1)</f>
        <v>0</v>
      </c>
      <c r="AQ1610" s="66" t="s">
        <v>125</v>
      </c>
      <c r="AV1610" s="55">
        <f>AW1610+AX1610</f>
        <v>0</v>
      </c>
      <c r="AW1610" s="55">
        <f>G1610*AO1610</f>
        <v>0</v>
      </c>
      <c r="AX1610" s="55">
        <f>G1610*AP1610</f>
        <v>0</v>
      </c>
      <c r="AY1610" s="58" t="s">
        <v>3066</v>
      </c>
      <c r="AZ1610" s="58" t="s">
        <v>2633</v>
      </c>
      <c r="BA1610" s="34" t="s">
        <v>2634</v>
      </c>
      <c r="BC1610" s="55">
        <f>AW1610+AX1610</f>
        <v>0</v>
      </c>
      <c r="BD1610" s="55">
        <f>H1610/(100-BE1610)*100</f>
        <v>0</v>
      </c>
      <c r="BE1610" s="55">
        <v>0</v>
      </c>
      <c r="BF1610" s="55">
        <f>K1610</f>
        <v>0</v>
      </c>
      <c r="BH1610" s="63">
        <f>G1610*AO1610</f>
        <v>0</v>
      </c>
      <c r="BI1610" s="63">
        <f>G1610*AP1610</f>
        <v>0</v>
      </c>
      <c r="BJ1610" s="63">
        <f>G1610*H1610</f>
        <v>0</v>
      </c>
      <c r="BK1610" s="63"/>
      <c r="BL1610" s="55"/>
      <c r="BW1610" s="55">
        <v>21</v>
      </c>
    </row>
    <row r="1611" spans="1:75" ht="13.5" customHeight="1">
      <c r="A1611" s="61" t="s">
        <v>3074</v>
      </c>
      <c r="B1611" s="62" t="s">
        <v>2629</v>
      </c>
      <c r="C1611" s="62" t="s">
        <v>3075</v>
      </c>
      <c r="D1611" s="224" t="s">
        <v>3076</v>
      </c>
      <c r="E1611" s="225"/>
      <c r="F1611" s="62" t="s">
        <v>2936</v>
      </c>
      <c r="G1611" s="63">
        <v>1</v>
      </c>
      <c r="H1611" s="64">
        <v>0</v>
      </c>
      <c r="I1611" s="63">
        <f>G1611*H1611</f>
        <v>0</v>
      </c>
      <c r="J1611" s="63">
        <v>0</v>
      </c>
      <c r="K1611" s="63">
        <f>G1611*J1611</f>
        <v>0</v>
      </c>
      <c r="L1611" s="65" t="s">
        <v>124</v>
      </c>
      <c r="Z1611" s="55">
        <f>IF(AQ1611="5",BJ1611,0)</f>
        <v>0</v>
      </c>
      <c r="AB1611" s="55">
        <f>IF(AQ1611="1",BH1611,0)</f>
        <v>0</v>
      </c>
      <c r="AC1611" s="55">
        <f>IF(AQ1611="1",BI1611,0)</f>
        <v>0</v>
      </c>
      <c r="AD1611" s="55">
        <f>IF(AQ1611="7",BH1611,0)</f>
        <v>0</v>
      </c>
      <c r="AE1611" s="55">
        <f>IF(AQ1611="7",BI1611,0)</f>
        <v>0</v>
      </c>
      <c r="AF1611" s="55">
        <f>IF(AQ1611="2",BH1611,0)</f>
        <v>0</v>
      </c>
      <c r="AG1611" s="55">
        <f>IF(AQ1611="2",BI1611,0)</f>
        <v>0</v>
      </c>
      <c r="AH1611" s="55">
        <f>IF(AQ1611="0",BJ1611,0)</f>
        <v>0</v>
      </c>
      <c r="AI1611" s="34" t="s">
        <v>2629</v>
      </c>
      <c r="AJ1611" s="63">
        <f>IF(AN1611=0,I1611,0)</f>
        <v>0</v>
      </c>
      <c r="AK1611" s="63">
        <f>IF(AN1611=12,I1611,0)</f>
        <v>0</v>
      </c>
      <c r="AL1611" s="63">
        <f>IF(AN1611=21,I1611,0)</f>
        <v>0</v>
      </c>
      <c r="AN1611" s="55">
        <v>21</v>
      </c>
      <c r="AO1611" s="55">
        <f>H1611*1</f>
        <v>0</v>
      </c>
      <c r="AP1611" s="55">
        <f>H1611*(1-1)</f>
        <v>0</v>
      </c>
      <c r="AQ1611" s="66" t="s">
        <v>125</v>
      </c>
      <c r="AV1611" s="55">
        <f>AW1611+AX1611</f>
        <v>0</v>
      </c>
      <c r="AW1611" s="55">
        <f>G1611*AO1611</f>
        <v>0</v>
      </c>
      <c r="AX1611" s="55">
        <f>G1611*AP1611</f>
        <v>0</v>
      </c>
      <c r="AY1611" s="58" t="s">
        <v>3066</v>
      </c>
      <c r="AZ1611" s="58" t="s">
        <v>2633</v>
      </c>
      <c r="BA1611" s="34" t="s">
        <v>2634</v>
      </c>
      <c r="BC1611" s="55">
        <f>AW1611+AX1611</f>
        <v>0</v>
      </c>
      <c r="BD1611" s="55">
        <f>H1611/(100-BE1611)*100</f>
        <v>0</v>
      </c>
      <c r="BE1611" s="55">
        <v>0</v>
      </c>
      <c r="BF1611" s="55">
        <f>K1611</f>
        <v>0</v>
      </c>
      <c r="BH1611" s="63">
        <f>G1611*AO1611</f>
        <v>0</v>
      </c>
      <c r="BI1611" s="63">
        <f>G1611*AP1611</f>
        <v>0</v>
      </c>
      <c r="BJ1611" s="63">
        <f>G1611*H1611</f>
        <v>0</v>
      </c>
      <c r="BK1611" s="63"/>
      <c r="BL1611" s="55"/>
      <c r="BW1611" s="55">
        <v>21</v>
      </c>
    </row>
    <row r="1612" spans="1:75" ht="13.5" customHeight="1">
      <c r="A1612" s="61" t="s">
        <v>3077</v>
      </c>
      <c r="B1612" s="62" t="s">
        <v>2629</v>
      </c>
      <c r="C1612" s="62" t="s">
        <v>3078</v>
      </c>
      <c r="D1612" s="224" t="s">
        <v>3079</v>
      </c>
      <c r="E1612" s="225"/>
      <c r="F1612" s="62" t="s">
        <v>2936</v>
      </c>
      <c r="G1612" s="63">
        <v>1</v>
      </c>
      <c r="H1612" s="64">
        <v>0</v>
      </c>
      <c r="I1612" s="63">
        <f>G1612*H1612</f>
        <v>0</v>
      </c>
      <c r="J1612" s="63">
        <v>0</v>
      </c>
      <c r="K1612" s="63">
        <f>G1612*J1612</f>
        <v>0</v>
      </c>
      <c r="L1612" s="65" t="s">
        <v>124</v>
      </c>
      <c r="Z1612" s="55">
        <f>IF(AQ1612="5",BJ1612,0)</f>
        <v>0</v>
      </c>
      <c r="AB1612" s="55">
        <f>IF(AQ1612="1",BH1612,0)</f>
        <v>0</v>
      </c>
      <c r="AC1612" s="55">
        <f>IF(AQ1612="1",BI1612,0)</f>
        <v>0</v>
      </c>
      <c r="AD1612" s="55">
        <f>IF(AQ1612="7",BH1612,0)</f>
        <v>0</v>
      </c>
      <c r="AE1612" s="55">
        <f>IF(AQ1612="7",BI1612,0)</f>
        <v>0</v>
      </c>
      <c r="AF1612" s="55">
        <f>IF(AQ1612="2",BH1612,0)</f>
        <v>0</v>
      </c>
      <c r="AG1612" s="55">
        <f>IF(AQ1612="2",BI1612,0)</f>
        <v>0</v>
      </c>
      <c r="AH1612" s="55">
        <f>IF(AQ1612="0",BJ1612,0)</f>
        <v>0</v>
      </c>
      <c r="AI1612" s="34" t="s">
        <v>2629</v>
      </c>
      <c r="AJ1612" s="63">
        <f>IF(AN1612=0,I1612,0)</f>
        <v>0</v>
      </c>
      <c r="AK1612" s="63">
        <f>IF(AN1612=12,I1612,0)</f>
        <v>0</v>
      </c>
      <c r="AL1612" s="63">
        <f>IF(AN1612=21,I1612,0)</f>
        <v>0</v>
      </c>
      <c r="AN1612" s="55">
        <v>21</v>
      </c>
      <c r="AO1612" s="55">
        <f>H1612*1</f>
        <v>0</v>
      </c>
      <c r="AP1612" s="55">
        <f>H1612*(1-1)</f>
        <v>0</v>
      </c>
      <c r="AQ1612" s="66" t="s">
        <v>125</v>
      </c>
      <c r="AV1612" s="55">
        <f>AW1612+AX1612</f>
        <v>0</v>
      </c>
      <c r="AW1612" s="55">
        <f>G1612*AO1612</f>
        <v>0</v>
      </c>
      <c r="AX1612" s="55">
        <f>G1612*AP1612</f>
        <v>0</v>
      </c>
      <c r="AY1612" s="58" t="s">
        <v>3066</v>
      </c>
      <c r="AZ1612" s="58" t="s">
        <v>2633</v>
      </c>
      <c r="BA1612" s="34" t="s">
        <v>2634</v>
      </c>
      <c r="BC1612" s="55">
        <f>AW1612+AX1612</f>
        <v>0</v>
      </c>
      <c r="BD1612" s="55">
        <f>H1612/(100-BE1612)*100</f>
        <v>0</v>
      </c>
      <c r="BE1612" s="55">
        <v>0</v>
      </c>
      <c r="BF1612" s="55">
        <f>K1612</f>
        <v>0</v>
      </c>
      <c r="BH1612" s="63">
        <f>G1612*AO1612</f>
        <v>0</v>
      </c>
      <c r="BI1612" s="63">
        <f>G1612*AP1612</f>
        <v>0</v>
      </c>
      <c r="BJ1612" s="63">
        <f>G1612*H1612</f>
        <v>0</v>
      </c>
      <c r="BK1612" s="63"/>
      <c r="BL1612" s="55"/>
      <c r="BW1612" s="55">
        <v>21</v>
      </c>
    </row>
    <row r="1613" spans="1:47" ht="14.4">
      <c r="A1613" s="50" t="s">
        <v>4</v>
      </c>
      <c r="B1613" s="51" t="s">
        <v>2629</v>
      </c>
      <c r="C1613" s="51" t="s">
        <v>3080</v>
      </c>
      <c r="D1613" s="222" t="s">
        <v>3081</v>
      </c>
      <c r="E1613" s="223"/>
      <c r="F1613" s="52" t="s">
        <v>79</v>
      </c>
      <c r="G1613" s="52" t="s">
        <v>79</v>
      </c>
      <c r="H1613" s="53" t="s">
        <v>79</v>
      </c>
      <c r="I1613" s="27">
        <f>SUM(I1614:I1618)</f>
        <v>0</v>
      </c>
      <c r="J1613" s="34" t="s">
        <v>4</v>
      </c>
      <c r="K1613" s="27">
        <f>SUM(K1614:K1618)</f>
        <v>0</v>
      </c>
      <c r="L1613" s="54" t="s">
        <v>4</v>
      </c>
      <c r="AI1613" s="34" t="s">
        <v>2629</v>
      </c>
      <c r="AS1613" s="27">
        <f>SUM(AJ1614:AJ1618)</f>
        <v>0</v>
      </c>
      <c r="AT1613" s="27">
        <f>SUM(AK1614:AK1618)</f>
        <v>0</v>
      </c>
      <c r="AU1613" s="27">
        <f>SUM(AL1614:AL1618)</f>
        <v>0</v>
      </c>
    </row>
    <row r="1614" spans="1:75" ht="13.5" customHeight="1">
      <c r="A1614" s="1" t="s">
        <v>3082</v>
      </c>
      <c r="B1614" s="2" t="s">
        <v>2629</v>
      </c>
      <c r="C1614" s="2" t="s">
        <v>2817</v>
      </c>
      <c r="D1614" s="147" t="s">
        <v>2818</v>
      </c>
      <c r="E1614" s="148"/>
      <c r="F1614" s="2" t="s">
        <v>360</v>
      </c>
      <c r="G1614" s="55">
        <v>6</v>
      </c>
      <c r="H1614" s="56">
        <v>0</v>
      </c>
      <c r="I1614" s="55">
        <f>G1614*H1614</f>
        <v>0</v>
      </c>
      <c r="J1614" s="55">
        <v>0</v>
      </c>
      <c r="K1614" s="55">
        <f>G1614*J1614</f>
        <v>0</v>
      </c>
      <c r="L1614" s="57" t="s">
        <v>124</v>
      </c>
      <c r="Z1614" s="55">
        <f>IF(AQ1614="5",BJ1614,0)</f>
        <v>0</v>
      </c>
      <c r="AB1614" s="55">
        <f>IF(AQ1614="1",BH1614,0)</f>
        <v>0</v>
      </c>
      <c r="AC1614" s="55">
        <f>IF(AQ1614="1",BI1614,0)</f>
        <v>0</v>
      </c>
      <c r="AD1614" s="55">
        <f>IF(AQ1614="7",BH1614,0)</f>
        <v>0</v>
      </c>
      <c r="AE1614" s="55">
        <f>IF(AQ1614="7",BI1614,0)</f>
        <v>0</v>
      </c>
      <c r="AF1614" s="55">
        <f>IF(AQ1614="2",BH1614,0)</f>
        <v>0</v>
      </c>
      <c r="AG1614" s="55">
        <f>IF(AQ1614="2",BI1614,0)</f>
        <v>0</v>
      </c>
      <c r="AH1614" s="55">
        <f>IF(AQ1614="0",BJ1614,0)</f>
        <v>0</v>
      </c>
      <c r="AI1614" s="34" t="s">
        <v>2629</v>
      </c>
      <c r="AJ1614" s="55">
        <f>IF(AN1614=0,I1614,0)</f>
        <v>0</v>
      </c>
      <c r="AK1614" s="55">
        <f>IF(AN1614=12,I1614,0)</f>
        <v>0</v>
      </c>
      <c r="AL1614" s="55">
        <f>IF(AN1614=21,I1614,0)</f>
        <v>0</v>
      </c>
      <c r="AN1614" s="55">
        <v>21</v>
      </c>
      <c r="AO1614" s="55">
        <f>H1614*0</f>
        <v>0</v>
      </c>
      <c r="AP1614" s="55">
        <f>H1614*(1-0)</f>
        <v>0</v>
      </c>
      <c r="AQ1614" s="58" t="s">
        <v>125</v>
      </c>
      <c r="AV1614" s="55">
        <f>AW1614+AX1614</f>
        <v>0</v>
      </c>
      <c r="AW1614" s="55">
        <f>G1614*AO1614</f>
        <v>0</v>
      </c>
      <c r="AX1614" s="55">
        <f>G1614*AP1614</f>
        <v>0</v>
      </c>
      <c r="AY1614" s="58" t="s">
        <v>3083</v>
      </c>
      <c r="AZ1614" s="58" t="s">
        <v>2633</v>
      </c>
      <c r="BA1614" s="34" t="s">
        <v>2634</v>
      </c>
      <c r="BC1614" s="55">
        <f>AW1614+AX1614</f>
        <v>0</v>
      </c>
      <c r="BD1614" s="55">
        <f>H1614/(100-BE1614)*100</f>
        <v>0</v>
      </c>
      <c r="BE1614" s="55">
        <v>0</v>
      </c>
      <c r="BF1614" s="55">
        <f>K1614</f>
        <v>0</v>
      </c>
      <c r="BH1614" s="55">
        <f>G1614*AO1614</f>
        <v>0</v>
      </c>
      <c r="BI1614" s="55">
        <f>G1614*AP1614</f>
        <v>0</v>
      </c>
      <c r="BJ1614" s="55">
        <f>G1614*H1614</f>
        <v>0</v>
      </c>
      <c r="BK1614" s="55"/>
      <c r="BL1614" s="55"/>
      <c r="BW1614" s="55">
        <v>21</v>
      </c>
    </row>
    <row r="1615" spans="1:75" ht="13.5" customHeight="1">
      <c r="A1615" s="61" t="s">
        <v>3084</v>
      </c>
      <c r="B1615" s="62" t="s">
        <v>2629</v>
      </c>
      <c r="C1615" s="62" t="s">
        <v>3085</v>
      </c>
      <c r="D1615" s="224" t="s">
        <v>3086</v>
      </c>
      <c r="E1615" s="225"/>
      <c r="F1615" s="62" t="s">
        <v>2936</v>
      </c>
      <c r="G1615" s="63">
        <v>1</v>
      </c>
      <c r="H1615" s="64">
        <v>0</v>
      </c>
      <c r="I1615" s="63">
        <f>G1615*H1615</f>
        <v>0</v>
      </c>
      <c r="J1615" s="63">
        <v>0</v>
      </c>
      <c r="K1615" s="63">
        <f>G1615*J1615</f>
        <v>0</v>
      </c>
      <c r="L1615" s="65" t="s">
        <v>124</v>
      </c>
      <c r="Z1615" s="55">
        <f>IF(AQ1615="5",BJ1615,0)</f>
        <v>0</v>
      </c>
      <c r="AB1615" s="55">
        <f>IF(AQ1615="1",BH1615,0)</f>
        <v>0</v>
      </c>
      <c r="AC1615" s="55">
        <f>IF(AQ1615="1",BI1615,0)</f>
        <v>0</v>
      </c>
      <c r="AD1615" s="55">
        <f>IF(AQ1615="7",BH1615,0)</f>
        <v>0</v>
      </c>
      <c r="AE1615" s="55">
        <f>IF(AQ1615="7",BI1615,0)</f>
        <v>0</v>
      </c>
      <c r="AF1615" s="55">
        <f>IF(AQ1615="2",BH1615,0)</f>
        <v>0</v>
      </c>
      <c r="AG1615" s="55">
        <f>IF(AQ1615="2",BI1615,0)</f>
        <v>0</v>
      </c>
      <c r="AH1615" s="55">
        <f>IF(AQ1615="0",BJ1615,0)</f>
        <v>0</v>
      </c>
      <c r="AI1615" s="34" t="s">
        <v>2629</v>
      </c>
      <c r="AJ1615" s="63">
        <f>IF(AN1615=0,I1615,0)</f>
        <v>0</v>
      </c>
      <c r="AK1615" s="63">
        <f>IF(AN1615=12,I1615,0)</f>
        <v>0</v>
      </c>
      <c r="AL1615" s="63">
        <f>IF(AN1615=21,I1615,0)</f>
        <v>0</v>
      </c>
      <c r="AN1615" s="55">
        <v>21</v>
      </c>
      <c r="AO1615" s="55">
        <f>H1615*1</f>
        <v>0</v>
      </c>
      <c r="AP1615" s="55">
        <f>H1615*(1-1)</f>
        <v>0</v>
      </c>
      <c r="AQ1615" s="66" t="s">
        <v>125</v>
      </c>
      <c r="AV1615" s="55">
        <f>AW1615+AX1615</f>
        <v>0</v>
      </c>
      <c r="AW1615" s="55">
        <f>G1615*AO1615</f>
        <v>0</v>
      </c>
      <c r="AX1615" s="55">
        <f>G1615*AP1615</f>
        <v>0</v>
      </c>
      <c r="AY1615" s="58" t="s">
        <v>3083</v>
      </c>
      <c r="AZ1615" s="58" t="s">
        <v>2633</v>
      </c>
      <c r="BA1615" s="34" t="s">
        <v>2634</v>
      </c>
      <c r="BC1615" s="55">
        <f>AW1615+AX1615</f>
        <v>0</v>
      </c>
      <c r="BD1615" s="55">
        <f>H1615/(100-BE1615)*100</f>
        <v>0</v>
      </c>
      <c r="BE1615" s="55">
        <v>0</v>
      </c>
      <c r="BF1615" s="55">
        <f>K1615</f>
        <v>0</v>
      </c>
      <c r="BH1615" s="63">
        <f>G1615*AO1615</f>
        <v>0</v>
      </c>
      <c r="BI1615" s="63">
        <f>G1615*AP1615</f>
        <v>0</v>
      </c>
      <c r="BJ1615" s="63">
        <f>G1615*H1615</f>
        <v>0</v>
      </c>
      <c r="BK1615" s="63"/>
      <c r="BL1615" s="55"/>
      <c r="BW1615" s="55">
        <v>21</v>
      </c>
    </row>
    <row r="1616" spans="1:75" ht="13.5" customHeight="1">
      <c r="A1616" s="61" t="s">
        <v>3087</v>
      </c>
      <c r="B1616" s="62" t="s">
        <v>2629</v>
      </c>
      <c r="C1616" s="62" t="s">
        <v>3075</v>
      </c>
      <c r="D1616" s="224" t="s">
        <v>3076</v>
      </c>
      <c r="E1616" s="225"/>
      <c r="F1616" s="62" t="s">
        <v>2936</v>
      </c>
      <c r="G1616" s="63">
        <v>1</v>
      </c>
      <c r="H1616" s="64">
        <v>0</v>
      </c>
      <c r="I1616" s="63">
        <f>G1616*H1616</f>
        <v>0</v>
      </c>
      <c r="J1616" s="63">
        <v>0</v>
      </c>
      <c r="K1616" s="63">
        <f>G1616*J1616</f>
        <v>0</v>
      </c>
      <c r="L1616" s="65" t="s">
        <v>124</v>
      </c>
      <c r="Z1616" s="55">
        <f>IF(AQ1616="5",BJ1616,0)</f>
        <v>0</v>
      </c>
      <c r="AB1616" s="55">
        <f>IF(AQ1616="1",BH1616,0)</f>
        <v>0</v>
      </c>
      <c r="AC1616" s="55">
        <f>IF(AQ1616="1",BI1616,0)</f>
        <v>0</v>
      </c>
      <c r="AD1616" s="55">
        <f>IF(AQ1616="7",BH1616,0)</f>
        <v>0</v>
      </c>
      <c r="AE1616" s="55">
        <f>IF(AQ1616="7",BI1616,0)</f>
        <v>0</v>
      </c>
      <c r="AF1616" s="55">
        <f>IF(AQ1616="2",BH1616,0)</f>
        <v>0</v>
      </c>
      <c r="AG1616" s="55">
        <f>IF(AQ1616="2",BI1616,0)</f>
        <v>0</v>
      </c>
      <c r="AH1616" s="55">
        <f>IF(AQ1616="0",BJ1616,0)</f>
        <v>0</v>
      </c>
      <c r="AI1616" s="34" t="s">
        <v>2629</v>
      </c>
      <c r="AJ1616" s="63">
        <f>IF(AN1616=0,I1616,0)</f>
        <v>0</v>
      </c>
      <c r="AK1616" s="63">
        <f>IF(AN1616=12,I1616,0)</f>
        <v>0</v>
      </c>
      <c r="AL1616" s="63">
        <f>IF(AN1616=21,I1616,0)</f>
        <v>0</v>
      </c>
      <c r="AN1616" s="55">
        <v>21</v>
      </c>
      <c r="AO1616" s="55">
        <f>H1616*1</f>
        <v>0</v>
      </c>
      <c r="AP1616" s="55">
        <f>H1616*(1-1)</f>
        <v>0</v>
      </c>
      <c r="AQ1616" s="66" t="s">
        <v>125</v>
      </c>
      <c r="AV1616" s="55">
        <f>AW1616+AX1616</f>
        <v>0</v>
      </c>
      <c r="AW1616" s="55">
        <f>G1616*AO1616</f>
        <v>0</v>
      </c>
      <c r="AX1616" s="55">
        <f>G1616*AP1616</f>
        <v>0</v>
      </c>
      <c r="AY1616" s="58" t="s">
        <v>3083</v>
      </c>
      <c r="AZ1616" s="58" t="s">
        <v>2633</v>
      </c>
      <c r="BA1616" s="34" t="s">
        <v>2634</v>
      </c>
      <c r="BC1616" s="55">
        <f>AW1616+AX1616</f>
        <v>0</v>
      </c>
      <c r="BD1616" s="55">
        <f>H1616/(100-BE1616)*100</f>
        <v>0</v>
      </c>
      <c r="BE1616" s="55">
        <v>0</v>
      </c>
      <c r="BF1616" s="55">
        <f>K1616</f>
        <v>0</v>
      </c>
      <c r="BH1616" s="63">
        <f>G1616*AO1616</f>
        <v>0</v>
      </c>
      <c r="BI1616" s="63">
        <f>G1616*AP1616</f>
        <v>0</v>
      </c>
      <c r="BJ1616" s="63">
        <f>G1616*H1616</f>
        <v>0</v>
      </c>
      <c r="BK1616" s="63"/>
      <c r="BL1616" s="55"/>
      <c r="BW1616" s="55">
        <v>21</v>
      </c>
    </row>
    <row r="1617" spans="1:75" ht="13.5" customHeight="1">
      <c r="A1617" s="61" t="s">
        <v>3088</v>
      </c>
      <c r="B1617" s="62" t="s">
        <v>2629</v>
      </c>
      <c r="C1617" s="62" t="s">
        <v>3078</v>
      </c>
      <c r="D1617" s="224" t="s">
        <v>3079</v>
      </c>
      <c r="E1617" s="225"/>
      <c r="F1617" s="62" t="s">
        <v>2936</v>
      </c>
      <c r="G1617" s="63">
        <v>1</v>
      </c>
      <c r="H1617" s="64">
        <v>0</v>
      </c>
      <c r="I1617" s="63">
        <f>G1617*H1617</f>
        <v>0</v>
      </c>
      <c r="J1617" s="63">
        <v>0</v>
      </c>
      <c r="K1617" s="63">
        <f>G1617*J1617</f>
        <v>0</v>
      </c>
      <c r="L1617" s="65" t="s">
        <v>124</v>
      </c>
      <c r="Z1617" s="55">
        <f>IF(AQ1617="5",BJ1617,0)</f>
        <v>0</v>
      </c>
      <c r="AB1617" s="55">
        <f>IF(AQ1617="1",BH1617,0)</f>
        <v>0</v>
      </c>
      <c r="AC1617" s="55">
        <f>IF(AQ1617="1",BI1617,0)</f>
        <v>0</v>
      </c>
      <c r="AD1617" s="55">
        <f>IF(AQ1617="7",BH1617,0)</f>
        <v>0</v>
      </c>
      <c r="AE1617" s="55">
        <f>IF(AQ1617="7",BI1617,0)</f>
        <v>0</v>
      </c>
      <c r="AF1617" s="55">
        <f>IF(AQ1617="2",BH1617,0)</f>
        <v>0</v>
      </c>
      <c r="AG1617" s="55">
        <f>IF(AQ1617="2",BI1617,0)</f>
        <v>0</v>
      </c>
      <c r="AH1617" s="55">
        <f>IF(AQ1617="0",BJ1617,0)</f>
        <v>0</v>
      </c>
      <c r="AI1617" s="34" t="s">
        <v>2629</v>
      </c>
      <c r="AJ1617" s="63">
        <f>IF(AN1617=0,I1617,0)</f>
        <v>0</v>
      </c>
      <c r="AK1617" s="63">
        <f>IF(AN1617=12,I1617,0)</f>
        <v>0</v>
      </c>
      <c r="AL1617" s="63">
        <f>IF(AN1617=21,I1617,0)</f>
        <v>0</v>
      </c>
      <c r="AN1617" s="55">
        <v>21</v>
      </c>
      <c r="AO1617" s="55">
        <f>H1617*1</f>
        <v>0</v>
      </c>
      <c r="AP1617" s="55">
        <f>H1617*(1-1)</f>
        <v>0</v>
      </c>
      <c r="AQ1617" s="66" t="s">
        <v>125</v>
      </c>
      <c r="AV1617" s="55">
        <f>AW1617+AX1617</f>
        <v>0</v>
      </c>
      <c r="AW1617" s="55">
        <f>G1617*AO1617</f>
        <v>0</v>
      </c>
      <c r="AX1617" s="55">
        <f>G1617*AP1617</f>
        <v>0</v>
      </c>
      <c r="AY1617" s="58" t="s">
        <v>3083</v>
      </c>
      <c r="AZ1617" s="58" t="s">
        <v>2633</v>
      </c>
      <c r="BA1617" s="34" t="s">
        <v>2634</v>
      </c>
      <c r="BC1617" s="55">
        <f>AW1617+AX1617</f>
        <v>0</v>
      </c>
      <c r="BD1617" s="55">
        <f>H1617/(100-BE1617)*100</f>
        <v>0</v>
      </c>
      <c r="BE1617" s="55">
        <v>0</v>
      </c>
      <c r="BF1617" s="55">
        <f>K1617</f>
        <v>0</v>
      </c>
      <c r="BH1617" s="63">
        <f>G1617*AO1617</f>
        <v>0</v>
      </c>
      <c r="BI1617" s="63">
        <f>G1617*AP1617</f>
        <v>0</v>
      </c>
      <c r="BJ1617" s="63">
        <f>G1617*H1617</f>
        <v>0</v>
      </c>
      <c r="BK1617" s="63"/>
      <c r="BL1617" s="55"/>
      <c r="BW1617" s="55">
        <v>21</v>
      </c>
    </row>
    <row r="1618" spans="1:75" ht="13.5" customHeight="1">
      <c r="A1618" s="61" t="s">
        <v>3089</v>
      </c>
      <c r="B1618" s="62" t="s">
        <v>2629</v>
      </c>
      <c r="C1618" s="62" t="s">
        <v>3090</v>
      </c>
      <c r="D1618" s="224" t="s">
        <v>3091</v>
      </c>
      <c r="E1618" s="225"/>
      <c r="F1618" s="62" t="s">
        <v>2936</v>
      </c>
      <c r="G1618" s="63">
        <v>2</v>
      </c>
      <c r="H1618" s="64">
        <v>0</v>
      </c>
      <c r="I1618" s="63">
        <f>G1618*H1618</f>
        <v>0</v>
      </c>
      <c r="J1618" s="63">
        <v>0</v>
      </c>
      <c r="K1618" s="63">
        <f>G1618*J1618</f>
        <v>0</v>
      </c>
      <c r="L1618" s="65" t="s">
        <v>124</v>
      </c>
      <c r="Z1618" s="55">
        <f>IF(AQ1618="5",BJ1618,0)</f>
        <v>0</v>
      </c>
      <c r="AB1618" s="55">
        <f>IF(AQ1618="1",BH1618,0)</f>
        <v>0</v>
      </c>
      <c r="AC1618" s="55">
        <f>IF(AQ1618="1",BI1618,0)</f>
        <v>0</v>
      </c>
      <c r="AD1618" s="55">
        <f>IF(AQ1618="7",BH1618,0)</f>
        <v>0</v>
      </c>
      <c r="AE1618" s="55">
        <f>IF(AQ1618="7",BI1618,0)</f>
        <v>0</v>
      </c>
      <c r="AF1618" s="55">
        <f>IF(AQ1618="2",BH1618,0)</f>
        <v>0</v>
      </c>
      <c r="AG1618" s="55">
        <f>IF(AQ1618="2",BI1618,0)</f>
        <v>0</v>
      </c>
      <c r="AH1618" s="55">
        <f>IF(AQ1618="0",BJ1618,0)</f>
        <v>0</v>
      </c>
      <c r="AI1618" s="34" t="s">
        <v>2629</v>
      </c>
      <c r="AJ1618" s="63">
        <f>IF(AN1618=0,I1618,0)</f>
        <v>0</v>
      </c>
      <c r="AK1618" s="63">
        <f>IF(AN1618=12,I1618,0)</f>
        <v>0</v>
      </c>
      <c r="AL1618" s="63">
        <f>IF(AN1618=21,I1618,0)</f>
        <v>0</v>
      </c>
      <c r="AN1618" s="55">
        <v>21</v>
      </c>
      <c r="AO1618" s="55">
        <f>H1618*1</f>
        <v>0</v>
      </c>
      <c r="AP1618" s="55">
        <f>H1618*(1-1)</f>
        <v>0</v>
      </c>
      <c r="AQ1618" s="66" t="s">
        <v>125</v>
      </c>
      <c r="AV1618" s="55">
        <f>AW1618+AX1618</f>
        <v>0</v>
      </c>
      <c r="AW1618" s="55">
        <f>G1618*AO1618</f>
        <v>0</v>
      </c>
      <c r="AX1618" s="55">
        <f>G1618*AP1618</f>
        <v>0</v>
      </c>
      <c r="AY1618" s="58" t="s">
        <v>3083</v>
      </c>
      <c r="AZ1618" s="58" t="s">
        <v>2633</v>
      </c>
      <c r="BA1618" s="34" t="s">
        <v>2634</v>
      </c>
      <c r="BC1618" s="55">
        <f>AW1618+AX1618</f>
        <v>0</v>
      </c>
      <c r="BD1618" s="55">
        <f>H1618/(100-BE1618)*100</f>
        <v>0</v>
      </c>
      <c r="BE1618" s="55">
        <v>0</v>
      </c>
      <c r="BF1618" s="55">
        <f>K1618</f>
        <v>0</v>
      </c>
      <c r="BH1618" s="63">
        <f>G1618*AO1618</f>
        <v>0</v>
      </c>
      <c r="BI1618" s="63">
        <f>G1618*AP1618</f>
        <v>0</v>
      </c>
      <c r="BJ1618" s="63">
        <f>G1618*H1618</f>
        <v>0</v>
      </c>
      <c r="BK1618" s="63"/>
      <c r="BL1618" s="55"/>
      <c r="BW1618" s="55">
        <v>21</v>
      </c>
    </row>
    <row r="1619" spans="1:47" ht="14.4">
      <c r="A1619" s="50" t="s">
        <v>4</v>
      </c>
      <c r="B1619" s="51" t="s">
        <v>2629</v>
      </c>
      <c r="C1619" s="51" t="s">
        <v>316</v>
      </c>
      <c r="D1619" s="222" t="s">
        <v>957</v>
      </c>
      <c r="E1619" s="223"/>
      <c r="F1619" s="52" t="s">
        <v>79</v>
      </c>
      <c r="G1619" s="52" t="s">
        <v>79</v>
      </c>
      <c r="H1619" s="53" t="s">
        <v>79</v>
      </c>
      <c r="I1619" s="27">
        <f>SUM(I1620:I1620)</f>
        <v>0</v>
      </c>
      <c r="J1619" s="34" t="s">
        <v>4</v>
      </c>
      <c r="K1619" s="27">
        <f>SUM(K1620:K1620)</f>
        <v>0.00053</v>
      </c>
      <c r="L1619" s="54" t="s">
        <v>4</v>
      </c>
      <c r="AI1619" s="34" t="s">
        <v>2629</v>
      </c>
      <c r="AS1619" s="27">
        <f>SUM(AJ1620:AJ1620)</f>
        <v>0</v>
      </c>
      <c r="AT1619" s="27">
        <f>SUM(AK1620:AK1620)</f>
        <v>0</v>
      </c>
      <c r="AU1619" s="27">
        <f>SUM(AL1620:AL1620)</f>
        <v>0</v>
      </c>
    </row>
    <row r="1620" spans="1:75" ht="27" customHeight="1">
      <c r="A1620" s="1" t="s">
        <v>3092</v>
      </c>
      <c r="B1620" s="2" t="s">
        <v>2629</v>
      </c>
      <c r="C1620" s="2" t="s">
        <v>3093</v>
      </c>
      <c r="D1620" s="147" t="s">
        <v>3094</v>
      </c>
      <c r="E1620" s="148"/>
      <c r="F1620" s="2" t="s">
        <v>993</v>
      </c>
      <c r="G1620" s="55">
        <v>1</v>
      </c>
      <c r="H1620" s="56">
        <v>0</v>
      </c>
      <c r="I1620" s="55">
        <f>G1620*H1620</f>
        <v>0</v>
      </c>
      <c r="J1620" s="55">
        <v>0.00053</v>
      </c>
      <c r="K1620" s="55">
        <f>G1620*J1620</f>
        <v>0.00053</v>
      </c>
      <c r="L1620" s="57" t="s">
        <v>124</v>
      </c>
      <c r="Z1620" s="55">
        <f>IF(AQ1620="5",BJ1620,0)</f>
        <v>0</v>
      </c>
      <c r="AB1620" s="55">
        <f>IF(AQ1620="1",BH1620,0)</f>
        <v>0</v>
      </c>
      <c r="AC1620" s="55">
        <f>IF(AQ1620="1",BI1620,0)</f>
        <v>0</v>
      </c>
      <c r="AD1620" s="55">
        <f>IF(AQ1620="7",BH1620,0)</f>
        <v>0</v>
      </c>
      <c r="AE1620" s="55">
        <f>IF(AQ1620="7",BI1620,0)</f>
        <v>0</v>
      </c>
      <c r="AF1620" s="55">
        <f>IF(AQ1620="2",BH1620,0)</f>
        <v>0</v>
      </c>
      <c r="AG1620" s="55">
        <f>IF(AQ1620="2",BI1620,0)</f>
        <v>0</v>
      </c>
      <c r="AH1620" s="55">
        <f>IF(AQ1620="0",BJ1620,0)</f>
        <v>0</v>
      </c>
      <c r="AI1620" s="34" t="s">
        <v>2629</v>
      </c>
      <c r="AJ1620" s="55">
        <f>IF(AN1620=0,I1620,0)</f>
        <v>0</v>
      </c>
      <c r="AK1620" s="55">
        <f>IF(AN1620=12,I1620,0)</f>
        <v>0</v>
      </c>
      <c r="AL1620" s="55">
        <f>IF(AN1620=21,I1620,0)</f>
        <v>0</v>
      </c>
      <c r="AN1620" s="55">
        <v>21</v>
      </c>
      <c r="AO1620" s="55">
        <f>H1620*0.294117647</f>
        <v>0</v>
      </c>
      <c r="AP1620" s="55">
        <f>H1620*(1-0.294117647)</f>
        <v>0</v>
      </c>
      <c r="AQ1620" s="58" t="s">
        <v>120</v>
      </c>
      <c r="AV1620" s="55">
        <f>AW1620+AX1620</f>
        <v>0</v>
      </c>
      <c r="AW1620" s="55">
        <f>G1620*AO1620</f>
        <v>0</v>
      </c>
      <c r="AX1620" s="55">
        <f>G1620*AP1620</f>
        <v>0</v>
      </c>
      <c r="AY1620" s="58" t="s">
        <v>961</v>
      </c>
      <c r="AZ1620" s="58" t="s">
        <v>3095</v>
      </c>
      <c r="BA1620" s="34" t="s">
        <v>2634</v>
      </c>
      <c r="BB1620" s="67">
        <v>100039</v>
      </c>
      <c r="BC1620" s="55">
        <f>AW1620+AX1620</f>
        <v>0</v>
      </c>
      <c r="BD1620" s="55">
        <f>H1620/(100-BE1620)*100</f>
        <v>0</v>
      </c>
      <c r="BE1620" s="55">
        <v>0</v>
      </c>
      <c r="BF1620" s="55">
        <f>K1620</f>
        <v>0.00053</v>
      </c>
      <c r="BH1620" s="55">
        <f>G1620*AO1620</f>
        <v>0</v>
      </c>
      <c r="BI1620" s="55">
        <f>G1620*AP1620</f>
        <v>0</v>
      </c>
      <c r="BJ1620" s="55">
        <f>G1620*H1620</f>
        <v>0</v>
      </c>
      <c r="BK1620" s="55"/>
      <c r="BL1620" s="55">
        <v>62</v>
      </c>
      <c r="BW1620" s="55">
        <v>21</v>
      </c>
    </row>
    <row r="1621" spans="1:12" ht="13.5" customHeight="1">
      <c r="A1621" s="59"/>
      <c r="D1621" s="218" t="s">
        <v>3096</v>
      </c>
      <c r="E1621" s="219"/>
      <c r="F1621" s="219"/>
      <c r="G1621" s="219"/>
      <c r="H1621" s="220"/>
      <c r="I1621" s="219"/>
      <c r="J1621" s="219"/>
      <c r="K1621" s="219"/>
      <c r="L1621" s="221"/>
    </row>
    <row r="1622" spans="1:12" ht="14.4">
      <c r="A1622" s="59"/>
      <c r="D1622" s="60" t="s">
        <v>120</v>
      </c>
      <c r="E1622" s="60" t="s">
        <v>4</v>
      </c>
      <c r="G1622" s="68">
        <v>1</v>
      </c>
      <c r="L1622" s="69"/>
    </row>
    <row r="1623" spans="1:47" ht="14.4">
      <c r="A1623" s="50" t="s">
        <v>4</v>
      </c>
      <c r="B1623" s="51" t="s">
        <v>2629</v>
      </c>
      <c r="C1623" s="51" t="s">
        <v>2874</v>
      </c>
      <c r="D1623" s="222" t="s">
        <v>3097</v>
      </c>
      <c r="E1623" s="223"/>
      <c r="F1623" s="52" t="s">
        <v>79</v>
      </c>
      <c r="G1623" s="52" t="s">
        <v>79</v>
      </c>
      <c r="H1623" s="53" t="s">
        <v>79</v>
      </c>
      <c r="I1623" s="27">
        <f>SUM(I1624:I1641)</f>
        <v>0</v>
      </c>
      <c r="J1623" s="34" t="s">
        <v>4</v>
      </c>
      <c r="K1623" s="27">
        <f>SUM(K1624:K1641)</f>
        <v>6.6753268</v>
      </c>
      <c r="L1623" s="54" t="s">
        <v>4</v>
      </c>
      <c r="AI1623" s="34" t="s">
        <v>2629</v>
      </c>
      <c r="AS1623" s="27">
        <f>SUM(AJ1624:AJ1641)</f>
        <v>0</v>
      </c>
      <c r="AT1623" s="27">
        <f>SUM(AK1624:AK1641)</f>
        <v>0</v>
      </c>
      <c r="AU1623" s="27">
        <f>SUM(AL1624:AL1641)</f>
        <v>0</v>
      </c>
    </row>
    <row r="1624" spans="1:75" ht="13.5" customHeight="1">
      <c r="A1624" s="1" t="s">
        <v>3098</v>
      </c>
      <c r="B1624" s="2" t="s">
        <v>2629</v>
      </c>
      <c r="C1624" s="2" t="s">
        <v>3099</v>
      </c>
      <c r="D1624" s="147" t="s">
        <v>3100</v>
      </c>
      <c r="E1624" s="148"/>
      <c r="F1624" s="2" t="s">
        <v>729</v>
      </c>
      <c r="G1624" s="55">
        <v>124.2</v>
      </c>
      <c r="H1624" s="56">
        <v>0</v>
      </c>
      <c r="I1624" s="55">
        <f>G1624*H1624</f>
        <v>0</v>
      </c>
      <c r="J1624" s="55">
        <v>4E-05</v>
      </c>
      <c r="K1624" s="55">
        <f>G1624*J1624</f>
        <v>0.004968</v>
      </c>
      <c r="L1624" s="57" t="s">
        <v>785</v>
      </c>
      <c r="Z1624" s="55">
        <f>IF(AQ1624="5",BJ1624,0)</f>
        <v>0</v>
      </c>
      <c r="AB1624" s="55">
        <f>IF(AQ1624="1",BH1624,0)</f>
        <v>0</v>
      </c>
      <c r="AC1624" s="55">
        <f>IF(AQ1624="1",BI1624,0)</f>
        <v>0</v>
      </c>
      <c r="AD1624" s="55">
        <f>IF(AQ1624="7",BH1624,0)</f>
        <v>0</v>
      </c>
      <c r="AE1624" s="55">
        <f>IF(AQ1624="7",BI1624,0)</f>
        <v>0</v>
      </c>
      <c r="AF1624" s="55">
        <f>IF(AQ1624="2",BH1624,0)</f>
        <v>0</v>
      </c>
      <c r="AG1624" s="55">
        <f>IF(AQ1624="2",BI1624,0)</f>
        <v>0</v>
      </c>
      <c r="AH1624" s="55">
        <f>IF(AQ1624="0",BJ1624,0)</f>
        <v>0</v>
      </c>
      <c r="AI1624" s="34" t="s">
        <v>2629</v>
      </c>
      <c r="AJ1624" s="55">
        <f>IF(AN1624=0,I1624,0)</f>
        <v>0</v>
      </c>
      <c r="AK1624" s="55">
        <f>IF(AN1624=12,I1624,0)</f>
        <v>0</v>
      </c>
      <c r="AL1624" s="55">
        <f>IF(AN1624=21,I1624,0)</f>
        <v>0</v>
      </c>
      <c r="AN1624" s="55">
        <v>21</v>
      </c>
      <c r="AO1624" s="55">
        <f>H1624*0.049007634</f>
        <v>0</v>
      </c>
      <c r="AP1624" s="55">
        <f>H1624*(1-0.049007634)</f>
        <v>0</v>
      </c>
      <c r="AQ1624" s="58" t="s">
        <v>125</v>
      </c>
      <c r="AV1624" s="55">
        <f>AW1624+AX1624</f>
        <v>0</v>
      </c>
      <c r="AW1624" s="55">
        <f>G1624*AO1624</f>
        <v>0</v>
      </c>
      <c r="AX1624" s="55">
        <f>G1624*AP1624</f>
        <v>0</v>
      </c>
      <c r="AY1624" s="58" t="s">
        <v>3101</v>
      </c>
      <c r="AZ1624" s="58" t="s">
        <v>3102</v>
      </c>
      <c r="BA1624" s="34" t="s">
        <v>2634</v>
      </c>
      <c r="BB1624" s="67">
        <v>100013</v>
      </c>
      <c r="BC1624" s="55">
        <f>AW1624+AX1624</f>
        <v>0</v>
      </c>
      <c r="BD1624" s="55">
        <f>H1624/(100-BE1624)*100</f>
        <v>0</v>
      </c>
      <c r="BE1624" s="55">
        <v>0</v>
      </c>
      <c r="BF1624" s="55">
        <f>K1624</f>
        <v>0.004968</v>
      </c>
      <c r="BH1624" s="55">
        <f>G1624*AO1624</f>
        <v>0</v>
      </c>
      <c r="BI1624" s="55">
        <f>G1624*AP1624</f>
        <v>0</v>
      </c>
      <c r="BJ1624" s="55">
        <f>G1624*H1624</f>
        <v>0</v>
      </c>
      <c r="BK1624" s="55"/>
      <c r="BL1624" s="55">
        <v>712</v>
      </c>
      <c r="BW1624" s="55">
        <v>21</v>
      </c>
    </row>
    <row r="1625" spans="1:12" ht="13.5" customHeight="1">
      <c r="A1625" s="59"/>
      <c r="D1625" s="218" t="s">
        <v>3103</v>
      </c>
      <c r="E1625" s="219"/>
      <c r="F1625" s="219"/>
      <c r="G1625" s="219"/>
      <c r="H1625" s="220"/>
      <c r="I1625" s="219"/>
      <c r="J1625" s="219"/>
      <c r="K1625" s="219"/>
      <c r="L1625" s="221"/>
    </row>
    <row r="1626" spans="1:12" ht="14.4">
      <c r="A1626" s="59"/>
      <c r="D1626" s="60" t="s">
        <v>3104</v>
      </c>
      <c r="E1626" s="60" t="s">
        <v>3105</v>
      </c>
      <c r="G1626" s="68">
        <v>61.6</v>
      </c>
      <c r="L1626" s="69"/>
    </row>
    <row r="1627" spans="1:12" ht="14.4">
      <c r="A1627" s="59"/>
      <c r="D1627" s="60" t="s">
        <v>3106</v>
      </c>
      <c r="E1627" s="60" t="s">
        <v>3107</v>
      </c>
      <c r="G1627" s="68">
        <v>62.6</v>
      </c>
      <c r="L1627" s="69"/>
    </row>
    <row r="1628" spans="1:75" ht="13.5" customHeight="1">
      <c r="A1628" s="1" t="s">
        <v>3108</v>
      </c>
      <c r="B1628" s="2" t="s">
        <v>2629</v>
      </c>
      <c r="C1628" s="2" t="s">
        <v>3109</v>
      </c>
      <c r="D1628" s="147" t="s">
        <v>3110</v>
      </c>
      <c r="E1628" s="148"/>
      <c r="F1628" s="2" t="s">
        <v>729</v>
      </c>
      <c r="G1628" s="55">
        <v>2242.96</v>
      </c>
      <c r="H1628" s="56">
        <v>0</v>
      </c>
      <c r="I1628" s="55">
        <f>G1628*H1628</f>
        <v>0</v>
      </c>
      <c r="J1628" s="55">
        <v>3E-05</v>
      </c>
      <c r="K1628" s="55">
        <f>G1628*J1628</f>
        <v>0.06728880000000001</v>
      </c>
      <c r="L1628" s="57" t="s">
        <v>785</v>
      </c>
      <c r="Z1628" s="55">
        <f>IF(AQ1628="5",BJ1628,0)</f>
        <v>0</v>
      </c>
      <c r="AB1628" s="55">
        <f>IF(AQ1628="1",BH1628,0)</f>
        <v>0</v>
      </c>
      <c r="AC1628" s="55">
        <f>IF(AQ1628="1",BI1628,0)</f>
        <v>0</v>
      </c>
      <c r="AD1628" s="55">
        <f>IF(AQ1628="7",BH1628,0)</f>
        <v>0</v>
      </c>
      <c r="AE1628" s="55">
        <f>IF(AQ1628="7",BI1628,0)</f>
        <v>0</v>
      </c>
      <c r="AF1628" s="55">
        <f>IF(AQ1628="2",BH1628,0)</f>
        <v>0</v>
      </c>
      <c r="AG1628" s="55">
        <f>IF(AQ1628="2",BI1628,0)</f>
        <v>0</v>
      </c>
      <c r="AH1628" s="55">
        <f>IF(AQ1628="0",BJ1628,0)</f>
        <v>0</v>
      </c>
      <c r="AI1628" s="34" t="s">
        <v>2629</v>
      </c>
      <c r="AJ1628" s="55">
        <f>IF(AN1628=0,I1628,0)</f>
        <v>0</v>
      </c>
      <c r="AK1628" s="55">
        <f>IF(AN1628=12,I1628,0)</f>
        <v>0</v>
      </c>
      <c r="AL1628" s="55">
        <f>IF(AN1628=21,I1628,0)</f>
        <v>0</v>
      </c>
      <c r="AN1628" s="55">
        <v>21</v>
      </c>
      <c r="AO1628" s="55">
        <f>H1628*0.03208128</f>
        <v>0</v>
      </c>
      <c r="AP1628" s="55">
        <f>H1628*(1-0.03208128)</f>
        <v>0</v>
      </c>
      <c r="AQ1628" s="58" t="s">
        <v>125</v>
      </c>
      <c r="AV1628" s="55">
        <f>AW1628+AX1628</f>
        <v>0</v>
      </c>
      <c r="AW1628" s="55">
        <f>G1628*AO1628</f>
        <v>0</v>
      </c>
      <c r="AX1628" s="55">
        <f>G1628*AP1628</f>
        <v>0</v>
      </c>
      <c r="AY1628" s="58" t="s">
        <v>3101</v>
      </c>
      <c r="AZ1628" s="58" t="s">
        <v>3102</v>
      </c>
      <c r="BA1628" s="34" t="s">
        <v>2634</v>
      </c>
      <c r="BB1628" s="67">
        <v>100013</v>
      </c>
      <c r="BC1628" s="55">
        <f>AW1628+AX1628</f>
        <v>0</v>
      </c>
      <c r="BD1628" s="55">
        <f>H1628/(100-BE1628)*100</f>
        <v>0</v>
      </c>
      <c r="BE1628" s="55">
        <v>0</v>
      </c>
      <c r="BF1628" s="55">
        <f>K1628</f>
        <v>0.06728880000000001</v>
      </c>
      <c r="BH1628" s="55">
        <f>G1628*AO1628</f>
        <v>0</v>
      </c>
      <c r="BI1628" s="55">
        <f>G1628*AP1628</f>
        <v>0</v>
      </c>
      <c r="BJ1628" s="55">
        <f>G1628*H1628</f>
        <v>0</v>
      </c>
      <c r="BK1628" s="55"/>
      <c r="BL1628" s="55">
        <v>712</v>
      </c>
      <c r="BW1628" s="55">
        <v>21</v>
      </c>
    </row>
    <row r="1629" spans="1:12" ht="13.5" customHeight="1">
      <c r="A1629" s="59"/>
      <c r="D1629" s="218" t="s">
        <v>3103</v>
      </c>
      <c r="E1629" s="219"/>
      <c r="F1629" s="219"/>
      <c r="G1629" s="219"/>
      <c r="H1629" s="220"/>
      <c r="I1629" s="219"/>
      <c r="J1629" s="219"/>
      <c r="K1629" s="219"/>
      <c r="L1629" s="221"/>
    </row>
    <row r="1630" spans="1:12" ht="14.4">
      <c r="A1630" s="59"/>
      <c r="D1630" s="60" t="s">
        <v>3111</v>
      </c>
      <c r="E1630" s="60" t="s">
        <v>3112</v>
      </c>
      <c r="G1630" s="68">
        <v>1037.1</v>
      </c>
      <c r="L1630" s="69"/>
    </row>
    <row r="1631" spans="1:12" ht="14.4">
      <c r="A1631" s="59"/>
      <c r="D1631" s="60" t="s">
        <v>3113</v>
      </c>
      <c r="E1631" s="60" t="s">
        <v>3114</v>
      </c>
      <c r="G1631" s="68">
        <v>1067.1</v>
      </c>
      <c r="L1631" s="69"/>
    </row>
    <row r="1632" spans="1:12" ht="14.4">
      <c r="A1632" s="59"/>
      <c r="D1632" s="60" t="s">
        <v>3115</v>
      </c>
      <c r="E1632" s="60" t="s">
        <v>3116</v>
      </c>
      <c r="G1632" s="68">
        <v>71.61</v>
      </c>
      <c r="L1632" s="69"/>
    </row>
    <row r="1633" spans="1:12" ht="14.4">
      <c r="A1633" s="59"/>
      <c r="D1633" s="60" t="s">
        <v>3117</v>
      </c>
      <c r="E1633" s="60" t="s">
        <v>3118</v>
      </c>
      <c r="G1633" s="68">
        <v>43.3</v>
      </c>
      <c r="L1633" s="69"/>
    </row>
    <row r="1634" spans="1:12" ht="14.4">
      <c r="A1634" s="59"/>
      <c r="D1634" s="60" t="s">
        <v>3119</v>
      </c>
      <c r="E1634" s="60" t="s">
        <v>3120</v>
      </c>
      <c r="G1634" s="68">
        <v>23.85</v>
      </c>
      <c r="L1634" s="69"/>
    </row>
    <row r="1635" spans="1:75" ht="27" customHeight="1">
      <c r="A1635" s="61" t="s">
        <v>3121</v>
      </c>
      <c r="B1635" s="62" t="s">
        <v>2629</v>
      </c>
      <c r="C1635" s="62" t="s">
        <v>3122</v>
      </c>
      <c r="D1635" s="224" t="s">
        <v>3123</v>
      </c>
      <c r="E1635" s="225"/>
      <c r="F1635" s="62" t="s">
        <v>729</v>
      </c>
      <c r="G1635" s="63">
        <v>1208.57</v>
      </c>
      <c r="H1635" s="64">
        <v>0</v>
      </c>
      <c r="I1635" s="63">
        <f>G1635*H1635</f>
        <v>0</v>
      </c>
      <c r="J1635" s="63">
        <v>0.002</v>
      </c>
      <c r="K1635" s="63">
        <f>G1635*J1635</f>
        <v>2.41714</v>
      </c>
      <c r="L1635" s="65" t="s">
        <v>124</v>
      </c>
      <c r="Z1635" s="55">
        <f>IF(AQ1635="5",BJ1635,0)</f>
        <v>0</v>
      </c>
      <c r="AB1635" s="55">
        <f>IF(AQ1635="1",BH1635,0)</f>
        <v>0</v>
      </c>
      <c r="AC1635" s="55">
        <f>IF(AQ1635="1",BI1635,0)</f>
        <v>0</v>
      </c>
      <c r="AD1635" s="55">
        <f>IF(AQ1635="7",BH1635,0)</f>
        <v>0</v>
      </c>
      <c r="AE1635" s="55">
        <f>IF(AQ1635="7",BI1635,0)</f>
        <v>0</v>
      </c>
      <c r="AF1635" s="55">
        <f>IF(AQ1635="2",BH1635,0)</f>
        <v>0</v>
      </c>
      <c r="AG1635" s="55">
        <f>IF(AQ1635="2",BI1635,0)</f>
        <v>0</v>
      </c>
      <c r="AH1635" s="55">
        <f>IF(AQ1635="0",BJ1635,0)</f>
        <v>0</v>
      </c>
      <c r="AI1635" s="34" t="s">
        <v>2629</v>
      </c>
      <c r="AJ1635" s="63">
        <f>IF(AN1635=0,I1635,0)</f>
        <v>0</v>
      </c>
      <c r="AK1635" s="63">
        <f>IF(AN1635=12,I1635,0)</f>
        <v>0</v>
      </c>
      <c r="AL1635" s="63">
        <f>IF(AN1635=21,I1635,0)</f>
        <v>0</v>
      </c>
      <c r="AN1635" s="55">
        <v>21</v>
      </c>
      <c r="AO1635" s="55">
        <f>H1635*1</f>
        <v>0</v>
      </c>
      <c r="AP1635" s="55">
        <f>H1635*(1-1)</f>
        <v>0</v>
      </c>
      <c r="AQ1635" s="66" t="s">
        <v>125</v>
      </c>
      <c r="AV1635" s="55">
        <f>AW1635+AX1635</f>
        <v>0</v>
      </c>
      <c r="AW1635" s="55">
        <f>G1635*AO1635</f>
        <v>0</v>
      </c>
      <c r="AX1635" s="55">
        <f>G1635*AP1635</f>
        <v>0</v>
      </c>
      <c r="AY1635" s="58" t="s">
        <v>3101</v>
      </c>
      <c r="AZ1635" s="58" t="s">
        <v>3102</v>
      </c>
      <c r="BA1635" s="34" t="s">
        <v>2634</v>
      </c>
      <c r="BC1635" s="55">
        <f>AW1635+AX1635</f>
        <v>0</v>
      </c>
      <c r="BD1635" s="55">
        <f>H1635/(100-BE1635)*100</f>
        <v>0</v>
      </c>
      <c r="BE1635" s="55">
        <v>0</v>
      </c>
      <c r="BF1635" s="55">
        <f>K1635</f>
        <v>2.41714</v>
      </c>
      <c r="BH1635" s="63">
        <f>G1635*AO1635</f>
        <v>0</v>
      </c>
      <c r="BI1635" s="63">
        <f>G1635*AP1635</f>
        <v>0</v>
      </c>
      <c r="BJ1635" s="63">
        <f>G1635*H1635</f>
        <v>0</v>
      </c>
      <c r="BK1635" s="63"/>
      <c r="BL1635" s="55">
        <v>712</v>
      </c>
      <c r="BW1635" s="55">
        <v>21</v>
      </c>
    </row>
    <row r="1636" spans="1:12" ht="14.4">
      <c r="A1636" s="59"/>
      <c r="D1636" s="60" t="s">
        <v>3124</v>
      </c>
      <c r="E1636" s="60" t="s">
        <v>3125</v>
      </c>
      <c r="G1636" s="68">
        <v>1098.7</v>
      </c>
      <c r="L1636" s="69"/>
    </row>
    <row r="1637" spans="1:12" ht="14.4">
      <c r="A1637" s="59"/>
      <c r="D1637" s="60" t="s">
        <v>3126</v>
      </c>
      <c r="E1637" s="60" t="s">
        <v>4</v>
      </c>
      <c r="G1637" s="68">
        <v>109.87</v>
      </c>
      <c r="L1637" s="69"/>
    </row>
    <row r="1638" spans="1:75" ht="27" customHeight="1">
      <c r="A1638" s="61" t="s">
        <v>2566</v>
      </c>
      <c r="B1638" s="62" t="s">
        <v>2629</v>
      </c>
      <c r="C1638" s="62" t="s">
        <v>3127</v>
      </c>
      <c r="D1638" s="224" t="s">
        <v>3128</v>
      </c>
      <c r="E1638" s="225"/>
      <c r="F1638" s="62" t="s">
        <v>729</v>
      </c>
      <c r="G1638" s="63">
        <v>1395.31</v>
      </c>
      <c r="H1638" s="64">
        <v>0</v>
      </c>
      <c r="I1638" s="63">
        <f>G1638*H1638</f>
        <v>0</v>
      </c>
      <c r="J1638" s="63">
        <v>0.003</v>
      </c>
      <c r="K1638" s="63">
        <f>G1638*J1638</f>
        <v>4.18593</v>
      </c>
      <c r="L1638" s="65" t="s">
        <v>124</v>
      </c>
      <c r="Z1638" s="55">
        <f>IF(AQ1638="5",BJ1638,0)</f>
        <v>0</v>
      </c>
      <c r="AB1638" s="55">
        <f>IF(AQ1638="1",BH1638,0)</f>
        <v>0</v>
      </c>
      <c r="AC1638" s="55">
        <f>IF(AQ1638="1",BI1638,0)</f>
        <v>0</v>
      </c>
      <c r="AD1638" s="55">
        <f>IF(AQ1638="7",BH1638,0)</f>
        <v>0</v>
      </c>
      <c r="AE1638" s="55">
        <f>IF(AQ1638="7",BI1638,0)</f>
        <v>0</v>
      </c>
      <c r="AF1638" s="55">
        <f>IF(AQ1638="2",BH1638,0)</f>
        <v>0</v>
      </c>
      <c r="AG1638" s="55">
        <f>IF(AQ1638="2",BI1638,0)</f>
        <v>0</v>
      </c>
      <c r="AH1638" s="55">
        <f>IF(AQ1638="0",BJ1638,0)</f>
        <v>0</v>
      </c>
      <c r="AI1638" s="34" t="s">
        <v>2629</v>
      </c>
      <c r="AJ1638" s="63">
        <f>IF(AN1638=0,I1638,0)</f>
        <v>0</v>
      </c>
      <c r="AK1638" s="63">
        <f>IF(AN1638=12,I1638,0)</f>
        <v>0</v>
      </c>
      <c r="AL1638" s="63">
        <f>IF(AN1638=21,I1638,0)</f>
        <v>0</v>
      </c>
      <c r="AN1638" s="55">
        <v>21</v>
      </c>
      <c r="AO1638" s="55">
        <f>H1638*1</f>
        <v>0</v>
      </c>
      <c r="AP1638" s="55">
        <f>H1638*(1-1)</f>
        <v>0</v>
      </c>
      <c r="AQ1638" s="66" t="s">
        <v>125</v>
      </c>
      <c r="AV1638" s="55">
        <f>AW1638+AX1638</f>
        <v>0</v>
      </c>
      <c r="AW1638" s="55">
        <f>G1638*AO1638</f>
        <v>0</v>
      </c>
      <c r="AX1638" s="55">
        <f>G1638*AP1638</f>
        <v>0</v>
      </c>
      <c r="AY1638" s="58" t="s">
        <v>3101</v>
      </c>
      <c r="AZ1638" s="58" t="s">
        <v>3102</v>
      </c>
      <c r="BA1638" s="34" t="s">
        <v>2634</v>
      </c>
      <c r="BC1638" s="55">
        <f>AW1638+AX1638</f>
        <v>0</v>
      </c>
      <c r="BD1638" s="55">
        <f>H1638/(100-BE1638)*100</f>
        <v>0</v>
      </c>
      <c r="BE1638" s="55">
        <v>0</v>
      </c>
      <c r="BF1638" s="55">
        <f>K1638</f>
        <v>4.18593</v>
      </c>
      <c r="BH1638" s="63">
        <f>G1638*AO1638</f>
        <v>0</v>
      </c>
      <c r="BI1638" s="63">
        <f>G1638*AP1638</f>
        <v>0</v>
      </c>
      <c r="BJ1638" s="63">
        <f>G1638*H1638</f>
        <v>0</v>
      </c>
      <c r="BK1638" s="63"/>
      <c r="BL1638" s="55">
        <v>712</v>
      </c>
      <c r="BW1638" s="55">
        <v>21</v>
      </c>
    </row>
    <row r="1639" spans="1:12" ht="14.4">
      <c r="A1639" s="59"/>
      <c r="D1639" s="60" t="s">
        <v>3129</v>
      </c>
      <c r="E1639" s="60" t="s">
        <v>4</v>
      </c>
      <c r="G1639" s="68">
        <v>1268.46</v>
      </c>
      <c r="L1639" s="69"/>
    </row>
    <row r="1640" spans="1:12" ht="14.4">
      <c r="A1640" s="59"/>
      <c r="D1640" s="60" t="s">
        <v>3130</v>
      </c>
      <c r="E1640" s="60" t="s">
        <v>4</v>
      </c>
      <c r="G1640" s="68">
        <v>126.85</v>
      </c>
      <c r="L1640" s="69"/>
    </row>
    <row r="1641" spans="1:75" ht="13.5" customHeight="1">
      <c r="A1641" s="1" t="s">
        <v>3131</v>
      </c>
      <c r="B1641" s="2" t="s">
        <v>2629</v>
      </c>
      <c r="C1641" s="2" t="s">
        <v>3132</v>
      </c>
      <c r="D1641" s="147" t="s">
        <v>3133</v>
      </c>
      <c r="E1641" s="148"/>
      <c r="F1641" s="2" t="s">
        <v>939</v>
      </c>
      <c r="G1641" s="55">
        <v>6.67</v>
      </c>
      <c r="H1641" s="56">
        <v>0</v>
      </c>
      <c r="I1641" s="55">
        <f>G1641*H1641</f>
        <v>0</v>
      </c>
      <c r="J1641" s="55">
        <v>0</v>
      </c>
      <c r="K1641" s="55">
        <f>G1641*J1641</f>
        <v>0</v>
      </c>
      <c r="L1641" s="57" t="s">
        <v>785</v>
      </c>
      <c r="Z1641" s="55">
        <f>IF(AQ1641="5",BJ1641,0)</f>
        <v>0</v>
      </c>
      <c r="AB1641" s="55">
        <f>IF(AQ1641="1",BH1641,0)</f>
        <v>0</v>
      </c>
      <c r="AC1641" s="55">
        <f>IF(AQ1641="1",BI1641,0)</f>
        <v>0</v>
      </c>
      <c r="AD1641" s="55">
        <f>IF(AQ1641="7",BH1641,0)</f>
        <v>0</v>
      </c>
      <c r="AE1641" s="55">
        <f>IF(AQ1641="7",BI1641,0)</f>
        <v>0</v>
      </c>
      <c r="AF1641" s="55">
        <f>IF(AQ1641="2",BH1641,0)</f>
        <v>0</v>
      </c>
      <c r="AG1641" s="55">
        <f>IF(AQ1641="2",BI1641,0)</f>
        <v>0</v>
      </c>
      <c r="AH1641" s="55">
        <f>IF(AQ1641="0",BJ1641,0)</f>
        <v>0</v>
      </c>
      <c r="AI1641" s="34" t="s">
        <v>2629</v>
      </c>
      <c r="AJ1641" s="55">
        <f>IF(AN1641=0,I1641,0)</f>
        <v>0</v>
      </c>
      <c r="AK1641" s="55">
        <f>IF(AN1641=12,I1641,0)</f>
        <v>0</v>
      </c>
      <c r="AL1641" s="55">
        <f>IF(AN1641=21,I1641,0)</f>
        <v>0</v>
      </c>
      <c r="AN1641" s="55">
        <v>21</v>
      </c>
      <c r="AO1641" s="55">
        <f>H1641*0</f>
        <v>0</v>
      </c>
      <c r="AP1641" s="55">
        <f>H1641*(1-0)</f>
        <v>0</v>
      </c>
      <c r="AQ1641" s="58" t="s">
        <v>139</v>
      </c>
      <c r="AV1641" s="55">
        <f>AW1641+AX1641</f>
        <v>0</v>
      </c>
      <c r="AW1641" s="55">
        <f>G1641*AO1641</f>
        <v>0</v>
      </c>
      <c r="AX1641" s="55">
        <f>G1641*AP1641</f>
        <v>0</v>
      </c>
      <c r="AY1641" s="58" t="s">
        <v>3101</v>
      </c>
      <c r="AZ1641" s="58" t="s">
        <v>3102</v>
      </c>
      <c r="BA1641" s="34" t="s">
        <v>2634</v>
      </c>
      <c r="BC1641" s="55">
        <f>AW1641+AX1641</f>
        <v>0</v>
      </c>
      <c r="BD1641" s="55">
        <f>H1641/(100-BE1641)*100</f>
        <v>0</v>
      </c>
      <c r="BE1641" s="55">
        <v>0</v>
      </c>
      <c r="BF1641" s="55">
        <f>K1641</f>
        <v>0</v>
      </c>
      <c r="BH1641" s="55">
        <f>G1641*AO1641</f>
        <v>0</v>
      </c>
      <c r="BI1641" s="55">
        <f>G1641*AP1641</f>
        <v>0</v>
      </c>
      <c r="BJ1641" s="55">
        <f>G1641*H1641</f>
        <v>0</v>
      </c>
      <c r="BK1641" s="55"/>
      <c r="BL1641" s="55">
        <v>712</v>
      </c>
      <c r="BW1641" s="55">
        <v>21</v>
      </c>
    </row>
    <row r="1642" spans="1:12" ht="14.4">
      <c r="A1642" s="59"/>
      <c r="D1642" s="60" t="s">
        <v>3134</v>
      </c>
      <c r="E1642" s="60" t="s">
        <v>4</v>
      </c>
      <c r="G1642" s="68">
        <v>6.67</v>
      </c>
      <c r="L1642" s="69"/>
    </row>
    <row r="1643" spans="1:47" ht="14.4">
      <c r="A1643" s="50" t="s">
        <v>4</v>
      </c>
      <c r="B1643" s="51" t="s">
        <v>2629</v>
      </c>
      <c r="C1643" s="51" t="s">
        <v>1508</v>
      </c>
      <c r="D1643" s="222" t="s">
        <v>370</v>
      </c>
      <c r="E1643" s="223"/>
      <c r="F1643" s="52" t="s">
        <v>79</v>
      </c>
      <c r="G1643" s="52" t="s">
        <v>79</v>
      </c>
      <c r="H1643" s="53" t="s">
        <v>79</v>
      </c>
      <c r="I1643" s="27">
        <f>SUM(I1644:I1647)</f>
        <v>0</v>
      </c>
      <c r="J1643" s="34" t="s">
        <v>4</v>
      </c>
      <c r="K1643" s="27">
        <f>SUM(K1644:K1647)</f>
        <v>0</v>
      </c>
      <c r="L1643" s="54" t="s">
        <v>4</v>
      </c>
      <c r="AI1643" s="34" t="s">
        <v>2629</v>
      </c>
      <c r="AS1643" s="27">
        <f>SUM(AJ1644:AJ1647)</f>
        <v>0</v>
      </c>
      <c r="AT1643" s="27">
        <f>SUM(AK1644:AK1647)</f>
        <v>0</v>
      </c>
      <c r="AU1643" s="27">
        <f>SUM(AL1644:AL1647)</f>
        <v>0</v>
      </c>
    </row>
    <row r="1644" spans="1:75" ht="13.5" customHeight="1">
      <c r="A1644" s="1" t="s">
        <v>3135</v>
      </c>
      <c r="B1644" s="2" t="s">
        <v>2629</v>
      </c>
      <c r="C1644" s="2" t="s">
        <v>3136</v>
      </c>
      <c r="D1644" s="147" t="s">
        <v>3137</v>
      </c>
      <c r="E1644" s="148"/>
      <c r="F1644" s="2" t="s">
        <v>174</v>
      </c>
      <c r="G1644" s="55">
        <v>6</v>
      </c>
      <c r="H1644" s="56">
        <v>0</v>
      </c>
      <c r="I1644" s="55">
        <f>G1644*H1644</f>
        <v>0</v>
      </c>
      <c r="J1644" s="55">
        <v>0</v>
      </c>
      <c r="K1644" s="55">
        <f>G1644*J1644</f>
        <v>0</v>
      </c>
      <c r="L1644" s="57" t="s">
        <v>124</v>
      </c>
      <c r="Z1644" s="55">
        <f>IF(AQ1644="5",BJ1644,0)</f>
        <v>0</v>
      </c>
      <c r="AB1644" s="55">
        <f>IF(AQ1644="1",BH1644,0)</f>
        <v>0</v>
      </c>
      <c r="AC1644" s="55">
        <f>IF(AQ1644="1",BI1644,0)</f>
        <v>0</v>
      </c>
      <c r="AD1644" s="55">
        <f>IF(AQ1644="7",BH1644,0)</f>
        <v>0</v>
      </c>
      <c r="AE1644" s="55">
        <f>IF(AQ1644="7",BI1644,0)</f>
        <v>0</v>
      </c>
      <c r="AF1644" s="55">
        <f>IF(AQ1644="2",BH1644,0)</f>
        <v>0</v>
      </c>
      <c r="AG1644" s="55">
        <f>IF(AQ1644="2",BI1644,0)</f>
        <v>0</v>
      </c>
      <c r="AH1644" s="55">
        <f>IF(AQ1644="0",BJ1644,0)</f>
        <v>0</v>
      </c>
      <c r="AI1644" s="34" t="s">
        <v>2629</v>
      </c>
      <c r="AJ1644" s="55">
        <f>IF(AN1644=0,I1644,0)</f>
        <v>0</v>
      </c>
      <c r="AK1644" s="55">
        <f>IF(AN1644=12,I1644,0)</f>
        <v>0</v>
      </c>
      <c r="AL1644" s="55">
        <f>IF(AN1644=21,I1644,0)</f>
        <v>0</v>
      </c>
      <c r="AN1644" s="55">
        <v>21</v>
      </c>
      <c r="AO1644" s="55">
        <f>H1644*0</f>
        <v>0</v>
      </c>
      <c r="AP1644" s="55">
        <f>H1644*(1-0)</f>
        <v>0</v>
      </c>
      <c r="AQ1644" s="58" t="s">
        <v>125</v>
      </c>
      <c r="AV1644" s="55">
        <f>AW1644+AX1644</f>
        <v>0</v>
      </c>
      <c r="AW1644" s="55">
        <f>G1644*AO1644</f>
        <v>0</v>
      </c>
      <c r="AX1644" s="55">
        <f>G1644*AP1644</f>
        <v>0</v>
      </c>
      <c r="AY1644" s="58" t="s">
        <v>1512</v>
      </c>
      <c r="AZ1644" s="58" t="s">
        <v>3138</v>
      </c>
      <c r="BA1644" s="34" t="s">
        <v>2634</v>
      </c>
      <c r="BC1644" s="55">
        <f>AW1644+AX1644</f>
        <v>0</v>
      </c>
      <c r="BD1644" s="55">
        <f>H1644/(100-BE1644)*100</f>
        <v>0</v>
      </c>
      <c r="BE1644" s="55">
        <v>0</v>
      </c>
      <c r="BF1644" s="55">
        <f>K1644</f>
        <v>0</v>
      </c>
      <c r="BH1644" s="55">
        <f>G1644*AO1644</f>
        <v>0</v>
      </c>
      <c r="BI1644" s="55">
        <f>G1644*AP1644</f>
        <v>0</v>
      </c>
      <c r="BJ1644" s="55">
        <f>G1644*H1644</f>
        <v>0</v>
      </c>
      <c r="BK1644" s="55"/>
      <c r="BL1644" s="55">
        <v>728</v>
      </c>
      <c r="BW1644" s="55">
        <v>21</v>
      </c>
    </row>
    <row r="1645" spans="1:75" ht="13.5" customHeight="1">
      <c r="A1645" s="1" t="s">
        <v>3139</v>
      </c>
      <c r="B1645" s="2" t="s">
        <v>2629</v>
      </c>
      <c r="C1645" s="2" t="s">
        <v>3140</v>
      </c>
      <c r="D1645" s="147" t="s">
        <v>3141</v>
      </c>
      <c r="E1645" s="148"/>
      <c r="F1645" s="2" t="s">
        <v>374</v>
      </c>
      <c r="G1645" s="55">
        <v>1</v>
      </c>
      <c r="H1645" s="56">
        <v>0</v>
      </c>
      <c r="I1645" s="55">
        <f>G1645*H1645</f>
        <v>0</v>
      </c>
      <c r="J1645" s="55">
        <v>0</v>
      </c>
      <c r="K1645" s="55">
        <f>G1645*J1645</f>
        <v>0</v>
      </c>
      <c r="L1645" s="57" t="s">
        <v>124</v>
      </c>
      <c r="Z1645" s="55">
        <f>IF(AQ1645="5",BJ1645,0)</f>
        <v>0</v>
      </c>
      <c r="AB1645" s="55">
        <f>IF(AQ1645="1",BH1645,0)</f>
        <v>0</v>
      </c>
      <c r="AC1645" s="55">
        <f>IF(AQ1645="1",BI1645,0)</f>
        <v>0</v>
      </c>
      <c r="AD1645" s="55">
        <f>IF(AQ1645="7",BH1645,0)</f>
        <v>0</v>
      </c>
      <c r="AE1645" s="55">
        <f>IF(AQ1645="7",BI1645,0)</f>
        <v>0</v>
      </c>
      <c r="AF1645" s="55">
        <f>IF(AQ1645="2",BH1645,0)</f>
        <v>0</v>
      </c>
      <c r="AG1645" s="55">
        <f>IF(AQ1645="2",BI1645,0)</f>
        <v>0</v>
      </c>
      <c r="AH1645" s="55">
        <f>IF(AQ1645="0",BJ1645,0)</f>
        <v>0</v>
      </c>
      <c r="AI1645" s="34" t="s">
        <v>2629</v>
      </c>
      <c r="AJ1645" s="55">
        <f>IF(AN1645=0,I1645,0)</f>
        <v>0</v>
      </c>
      <c r="AK1645" s="55">
        <f>IF(AN1645=12,I1645,0)</f>
        <v>0</v>
      </c>
      <c r="AL1645" s="55">
        <f>IF(AN1645=21,I1645,0)</f>
        <v>0</v>
      </c>
      <c r="AN1645" s="55">
        <v>21</v>
      </c>
      <c r="AO1645" s="55">
        <f>H1645*0</f>
        <v>0</v>
      </c>
      <c r="AP1645" s="55">
        <f>H1645*(1-0)</f>
        <v>0</v>
      </c>
      <c r="AQ1645" s="58" t="s">
        <v>125</v>
      </c>
      <c r="AV1645" s="55">
        <f>AW1645+AX1645</f>
        <v>0</v>
      </c>
      <c r="AW1645" s="55">
        <f>G1645*AO1645</f>
        <v>0</v>
      </c>
      <c r="AX1645" s="55">
        <f>G1645*AP1645</f>
        <v>0</v>
      </c>
      <c r="AY1645" s="58" t="s">
        <v>1512</v>
      </c>
      <c r="AZ1645" s="58" t="s">
        <v>3138</v>
      </c>
      <c r="BA1645" s="34" t="s">
        <v>2634</v>
      </c>
      <c r="BC1645" s="55">
        <f>AW1645+AX1645</f>
        <v>0</v>
      </c>
      <c r="BD1645" s="55">
        <f>H1645/(100-BE1645)*100</f>
        <v>0</v>
      </c>
      <c r="BE1645" s="55">
        <v>0</v>
      </c>
      <c r="BF1645" s="55">
        <f>K1645</f>
        <v>0</v>
      </c>
      <c r="BH1645" s="55">
        <f>G1645*AO1645</f>
        <v>0</v>
      </c>
      <c r="BI1645" s="55">
        <f>G1645*AP1645</f>
        <v>0</v>
      </c>
      <c r="BJ1645" s="55">
        <f>G1645*H1645</f>
        <v>0</v>
      </c>
      <c r="BK1645" s="55"/>
      <c r="BL1645" s="55">
        <v>728</v>
      </c>
      <c r="BW1645" s="55">
        <v>21</v>
      </c>
    </row>
    <row r="1646" spans="1:75" ht="13.5" customHeight="1">
      <c r="A1646" s="61" t="s">
        <v>3142</v>
      </c>
      <c r="B1646" s="62" t="s">
        <v>2629</v>
      </c>
      <c r="C1646" s="62" t="s">
        <v>3143</v>
      </c>
      <c r="D1646" s="224" t="s">
        <v>3144</v>
      </c>
      <c r="E1646" s="225"/>
      <c r="F1646" s="62" t="s">
        <v>374</v>
      </c>
      <c r="G1646" s="63">
        <v>1</v>
      </c>
      <c r="H1646" s="64">
        <v>0</v>
      </c>
      <c r="I1646" s="63">
        <f>G1646*H1646</f>
        <v>0</v>
      </c>
      <c r="J1646" s="63">
        <v>0</v>
      </c>
      <c r="K1646" s="63">
        <f>G1646*J1646</f>
        <v>0</v>
      </c>
      <c r="L1646" s="65" t="s">
        <v>124</v>
      </c>
      <c r="Z1646" s="55">
        <f>IF(AQ1646="5",BJ1646,0)</f>
        <v>0</v>
      </c>
      <c r="AB1646" s="55">
        <f>IF(AQ1646="1",BH1646,0)</f>
        <v>0</v>
      </c>
      <c r="AC1646" s="55">
        <f>IF(AQ1646="1",BI1646,0)</f>
        <v>0</v>
      </c>
      <c r="AD1646" s="55">
        <f>IF(AQ1646="7",BH1646,0)</f>
        <v>0</v>
      </c>
      <c r="AE1646" s="55">
        <f>IF(AQ1646="7",BI1646,0)</f>
        <v>0</v>
      </c>
      <c r="AF1646" s="55">
        <f>IF(AQ1646="2",BH1646,0)</f>
        <v>0</v>
      </c>
      <c r="AG1646" s="55">
        <f>IF(AQ1646="2",BI1646,0)</f>
        <v>0</v>
      </c>
      <c r="AH1646" s="55">
        <f>IF(AQ1646="0",BJ1646,0)</f>
        <v>0</v>
      </c>
      <c r="AI1646" s="34" t="s">
        <v>2629</v>
      </c>
      <c r="AJ1646" s="63">
        <f>IF(AN1646=0,I1646,0)</f>
        <v>0</v>
      </c>
      <c r="AK1646" s="63">
        <f>IF(AN1646=12,I1646,0)</f>
        <v>0</v>
      </c>
      <c r="AL1646" s="63">
        <f>IF(AN1646=21,I1646,0)</f>
        <v>0</v>
      </c>
      <c r="AN1646" s="55">
        <v>21</v>
      </c>
      <c r="AO1646" s="55">
        <f>H1646*1</f>
        <v>0</v>
      </c>
      <c r="AP1646" s="55">
        <f>H1646*(1-1)</f>
        <v>0</v>
      </c>
      <c r="AQ1646" s="66" t="s">
        <v>125</v>
      </c>
      <c r="AV1646" s="55">
        <f>AW1646+AX1646</f>
        <v>0</v>
      </c>
      <c r="AW1646" s="55">
        <f>G1646*AO1646</f>
        <v>0</v>
      </c>
      <c r="AX1646" s="55">
        <f>G1646*AP1646</f>
        <v>0</v>
      </c>
      <c r="AY1646" s="58" t="s">
        <v>1512</v>
      </c>
      <c r="AZ1646" s="58" t="s">
        <v>3138</v>
      </c>
      <c r="BA1646" s="34" t="s">
        <v>2634</v>
      </c>
      <c r="BC1646" s="55">
        <f>AW1646+AX1646</f>
        <v>0</v>
      </c>
      <c r="BD1646" s="55">
        <f>H1646/(100-BE1646)*100</f>
        <v>0</v>
      </c>
      <c r="BE1646" s="55">
        <v>0</v>
      </c>
      <c r="BF1646" s="55">
        <f>K1646</f>
        <v>0</v>
      </c>
      <c r="BH1646" s="63">
        <f>G1646*AO1646</f>
        <v>0</v>
      </c>
      <c r="BI1646" s="63">
        <f>G1646*AP1646</f>
        <v>0</v>
      </c>
      <c r="BJ1646" s="63">
        <f>G1646*H1646</f>
        <v>0</v>
      </c>
      <c r="BK1646" s="63"/>
      <c r="BL1646" s="55">
        <v>728</v>
      </c>
      <c r="BW1646" s="55">
        <v>21</v>
      </c>
    </row>
    <row r="1647" spans="1:75" ht="13.5" customHeight="1">
      <c r="A1647" s="1" t="s">
        <v>3145</v>
      </c>
      <c r="B1647" s="2" t="s">
        <v>2629</v>
      </c>
      <c r="C1647" s="2" t="s">
        <v>3146</v>
      </c>
      <c r="D1647" s="147" t="s">
        <v>3147</v>
      </c>
      <c r="E1647" s="148"/>
      <c r="F1647" s="2" t="s">
        <v>174</v>
      </c>
      <c r="G1647" s="55">
        <v>6</v>
      </c>
      <c r="H1647" s="56">
        <v>0</v>
      </c>
      <c r="I1647" s="55">
        <f>G1647*H1647</f>
        <v>0</v>
      </c>
      <c r="J1647" s="55">
        <v>0</v>
      </c>
      <c r="K1647" s="55">
        <f>G1647*J1647</f>
        <v>0</v>
      </c>
      <c r="L1647" s="57" t="s">
        <v>124</v>
      </c>
      <c r="Z1647" s="55">
        <f>IF(AQ1647="5",BJ1647,0)</f>
        <v>0</v>
      </c>
      <c r="AB1647" s="55">
        <f>IF(AQ1647="1",BH1647,0)</f>
        <v>0</v>
      </c>
      <c r="AC1647" s="55">
        <f>IF(AQ1647="1",BI1647,0)</f>
        <v>0</v>
      </c>
      <c r="AD1647" s="55">
        <f>IF(AQ1647="7",BH1647,0)</f>
        <v>0</v>
      </c>
      <c r="AE1647" s="55">
        <f>IF(AQ1647="7",BI1647,0)</f>
        <v>0</v>
      </c>
      <c r="AF1647" s="55">
        <f>IF(AQ1647="2",BH1647,0)</f>
        <v>0</v>
      </c>
      <c r="AG1647" s="55">
        <f>IF(AQ1647="2",BI1647,0)</f>
        <v>0</v>
      </c>
      <c r="AH1647" s="55">
        <f>IF(AQ1647="0",BJ1647,0)</f>
        <v>0</v>
      </c>
      <c r="AI1647" s="34" t="s">
        <v>2629</v>
      </c>
      <c r="AJ1647" s="55">
        <f>IF(AN1647=0,I1647,0)</f>
        <v>0</v>
      </c>
      <c r="AK1647" s="55">
        <f>IF(AN1647=12,I1647,0)</f>
        <v>0</v>
      </c>
      <c r="AL1647" s="55">
        <f>IF(AN1647=21,I1647,0)</f>
        <v>0</v>
      </c>
      <c r="AN1647" s="55">
        <v>21</v>
      </c>
      <c r="AO1647" s="55">
        <f>H1647*0</f>
        <v>0</v>
      </c>
      <c r="AP1647" s="55">
        <f>H1647*(1-0)</f>
        <v>0</v>
      </c>
      <c r="AQ1647" s="58" t="s">
        <v>125</v>
      </c>
      <c r="AV1647" s="55">
        <f>AW1647+AX1647</f>
        <v>0</v>
      </c>
      <c r="AW1647" s="55">
        <f>G1647*AO1647</f>
        <v>0</v>
      </c>
      <c r="AX1647" s="55">
        <f>G1647*AP1647</f>
        <v>0</v>
      </c>
      <c r="AY1647" s="58" t="s">
        <v>1512</v>
      </c>
      <c r="AZ1647" s="58" t="s">
        <v>3138</v>
      </c>
      <c r="BA1647" s="34" t="s">
        <v>2634</v>
      </c>
      <c r="BC1647" s="55">
        <f>AW1647+AX1647</f>
        <v>0</v>
      </c>
      <c r="BD1647" s="55">
        <f>H1647/(100-BE1647)*100</f>
        <v>0</v>
      </c>
      <c r="BE1647" s="55">
        <v>0</v>
      </c>
      <c r="BF1647" s="55">
        <f>K1647</f>
        <v>0</v>
      </c>
      <c r="BH1647" s="55">
        <f>G1647*AO1647</f>
        <v>0</v>
      </c>
      <c r="BI1647" s="55">
        <f>G1647*AP1647</f>
        <v>0</v>
      </c>
      <c r="BJ1647" s="55">
        <f>G1647*H1647</f>
        <v>0</v>
      </c>
      <c r="BK1647" s="55"/>
      <c r="BL1647" s="55">
        <v>728</v>
      </c>
      <c r="BW1647" s="55">
        <v>21</v>
      </c>
    </row>
    <row r="1648" spans="1:47" ht="14.4">
      <c r="A1648" s="50" t="s">
        <v>4</v>
      </c>
      <c r="B1648" s="51" t="s">
        <v>2629</v>
      </c>
      <c r="C1648" s="51" t="s">
        <v>1532</v>
      </c>
      <c r="D1648" s="222" t="s">
        <v>1533</v>
      </c>
      <c r="E1648" s="223"/>
      <c r="F1648" s="52" t="s">
        <v>79</v>
      </c>
      <c r="G1648" s="52" t="s">
        <v>79</v>
      </c>
      <c r="H1648" s="53" t="s">
        <v>79</v>
      </c>
      <c r="I1648" s="27">
        <f>SUM(I1649:I1659)</f>
        <v>0</v>
      </c>
      <c r="J1648" s="34" t="s">
        <v>4</v>
      </c>
      <c r="K1648" s="27">
        <f>SUM(K1649:K1659)</f>
        <v>0</v>
      </c>
      <c r="L1648" s="54" t="s">
        <v>4</v>
      </c>
      <c r="AI1648" s="34" t="s">
        <v>2629</v>
      </c>
      <c r="AS1648" s="27">
        <f>SUM(AJ1649:AJ1659)</f>
        <v>0</v>
      </c>
      <c r="AT1648" s="27">
        <f>SUM(AK1649:AK1659)</f>
        <v>0</v>
      </c>
      <c r="AU1648" s="27">
        <f>SUM(AL1649:AL1659)</f>
        <v>0</v>
      </c>
    </row>
    <row r="1649" spans="1:75" ht="13.5" customHeight="1">
      <c r="A1649" s="1" t="s">
        <v>3148</v>
      </c>
      <c r="B1649" s="2" t="s">
        <v>2629</v>
      </c>
      <c r="C1649" s="2" t="s">
        <v>3149</v>
      </c>
      <c r="D1649" s="147" t="s">
        <v>3150</v>
      </c>
      <c r="E1649" s="148"/>
      <c r="F1649" s="2" t="s">
        <v>360</v>
      </c>
      <c r="G1649" s="55">
        <v>64</v>
      </c>
      <c r="H1649" s="56">
        <v>0</v>
      </c>
      <c r="I1649" s="55">
        <f aca="true" t="shared" si="396" ref="I1649:I1659">G1649*H1649</f>
        <v>0</v>
      </c>
      <c r="J1649" s="55">
        <v>0</v>
      </c>
      <c r="K1649" s="55">
        <f aca="true" t="shared" si="397" ref="K1649:K1659">G1649*J1649</f>
        <v>0</v>
      </c>
      <c r="L1649" s="57" t="s">
        <v>124</v>
      </c>
      <c r="Z1649" s="55">
        <f aca="true" t="shared" si="398" ref="Z1649:Z1659">IF(AQ1649="5",BJ1649,0)</f>
        <v>0</v>
      </c>
      <c r="AB1649" s="55">
        <f aca="true" t="shared" si="399" ref="AB1649:AB1659">IF(AQ1649="1",BH1649,0)</f>
        <v>0</v>
      </c>
      <c r="AC1649" s="55">
        <f aca="true" t="shared" si="400" ref="AC1649:AC1659">IF(AQ1649="1",BI1649,0)</f>
        <v>0</v>
      </c>
      <c r="AD1649" s="55">
        <f aca="true" t="shared" si="401" ref="AD1649:AD1659">IF(AQ1649="7",BH1649,0)</f>
        <v>0</v>
      </c>
      <c r="AE1649" s="55">
        <f aca="true" t="shared" si="402" ref="AE1649:AE1659">IF(AQ1649="7",BI1649,0)</f>
        <v>0</v>
      </c>
      <c r="AF1649" s="55">
        <f aca="true" t="shared" si="403" ref="AF1649:AF1659">IF(AQ1649="2",BH1649,0)</f>
        <v>0</v>
      </c>
      <c r="AG1649" s="55">
        <f aca="true" t="shared" si="404" ref="AG1649:AG1659">IF(AQ1649="2",BI1649,0)</f>
        <v>0</v>
      </c>
      <c r="AH1649" s="55">
        <f aca="true" t="shared" si="405" ref="AH1649:AH1659">IF(AQ1649="0",BJ1649,0)</f>
        <v>0</v>
      </c>
      <c r="AI1649" s="34" t="s">
        <v>2629</v>
      </c>
      <c r="AJ1649" s="55">
        <f aca="true" t="shared" si="406" ref="AJ1649:AJ1659">IF(AN1649=0,I1649,0)</f>
        <v>0</v>
      </c>
      <c r="AK1649" s="55">
        <f aca="true" t="shared" si="407" ref="AK1649:AK1659">IF(AN1649=12,I1649,0)</f>
        <v>0</v>
      </c>
      <c r="AL1649" s="55">
        <f aca="true" t="shared" si="408" ref="AL1649:AL1659">IF(AN1649=21,I1649,0)</f>
        <v>0</v>
      </c>
      <c r="AN1649" s="55">
        <v>21</v>
      </c>
      <c r="AO1649" s="55">
        <f>H1649*0</f>
        <v>0</v>
      </c>
      <c r="AP1649" s="55">
        <f>H1649*(1-0)</f>
        <v>0</v>
      </c>
      <c r="AQ1649" s="58" t="s">
        <v>125</v>
      </c>
      <c r="AV1649" s="55">
        <f aca="true" t="shared" si="409" ref="AV1649:AV1659">AW1649+AX1649</f>
        <v>0</v>
      </c>
      <c r="AW1649" s="55">
        <f aca="true" t="shared" si="410" ref="AW1649:AW1659">G1649*AO1649</f>
        <v>0</v>
      </c>
      <c r="AX1649" s="55">
        <f aca="true" t="shared" si="411" ref="AX1649:AX1659">G1649*AP1649</f>
        <v>0</v>
      </c>
      <c r="AY1649" s="58" t="s">
        <v>1537</v>
      </c>
      <c r="AZ1649" s="58" t="s">
        <v>3151</v>
      </c>
      <c r="BA1649" s="34" t="s">
        <v>2634</v>
      </c>
      <c r="BC1649" s="55">
        <f aca="true" t="shared" si="412" ref="BC1649:BC1659">AW1649+AX1649</f>
        <v>0</v>
      </c>
      <c r="BD1649" s="55">
        <f aca="true" t="shared" si="413" ref="BD1649:BD1659">H1649/(100-BE1649)*100</f>
        <v>0</v>
      </c>
      <c r="BE1649" s="55">
        <v>0</v>
      </c>
      <c r="BF1649" s="55">
        <f aca="true" t="shared" si="414" ref="BF1649:BF1659">K1649</f>
        <v>0</v>
      </c>
      <c r="BH1649" s="55">
        <f aca="true" t="shared" si="415" ref="BH1649:BH1659">G1649*AO1649</f>
        <v>0</v>
      </c>
      <c r="BI1649" s="55">
        <f aca="true" t="shared" si="416" ref="BI1649:BI1659">G1649*AP1649</f>
        <v>0</v>
      </c>
      <c r="BJ1649" s="55">
        <f aca="true" t="shared" si="417" ref="BJ1649:BJ1659">G1649*H1649</f>
        <v>0</v>
      </c>
      <c r="BK1649" s="55"/>
      <c r="BL1649" s="55">
        <v>732</v>
      </c>
      <c r="BW1649" s="55">
        <v>21</v>
      </c>
    </row>
    <row r="1650" spans="1:75" ht="27" customHeight="1">
      <c r="A1650" s="1" t="s">
        <v>3152</v>
      </c>
      <c r="B1650" s="2" t="s">
        <v>2629</v>
      </c>
      <c r="C1650" s="2" t="s">
        <v>3153</v>
      </c>
      <c r="D1650" s="147" t="s">
        <v>3154</v>
      </c>
      <c r="E1650" s="148"/>
      <c r="F1650" s="2" t="s">
        <v>360</v>
      </c>
      <c r="G1650" s="55">
        <v>2</v>
      </c>
      <c r="H1650" s="56">
        <v>0</v>
      </c>
      <c r="I1650" s="55">
        <f t="shared" si="396"/>
        <v>0</v>
      </c>
      <c r="J1650" s="55">
        <v>0</v>
      </c>
      <c r="K1650" s="55">
        <f t="shared" si="397"/>
        <v>0</v>
      </c>
      <c r="L1650" s="57" t="s">
        <v>124</v>
      </c>
      <c r="Z1650" s="55">
        <f t="shared" si="398"/>
        <v>0</v>
      </c>
      <c r="AB1650" s="55">
        <f t="shared" si="399"/>
        <v>0</v>
      </c>
      <c r="AC1650" s="55">
        <f t="shared" si="400"/>
        <v>0</v>
      </c>
      <c r="AD1650" s="55">
        <f t="shared" si="401"/>
        <v>0</v>
      </c>
      <c r="AE1650" s="55">
        <f t="shared" si="402"/>
        <v>0</v>
      </c>
      <c r="AF1650" s="55">
        <f t="shared" si="403"/>
        <v>0</v>
      </c>
      <c r="AG1650" s="55">
        <f t="shared" si="404"/>
        <v>0</v>
      </c>
      <c r="AH1650" s="55">
        <f t="shared" si="405"/>
        <v>0</v>
      </c>
      <c r="AI1650" s="34" t="s">
        <v>2629</v>
      </c>
      <c r="AJ1650" s="55">
        <f t="shared" si="406"/>
        <v>0</v>
      </c>
      <c r="AK1650" s="55">
        <f t="shared" si="407"/>
        <v>0</v>
      </c>
      <c r="AL1650" s="55">
        <f t="shared" si="408"/>
        <v>0</v>
      </c>
      <c r="AN1650" s="55">
        <v>21</v>
      </c>
      <c r="AO1650" s="55">
        <f>H1650*0</f>
        <v>0</v>
      </c>
      <c r="AP1650" s="55">
        <f>H1650*(1-0)</f>
        <v>0</v>
      </c>
      <c r="AQ1650" s="58" t="s">
        <v>125</v>
      </c>
      <c r="AV1650" s="55">
        <f t="shared" si="409"/>
        <v>0</v>
      </c>
      <c r="AW1650" s="55">
        <f t="shared" si="410"/>
        <v>0</v>
      </c>
      <c r="AX1650" s="55">
        <f t="shared" si="411"/>
        <v>0</v>
      </c>
      <c r="AY1650" s="58" t="s">
        <v>1537</v>
      </c>
      <c r="AZ1650" s="58" t="s">
        <v>3151</v>
      </c>
      <c r="BA1650" s="34" t="s">
        <v>2634</v>
      </c>
      <c r="BC1650" s="55">
        <f t="shared" si="412"/>
        <v>0</v>
      </c>
      <c r="BD1650" s="55">
        <f t="shared" si="413"/>
        <v>0</v>
      </c>
      <c r="BE1650" s="55">
        <v>0</v>
      </c>
      <c r="BF1650" s="55">
        <f t="shared" si="414"/>
        <v>0</v>
      </c>
      <c r="BH1650" s="55">
        <f t="shared" si="415"/>
        <v>0</v>
      </c>
      <c r="BI1650" s="55">
        <f t="shared" si="416"/>
        <v>0</v>
      </c>
      <c r="BJ1650" s="55">
        <f t="shared" si="417"/>
        <v>0</v>
      </c>
      <c r="BK1650" s="55"/>
      <c r="BL1650" s="55">
        <v>732</v>
      </c>
      <c r="BW1650" s="55">
        <v>21</v>
      </c>
    </row>
    <row r="1651" spans="1:75" ht="27" customHeight="1">
      <c r="A1651" s="61" t="s">
        <v>3155</v>
      </c>
      <c r="B1651" s="62" t="s">
        <v>2629</v>
      </c>
      <c r="C1651" s="62" t="s">
        <v>3156</v>
      </c>
      <c r="D1651" s="224" t="s">
        <v>3157</v>
      </c>
      <c r="E1651" s="225"/>
      <c r="F1651" s="62" t="s">
        <v>374</v>
      </c>
      <c r="G1651" s="63">
        <v>1</v>
      </c>
      <c r="H1651" s="64">
        <v>0</v>
      </c>
      <c r="I1651" s="63">
        <f t="shared" si="396"/>
        <v>0</v>
      </c>
      <c r="J1651" s="63">
        <v>0</v>
      </c>
      <c r="K1651" s="63">
        <f t="shared" si="397"/>
        <v>0</v>
      </c>
      <c r="L1651" s="65" t="s">
        <v>124</v>
      </c>
      <c r="Z1651" s="55">
        <f t="shared" si="398"/>
        <v>0</v>
      </c>
      <c r="AB1651" s="55">
        <f t="shared" si="399"/>
        <v>0</v>
      </c>
      <c r="AC1651" s="55">
        <f t="shared" si="400"/>
        <v>0</v>
      </c>
      <c r="AD1651" s="55">
        <f t="shared" si="401"/>
        <v>0</v>
      </c>
      <c r="AE1651" s="55">
        <f t="shared" si="402"/>
        <v>0</v>
      </c>
      <c r="AF1651" s="55">
        <f t="shared" si="403"/>
        <v>0</v>
      </c>
      <c r="AG1651" s="55">
        <f t="shared" si="404"/>
        <v>0</v>
      </c>
      <c r="AH1651" s="55">
        <f t="shared" si="405"/>
        <v>0</v>
      </c>
      <c r="AI1651" s="34" t="s">
        <v>2629</v>
      </c>
      <c r="AJ1651" s="63">
        <f t="shared" si="406"/>
        <v>0</v>
      </c>
      <c r="AK1651" s="63">
        <f t="shared" si="407"/>
        <v>0</v>
      </c>
      <c r="AL1651" s="63">
        <f t="shared" si="408"/>
        <v>0</v>
      </c>
      <c r="AN1651" s="55">
        <v>21</v>
      </c>
      <c r="AO1651" s="55">
        <f aca="true" t="shared" si="418" ref="AO1651:AO1659">H1651*1</f>
        <v>0</v>
      </c>
      <c r="AP1651" s="55">
        <f aca="true" t="shared" si="419" ref="AP1651:AP1659">H1651*(1-1)</f>
        <v>0</v>
      </c>
      <c r="AQ1651" s="66" t="s">
        <v>125</v>
      </c>
      <c r="AV1651" s="55">
        <f t="shared" si="409"/>
        <v>0</v>
      </c>
      <c r="AW1651" s="55">
        <f t="shared" si="410"/>
        <v>0</v>
      </c>
      <c r="AX1651" s="55">
        <f t="shared" si="411"/>
        <v>0</v>
      </c>
      <c r="AY1651" s="58" t="s">
        <v>1537</v>
      </c>
      <c r="AZ1651" s="58" t="s">
        <v>3151</v>
      </c>
      <c r="BA1651" s="34" t="s">
        <v>2634</v>
      </c>
      <c r="BC1651" s="55">
        <f t="shared" si="412"/>
        <v>0</v>
      </c>
      <c r="BD1651" s="55">
        <f t="shared" si="413"/>
        <v>0</v>
      </c>
      <c r="BE1651" s="55">
        <v>0</v>
      </c>
      <c r="BF1651" s="55">
        <f t="shared" si="414"/>
        <v>0</v>
      </c>
      <c r="BH1651" s="63">
        <f t="shared" si="415"/>
        <v>0</v>
      </c>
      <c r="BI1651" s="63">
        <f t="shared" si="416"/>
        <v>0</v>
      </c>
      <c r="BJ1651" s="63">
        <f t="shared" si="417"/>
        <v>0</v>
      </c>
      <c r="BK1651" s="63"/>
      <c r="BL1651" s="55">
        <v>732</v>
      </c>
      <c r="BW1651" s="55">
        <v>21</v>
      </c>
    </row>
    <row r="1652" spans="1:75" ht="13.5" customHeight="1">
      <c r="A1652" s="61" t="s">
        <v>3158</v>
      </c>
      <c r="B1652" s="62" t="s">
        <v>2629</v>
      </c>
      <c r="C1652" s="62" t="s">
        <v>3159</v>
      </c>
      <c r="D1652" s="224" t="s">
        <v>3160</v>
      </c>
      <c r="E1652" s="225"/>
      <c r="F1652" s="62" t="s">
        <v>374</v>
      </c>
      <c r="G1652" s="63">
        <v>1</v>
      </c>
      <c r="H1652" s="64">
        <v>0</v>
      </c>
      <c r="I1652" s="63">
        <f t="shared" si="396"/>
        <v>0</v>
      </c>
      <c r="J1652" s="63">
        <v>0</v>
      </c>
      <c r="K1652" s="63">
        <f t="shared" si="397"/>
        <v>0</v>
      </c>
      <c r="L1652" s="65" t="s">
        <v>124</v>
      </c>
      <c r="Z1652" s="55">
        <f t="shared" si="398"/>
        <v>0</v>
      </c>
      <c r="AB1652" s="55">
        <f t="shared" si="399"/>
        <v>0</v>
      </c>
      <c r="AC1652" s="55">
        <f t="shared" si="400"/>
        <v>0</v>
      </c>
      <c r="AD1652" s="55">
        <f t="shared" si="401"/>
        <v>0</v>
      </c>
      <c r="AE1652" s="55">
        <f t="shared" si="402"/>
        <v>0</v>
      </c>
      <c r="AF1652" s="55">
        <f t="shared" si="403"/>
        <v>0</v>
      </c>
      <c r="AG1652" s="55">
        <f t="shared" si="404"/>
        <v>0</v>
      </c>
      <c r="AH1652" s="55">
        <f t="shared" si="405"/>
        <v>0</v>
      </c>
      <c r="AI1652" s="34" t="s">
        <v>2629</v>
      </c>
      <c r="AJ1652" s="63">
        <f t="shared" si="406"/>
        <v>0</v>
      </c>
      <c r="AK1652" s="63">
        <f t="shared" si="407"/>
        <v>0</v>
      </c>
      <c r="AL1652" s="63">
        <f t="shared" si="408"/>
        <v>0</v>
      </c>
      <c r="AN1652" s="55">
        <v>21</v>
      </c>
      <c r="AO1652" s="55">
        <f t="shared" si="418"/>
        <v>0</v>
      </c>
      <c r="AP1652" s="55">
        <f t="shared" si="419"/>
        <v>0</v>
      </c>
      <c r="AQ1652" s="66" t="s">
        <v>125</v>
      </c>
      <c r="AV1652" s="55">
        <f t="shared" si="409"/>
        <v>0</v>
      </c>
      <c r="AW1652" s="55">
        <f t="shared" si="410"/>
        <v>0</v>
      </c>
      <c r="AX1652" s="55">
        <f t="shared" si="411"/>
        <v>0</v>
      </c>
      <c r="AY1652" s="58" t="s">
        <v>1537</v>
      </c>
      <c r="AZ1652" s="58" t="s">
        <v>3151</v>
      </c>
      <c r="BA1652" s="34" t="s">
        <v>2634</v>
      </c>
      <c r="BC1652" s="55">
        <f t="shared" si="412"/>
        <v>0</v>
      </c>
      <c r="BD1652" s="55">
        <f t="shared" si="413"/>
        <v>0</v>
      </c>
      <c r="BE1652" s="55">
        <v>0</v>
      </c>
      <c r="BF1652" s="55">
        <f t="shared" si="414"/>
        <v>0</v>
      </c>
      <c r="BH1652" s="63">
        <f t="shared" si="415"/>
        <v>0</v>
      </c>
      <c r="BI1652" s="63">
        <f t="shared" si="416"/>
        <v>0</v>
      </c>
      <c r="BJ1652" s="63">
        <f t="shared" si="417"/>
        <v>0</v>
      </c>
      <c r="BK1652" s="63"/>
      <c r="BL1652" s="55">
        <v>732</v>
      </c>
      <c r="BW1652" s="55">
        <v>21</v>
      </c>
    </row>
    <row r="1653" spans="1:75" ht="13.5" customHeight="1">
      <c r="A1653" s="61" t="s">
        <v>3161</v>
      </c>
      <c r="B1653" s="62" t="s">
        <v>2629</v>
      </c>
      <c r="C1653" s="62" t="s">
        <v>3162</v>
      </c>
      <c r="D1653" s="224" t="s">
        <v>3163</v>
      </c>
      <c r="E1653" s="225"/>
      <c r="F1653" s="62" t="s">
        <v>374</v>
      </c>
      <c r="G1653" s="63">
        <v>1</v>
      </c>
      <c r="H1653" s="64">
        <v>0</v>
      </c>
      <c r="I1653" s="63">
        <f t="shared" si="396"/>
        <v>0</v>
      </c>
      <c r="J1653" s="63">
        <v>0</v>
      </c>
      <c r="K1653" s="63">
        <f t="shared" si="397"/>
        <v>0</v>
      </c>
      <c r="L1653" s="65" t="s">
        <v>124</v>
      </c>
      <c r="Z1653" s="55">
        <f t="shared" si="398"/>
        <v>0</v>
      </c>
      <c r="AB1653" s="55">
        <f t="shared" si="399"/>
        <v>0</v>
      </c>
      <c r="AC1653" s="55">
        <f t="shared" si="400"/>
        <v>0</v>
      </c>
      <c r="AD1653" s="55">
        <f t="shared" si="401"/>
        <v>0</v>
      </c>
      <c r="AE1653" s="55">
        <f t="shared" si="402"/>
        <v>0</v>
      </c>
      <c r="AF1653" s="55">
        <f t="shared" si="403"/>
        <v>0</v>
      </c>
      <c r="AG1653" s="55">
        <f t="shared" si="404"/>
        <v>0</v>
      </c>
      <c r="AH1653" s="55">
        <f t="shared" si="405"/>
        <v>0</v>
      </c>
      <c r="AI1653" s="34" t="s">
        <v>2629</v>
      </c>
      <c r="AJ1653" s="63">
        <f t="shared" si="406"/>
        <v>0</v>
      </c>
      <c r="AK1653" s="63">
        <f t="shared" si="407"/>
        <v>0</v>
      </c>
      <c r="AL1653" s="63">
        <f t="shared" si="408"/>
        <v>0</v>
      </c>
      <c r="AN1653" s="55">
        <v>21</v>
      </c>
      <c r="AO1653" s="55">
        <f t="shared" si="418"/>
        <v>0</v>
      </c>
      <c r="AP1653" s="55">
        <f t="shared" si="419"/>
        <v>0</v>
      </c>
      <c r="AQ1653" s="66" t="s">
        <v>125</v>
      </c>
      <c r="AV1653" s="55">
        <f t="shared" si="409"/>
        <v>0</v>
      </c>
      <c r="AW1653" s="55">
        <f t="shared" si="410"/>
        <v>0</v>
      </c>
      <c r="AX1653" s="55">
        <f t="shared" si="411"/>
        <v>0</v>
      </c>
      <c r="AY1653" s="58" t="s">
        <v>1537</v>
      </c>
      <c r="AZ1653" s="58" t="s">
        <v>3151</v>
      </c>
      <c r="BA1653" s="34" t="s">
        <v>2634</v>
      </c>
      <c r="BC1653" s="55">
        <f t="shared" si="412"/>
        <v>0</v>
      </c>
      <c r="BD1653" s="55">
        <f t="shared" si="413"/>
        <v>0</v>
      </c>
      <c r="BE1653" s="55">
        <v>0</v>
      </c>
      <c r="BF1653" s="55">
        <f t="shared" si="414"/>
        <v>0</v>
      </c>
      <c r="BH1653" s="63">
        <f t="shared" si="415"/>
        <v>0</v>
      </c>
      <c r="BI1653" s="63">
        <f t="shared" si="416"/>
        <v>0</v>
      </c>
      <c r="BJ1653" s="63">
        <f t="shared" si="417"/>
        <v>0</v>
      </c>
      <c r="BK1653" s="63"/>
      <c r="BL1653" s="55">
        <v>732</v>
      </c>
      <c r="BW1653" s="55">
        <v>21</v>
      </c>
    </row>
    <row r="1654" spans="1:75" ht="13.5" customHeight="1">
      <c r="A1654" s="61" t="s">
        <v>3164</v>
      </c>
      <c r="B1654" s="62" t="s">
        <v>2629</v>
      </c>
      <c r="C1654" s="62" t="s">
        <v>3165</v>
      </c>
      <c r="D1654" s="224" t="s">
        <v>3166</v>
      </c>
      <c r="E1654" s="225"/>
      <c r="F1654" s="62" t="s">
        <v>374</v>
      </c>
      <c r="G1654" s="63">
        <v>2</v>
      </c>
      <c r="H1654" s="64">
        <v>0</v>
      </c>
      <c r="I1654" s="63">
        <f t="shared" si="396"/>
        <v>0</v>
      </c>
      <c r="J1654" s="63">
        <v>0</v>
      </c>
      <c r="K1654" s="63">
        <f t="shared" si="397"/>
        <v>0</v>
      </c>
      <c r="L1654" s="65" t="s">
        <v>124</v>
      </c>
      <c r="Z1654" s="55">
        <f t="shared" si="398"/>
        <v>0</v>
      </c>
      <c r="AB1654" s="55">
        <f t="shared" si="399"/>
        <v>0</v>
      </c>
      <c r="AC1654" s="55">
        <f t="shared" si="400"/>
        <v>0</v>
      </c>
      <c r="AD1654" s="55">
        <f t="shared" si="401"/>
        <v>0</v>
      </c>
      <c r="AE1654" s="55">
        <f t="shared" si="402"/>
        <v>0</v>
      </c>
      <c r="AF1654" s="55">
        <f t="shared" si="403"/>
        <v>0</v>
      </c>
      <c r="AG1654" s="55">
        <f t="shared" si="404"/>
        <v>0</v>
      </c>
      <c r="AH1654" s="55">
        <f t="shared" si="405"/>
        <v>0</v>
      </c>
      <c r="AI1654" s="34" t="s">
        <v>2629</v>
      </c>
      <c r="AJ1654" s="63">
        <f t="shared" si="406"/>
        <v>0</v>
      </c>
      <c r="AK1654" s="63">
        <f t="shared" si="407"/>
        <v>0</v>
      </c>
      <c r="AL1654" s="63">
        <f t="shared" si="408"/>
        <v>0</v>
      </c>
      <c r="AN1654" s="55">
        <v>21</v>
      </c>
      <c r="AO1654" s="55">
        <f t="shared" si="418"/>
        <v>0</v>
      </c>
      <c r="AP1654" s="55">
        <f t="shared" si="419"/>
        <v>0</v>
      </c>
      <c r="AQ1654" s="66" t="s">
        <v>125</v>
      </c>
      <c r="AV1654" s="55">
        <f t="shared" si="409"/>
        <v>0</v>
      </c>
      <c r="AW1654" s="55">
        <f t="shared" si="410"/>
        <v>0</v>
      </c>
      <c r="AX1654" s="55">
        <f t="shared" si="411"/>
        <v>0</v>
      </c>
      <c r="AY1654" s="58" t="s">
        <v>1537</v>
      </c>
      <c r="AZ1654" s="58" t="s">
        <v>3151</v>
      </c>
      <c r="BA1654" s="34" t="s">
        <v>2634</v>
      </c>
      <c r="BC1654" s="55">
        <f t="shared" si="412"/>
        <v>0</v>
      </c>
      <c r="BD1654" s="55">
        <f t="shared" si="413"/>
        <v>0</v>
      </c>
      <c r="BE1654" s="55">
        <v>0</v>
      </c>
      <c r="BF1654" s="55">
        <f t="shared" si="414"/>
        <v>0</v>
      </c>
      <c r="BH1654" s="63">
        <f t="shared" si="415"/>
        <v>0</v>
      </c>
      <c r="BI1654" s="63">
        <f t="shared" si="416"/>
        <v>0</v>
      </c>
      <c r="BJ1654" s="63">
        <f t="shared" si="417"/>
        <v>0</v>
      </c>
      <c r="BK1654" s="63"/>
      <c r="BL1654" s="55">
        <v>732</v>
      </c>
      <c r="BW1654" s="55">
        <v>21</v>
      </c>
    </row>
    <row r="1655" spans="1:75" ht="13.5" customHeight="1">
      <c r="A1655" s="61" t="s">
        <v>3167</v>
      </c>
      <c r="B1655" s="62" t="s">
        <v>2629</v>
      </c>
      <c r="C1655" s="62" t="s">
        <v>3168</v>
      </c>
      <c r="D1655" s="224" t="s">
        <v>3169</v>
      </c>
      <c r="E1655" s="225"/>
      <c r="F1655" s="62" t="s">
        <v>374</v>
      </c>
      <c r="G1655" s="63">
        <v>1</v>
      </c>
      <c r="H1655" s="64">
        <v>0</v>
      </c>
      <c r="I1655" s="63">
        <f t="shared" si="396"/>
        <v>0</v>
      </c>
      <c r="J1655" s="63">
        <v>0</v>
      </c>
      <c r="K1655" s="63">
        <f t="shared" si="397"/>
        <v>0</v>
      </c>
      <c r="L1655" s="65" t="s">
        <v>124</v>
      </c>
      <c r="Z1655" s="55">
        <f t="shared" si="398"/>
        <v>0</v>
      </c>
      <c r="AB1655" s="55">
        <f t="shared" si="399"/>
        <v>0</v>
      </c>
      <c r="AC1655" s="55">
        <f t="shared" si="400"/>
        <v>0</v>
      </c>
      <c r="AD1655" s="55">
        <f t="shared" si="401"/>
        <v>0</v>
      </c>
      <c r="AE1655" s="55">
        <f t="shared" si="402"/>
        <v>0</v>
      </c>
      <c r="AF1655" s="55">
        <f t="shared" si="403"/>
        <v>0</v>
      </c>
      <c r="AG1655" s="55">
        <f t="shared" si="404"/>
        <v>0</v>
      </c>
      <c r="AH1655" s="55">
        <f t="shared" si="405"/>
        <v>0</v>
      </c>
      <c r="AI1655" s="34" t="s">
        <v>2629</v>
      </c>
      <c r="AJ1655" s="63">
        <f t="shared" si="406"/>
        <v>0</v>
      </c>
      <c r="AK1655" s="63">
        <f t="shared" si="407"/>
        <v>0</v>
      </c>
      <c r="AL1655" s="63">
        <f t="shared" si="408"/>
        <v>0</v>
      </c>
      <c r="AN1655" s="55">
        <v>21</v>
      </c>
      <c r="AO1655" s="55">
        <f t="shared" si="418"/>
        <v>0</v>
      </c>
      <c r="AP1655" s="55">
        <f t="shared" si="419"/>
        <v>0</v>
      </c>
      <c r="AQ1655" s="66" t="s">
        <v>125</v>
      </c>
      <c r="AV1655" s="55">
        <f t="shared" si="409"/>
        <v>0</v>
      </c>
      <c r="AW1655" s="55">
        <f t="shared" si="410"/>
        <v>0</v>
      </c>
      <c r="AX1655" s="55">
        <f t="shared" si="411"/>
        <v>0</v>
      </c>
      <c r="AY1655" s="58" t="s">
        <v>1537</v>
      </c>
      <c r="AZ1655" s="58" t="s">
        <v>3151</v>
      </c>
      <c r="BA1655" s="34" t="s">
        <v>2634</v>
      </c>
      <c r="BC1655" s="55">
        <f t="shared" si="412"/>
        <v>0</v>
      </c>
      <c r="BD1655" s="55">
        <f t="shared" si="413"/>
        <v>0</v>
      </c>
      <c r="BE1655" s="55">
        <v>0</v>
      </c>
      <c r="BF1655" s="55">
        <f t="shared" si="414"/>
        <v>0</v>
      </c>
      <c r="BH1655" s="63">
        <f t="shared" si="415"/>
        <v>0</v>
      </c>
      <c r="BI1655" s="63">
        <f t="shared" si="416"/>
        <v>0</v>
      </c>
      <c r="BJ1655" s="63">
        <f t="shared" si="417"/>
        <v>0</v>
      </c>
      <c r="BK1655" s="63"/>
      <c r="BL1655" s="55">
        <v>732</v>
      </c>
      <c r="BW1655" s="55">
        <v>21</v>
      </c>
    </row>
    <row r="1656" spans="1:75" ht="13.5" customHeight="1">
      <c r="A1656" s="61" t="s">
        <v>3170</v>
      </c>
      <c r="B1656" s="62" t="s">
        <v>2629</v>
      </c>
      <c r="C1656" s="62" t="s">
        <v>3171</v>
      </c>
      <c r="D1656" s="224" t="s">
        <v>3172</v>
      </c>
      <c r="E1656" s="225"/>
      <c r="F1656" s="62" t="s">
        <v>374</v>
      </c>
      <c r="G1656" s="63">
        <v>1</v>
      </c>
      <c r="H1656" s="64">
        <v>0</v>
      </c>
      <c r="I1656" s="63">
        <f t="shared" si="396"/>
        <v>0</v>
      </c>
      <c r="J1656" s="63">
        <v>0</v>
      </c>
      <c r="K1656" s="63">
        <f t="shared" si="397"/>
        <v>0</v>
      </c>
      <c r="L1656" s="65" t="s">
        <v>124</v>
      </c>
      <c r="Z1656" s="55">
        <f t="shared" si="398"/>
        <v>0</v>
      </c>
      <c r="AB1656" s="55">
        <f t="shared" si="399"/>
        <v>0</v>
      </c>
      <c r="AC1656" s="55">
        <f t="shared" si="400"/>
        <v>0</v>
      </c>
      <c r="AD1656" s="55">
        <f t="shared" si="401"/>
        <v>0</v>
      </c>
      <c r="AE1656" s="55">
        <f t="shared" si="402"/>
        <v>0</v>
      </c>
      <c r="AF1656" s="55">
        <f t="shared" si="403"/>
        <v>0</v>
      </c>
      <c r="AG1656" s="55">
        <f t="shared" si="404"/>
        <v>0</v>
      </c>
      <c r="AH1656" s="55">
        <f t="shared" si="405"/>
        <v>0</v>
      </c>
      <c r="AI1656" s="34" t="s">
        <v>2629</v>
      </c>
      <c r="AJ1656" s="63">
        <f t="shared" si="406"/>
        <v>0</v>
      </c>
      <c r="AK1656" s="63">
        <f t="shared" si="407"/>
        <v>0</v>
      </c>
      <c r="AL1656" s="63">
        <f t="shared" si="408"/>
        <v>0</v>
      </c>
      <c r="AN1656" s="55">
        <v>21</v>
      </c>
      <c r="AO1656" s="55">
        <f t="shared" si="418"/>
        <v>0</v>
      </c>
      <c r="AP1656" s="55">
        <f t="shared" si="419"/>
        <v>0</v>
      </c>
      <c r="AQ1656" s="66" t="s">
        <v>125</v>
      </c>
      <c r="AV1656" s="55">
        <f t="shared" si="409"/>
        <v>0</v>
      </c>
      <c r="AW1656" s="55">
        <f t="shared" si="410"/>
        <v>0</v>
      </c>
      <c r="AX1656" s="55">
        <f t="shared" si="411"/>
        <v>0</v>
      </c>
      <c r="AY1656" s="58" t="s">
        <v>1537</v>
      </c>
      <c r="AZ1656" s="58" t="s">
        <v>3151</v>
      </c>
      <c r="BA1656" s="34" t="s">
        <v>2634</v>
      </c>
      <c r="BC1656" s="55">
        <f t="shared" si="412"/>
        <v>0</v>
      </c>
      <c r="BD1656" s="55">
        <f t="shared" si="413"/>
        <v>0</v>
      </c>
      <c r="BE1656" s="55">
        <v>0</v>
      </c>
      <c r="BF1656" s="55">
        <f t="shared" si="414"/>
        <v>0</v>
      </c>
      <c r="BH1656" s="63">
        <f t="shared" si="415"/>
        <v>0</v>
      </c>
      <c r="BI1656" s="63">
        <f t="shared" si="416"/>
        <v>0</v>
      </c>
      <c r="BJ1656" s="63">
        <f t="shared" si="417"/>
        <v>0</v>
      </c>
      <c r="BK1656" s="63"/>
      <c r="BL1656" s="55">
        <v>732</v>
      </c>
      <c r="BW1656" s="55">
        <v>21</v>
      </c>
    </row>
    <row r="1657" spans="1:75" ht="13.5" customHeight="1">
      <c r="A1657" s="61" t="s">
        <v>3173</v>
      </c>
      <c r="B1657" s="62" t="s">
        <v>2629</v>
      </c>
      <c r="C1657" s="62" t="s">
        <v>3174</v>
      </c>
      <c r="D1657" s="224" t="s">
        <v>3175</v>
      </c>
      <c r="E1657" s="225"/>
      <c r="F1657" s="62" t="s">
        <v>374</v>
      </c>
      <c r="G1657" s="63">
        <v>2</v>
      </c>
      <c r="H1657" s="64">
        <v>0</v>
      </c>
      <c r="I1657" s="63">
        <f t="shared" si="396"/>
        <v>0</v>
      </c>
      <c r="J1657" s="63">
        <v>0</v>
      </c>
      <c r="K1657" s="63">
        <f t="shared" si="397"/>
        <v>0</v>
      </c>
      <c r="L1657" s="65" t="s">
        <v>124</v>
      </c>
      <c r="Z1657" s="55">
        <f t="shared" si="398"/>
        <v>0</v>
      </c>
      <c r="AB1657" s="55">
        <f t="shared" si="399"/>
        <v>0</v>
      </c>
      <c r="AC1657" s="55">
        <f t="shared" si="400"/>
        <v>0</v>
      </c>
      <c r="AD1657" s="55">
        <f t="shared" si="401"/>
        <v>0</v>
      </c>
      <c r="AE1657" s="55">
        <f t="shared" si="402"/>
        <v>0</v>
      </c>
      <c r="AF1657" s="55">
        <f t="shared" si="403"/>
        <v>0</v>
      </c>
      <c r="AG1657" s="55">
        <f t="shared" si="404"/>
        <v>0</v>
      </c>
      <c r="AH1657" s="55">
        <f t="shared" si="405"/>
        <v>0</v>
      </c>
      <c r="AI1657" s="34" t="s">
        <v>2629</v>
      </c>
      <c r="AJ1657" s="63">
        <f t="shared" si="406"/>
        <v>0</v>
      </c>
      <c r="AK1657" s="63">
        <f t="shared" si="407"/>
        <v>0</v>
      </c>
      <c r="AL1657" s="63">
        <f t="shared" si="408"/>
        <v>0</v>
      </c>
      <c r="AN1657" s="55">
        <v>21</v>
      </c>
      <c r="AO1657" s="55">
        <f t="shared" si="418"/>
        <v>0</v>
      </c>
      <c r="AP1657" s="55">
        <f t="shared" si="419"/>
        <v>0</v>
      </c>
      <c r="AQ1657" s="66" t="s">
        <v>125</v>
      </c>
      <c r="AV1657" s="55">
        <f t="shared" si="409"/>
        <v>0</v>
      </c>
      <c r="AW1657" s="55">
        <f t="shared" si="410"/>
        <v>0</v>
      </c>
      <c r="AX1657" s="55">
        <f t="shared" si="411"/>
        <v>0</v>
      </c>
      <c r="AY1657" s="58" t="s">
        <v>1537</v>
      </c>
      <c r="AZ1657" s="58" t="s">
        <v>3151</v>
      </c>
      <c r="BA1657" s="34" t="s">
        <v>2634</v>
      </c>
      <c r="BC1657" s="55">
        <f t="shared" si="412"/>
        <v>0</v>
      </c>
      <c r="BD1657" s="55">
        <f t="shared" si="413"/>
        <v>0</v>
      </c>
      <c r="BE1657" s="55">
        <v>0</v>
      </c>
      <c r="BF1657" s="55">
        <f t="shared" si="414"/>
        <v>0</v>
      </c>
      <c r="BH1657" s="63">
        <f t="shared" si="415"/>
        <v>0</v>
      </c>
      <c r="BI1657" s="63">
        <f t="shared" si="416"/>
        <v>0</v>
      </c>
      <c r="BJ1657" s="63">
        <f t="shared" si="417"/>
        <v>0</v>
      </c>
      <c r="BK1657" s="63"/>
      <c r="BL1657" s="55">
        <v>732</v>
      </c>
      <c r="BW1657" s="55">
        <v>21</v>
      </c>
    </row>
    <row r="1658" spans="1:75" ht="13.5" customHeight="1">
      <c r="A1658" s="61" t="s">
        <v>3176</v>
      </c>
      <c r="B1658" s="62" t="s">
        <v>2629</v>
      </c>
      <c r="C1658" s="62" t="s">
        <v>3177</v>
      </c>
      <c r="D1658" s="224" t="s">
        <v>3178</v>
      </c>
      <c r="E1658" s="225"/>
      <c r="F1658" s="62" t="s">
        <v>374</v>
      </c>
      <c r="G1658" s="63">
        <v>1</v>
      </c>
      <c r="H1658" s="64">
        <v>0</v>
      </c>
      <c r="I1658" s="63">
        <f t="shared" si="396"/>
        <v>0</v>
      </c>
      <c r="J1658" s="63">
        <v>0</v>
      </c>
      <c r="K1658" s="63">
        <f t="shared" si="397"/>
        <v>0</v>
      </c>
      <c r="L1658" s="65" t="s">
        <v>124</v>
      </c>
      <c r="Z1658" s="55">
        <f t="shared" si="398"/>
        <v>0</v>
      </c>
      <c r="AB1658" s="55">
        <f t="shared" si="399"/>
        <v>0</v>
      </c>
      <c r="AC1658" s="55">
        <f t="shared" si="400"/>
        <v>0</v>
      </c>
      <c r="AD1658" s="55">
        <f t="shared" si="401"/>
        <v>0</v>
      </c>
      <c r="AE1658" s="55">
        <f t="shared" si="402"/>
        <v>0</v>
      </c>
      <c r="AF1658" s="55">
        <f t="shared" si="403"/>
        <v>0</v>
      </c>
      <c r="AG1658" s="55">
        <f t="shared" si="404"/>
        <v>0</v>
      </c>
      <c r="AH1658" s="55">
        <f t="shared" si="405"/>
        <v>0</v>
      </c>
      <c r="AI1658" s="34" t="s">
        <v>2629</v>
      </c>
      <c r="AJ1658" s="63">
        <f t="shared" si="406"/>
        <v>0</v>
      </c>
      <c r="AK1658" s="63">
        <f t="shared" si="407"/>
        <v>0</v>
      </c>
      <c r="AL1658" s="63">
        <f t="shared" si="408"/>
        <v>0</v>
      </c>
      <c r="AN1658" s="55">
        <v>21</v>
      </c>
      <c r="AO1658" s="55">
        <f t="shared" si="418"/>
        <v>0</v>
      </c>
      <c r="AP1658" s="55">
        <f t="shared" si="419"/>
        <v>0</v>
      </c>
      <c r="AQ1658" s="66" t="s">
        <v>125</v>
      </c>
      <c r="AV1658" s="55">
        <f t="shared" si="409"/>
        <v>0</v>
      </c>
      <c r="AW1658" s="55">
        <f t="shared" si="410"/>
        <v>0</v>
      </c>
      <c r="AX1658" s="55">
        <f t="shared" si="411"/>
        <v>0</v>
      </c>
      <c r="AY1658" s="58" t="s">
        <v>1537</v>
      </c>
      <c r="AZ1658" s="58" t="s">
        <v>3151</v>
      </c>
      <c r="BA1658" s="34" t="s">
        <v>2634</v>
      </c>
      <c r="BC1658" s="55">
        <f t="shared" si="412"/>
        <v>0</v>
      </c>
      <c r="BD1658" s="55">
        <f t="shared" si="413"/>
        <v>0</v>
      </c>
      <c r="BE1658" s="55">
        <v>0</v>
      </c>
      <c r="BF1658" s="55">
        <f t="shared" si="414"/>
        <v>0</v>
      </c>
      <c r="BH1658" s="63">
        <f t="shared" si="415"/>
        <v>0</v>
      </c>
      <c r="BI1658" s="63">
        <f t="shared" si="416"/>
        <v>0</v>
      </c>
      <c r="BJ1658" s="63">
        <f t="shared" si="417"/>
        <v>0</v>
      </c>
      <c r="BK1658" s="63"/>
      <c r="BL1658" s="55">
        <v>732</v>
      </c>
      <c r="BW1658" s="55">
        <v>21</v>
      </c>
    </row>
    <row r="1659" spans="1:75" ht="13.5" customHeight="1">
      <c r="A1659" s="61" t="s">
        <v>3179</v>
      </c>
      <c r="B1659" s="62" t="s">
        <v>2629</v>
      </c>
      <c r="C1659" s="62" t="s">
        <v>3180</v>
      </c>
      <c r="D1659" s="224" t="s">
        <v>3181</v>
      </c>
      <c r="E1659" s="225"/>
      <c r="F1659" s="62" t="s">
        <v>374</v>
      </c>
      <c r="G1659" s="63">
        <v>1</v>
      </c>
      <c r="H1659" s="64">
        <v>0</v>
      </c>
      <c r="I1659" s="63">
        <f t="shared" si="396"/>
        <v>0</v>
      </c>
      <c r="J1659" s="63">
        <v>0</v>
      </c>
      <c r="K1659" s="63">
        <f t="shared" si="397"/>
        <v>0</v>
      </c>
      <c r="L1659" s="65" t="s">
        <v>124</v>
      </c>
      <c r="Z1659" s="55">
        <f t="shared" si="398"/>
        <v>0</v>
      </c>
      <c r="AB1659" s="55">
        <f t="shared" si="399"/>
        <v>0</v>
      </c>
      <c r="AC1659" s="55">
        <f t="shared" si="400"/>
        <v>0</v>
      </c>
      <c r="AD1659" s="55">
        <f t="shared" si="401"/>
        <v>0</v>
      </c>
      <c r="AE1659" s="55">
        <f t="shared" si="402"/>
        <v>0</v>
      </c>
      <c r="AF1659" s="55">
        <f t="shared" si="403"/>
        <v>0</v>
      </c>
      <c r="AG1659" s="55">
        <f t="shared" si="404"/>
        <v>0</v>
      </c>
      <c r="AH1659" s="55">
        <f t="shared" si="405"/>
        <v>0</v>
      </c>
      <c r="AI1659" s="34" t="s">
        <v>2629</v>
      </c>
      <c r="AJ1659" s="63">
        <f t="shared" si="406"/>
        <v>0</v>
      </c>
      <c r="AK1659" s="63">
        <f t="shared" si="407"/>
        <v>0</v>
      </c>
      <c r="AL1659" s="63">
        <f t="shared" si="408"/>
        <v>0</v>
      </c>
      <c r="AN1659" s="55">
        <v>21</v>
      </c>
      <c r="AO1659" s="55">
        <f t="shared" si="418"/>
        <v>0</v>
      </c>
      <c r="AP1659" s="55">
        <f t="shared" si="419"/>
        <v>0</v>
      </c>
      <c r="AQ1659" s="66" t="s">
        <v>125</v>
      </c>
      <c r="AV1659" s="55">
        <f t="shared" si="409"/>
        <v>0</v>
      </c>
      <c r="AW1659" s="55">
        <f t="shared" si="410"/>
        <v>0</v>
      </c>
      <c r="AX1659" s="55">
        <f t="shared" si="411"/>
        <v>0</v>
      </c>
      <c r="AY1659" s="58" t="s">
        <v>1537</v>
      </c>
      <c r="AZ1659" s="58" t="s">
        <v>3151</v>
      </c>
      <c r="BA1659" s="34" t="s">
        <v>2634</v>
      </c>
      <c r="BC1659" s="55">
        <f t="shared" si="412"/>
        <v>0</v>
      </c>
      <c r="BD1659" s="55">
        <f t="shared" si="413"/>
        <v>0</v>
      </c>
      <c r="BE1659" s="55">
        <v>0</v>
      </c>
      <c r="BF1659" s="55">
        <f t="shared" si="414"/>
        <v>0</v>
      </c>
      <c r="BH1659" s="63">
        <f t="shared" si="415"/>
        <v>0</v>
      </c>
      <c r="BI1659" s="63">
        <f t="shared" si="416"/>
        <v>0</v>
      </c>
      <c r="BJ1659" s="63">
        <f t="shared" si="417"/>
        <v>0</v>
      </c>
      <c r="BK1659" s="63"/>
      <c r="BL1659" s="55">
        <v>732</v>
      </c>
      <c r="BW1659" s="55">
        <v>21</v>
      </c>
    </row>
    <row r="1660" spans="1:47" ht="14.4">
      <c r="A1660" s="50" t="s">
        <v>4</v>
      </c>
      <c r="B1660" s="51" t="s">
        <v>2629</v>
      </c>
      <c r="C1660" s="51" t="s">
        <v>1664</v>
      </c>
      <c r="D1660" s="222" t="s">
        <v>1665</v>
      </c>
      <c r="E1660" s="223"/>
      <c r="F1660" s="52" t="s">
        <v>79</v>
      </c>
      <c r="G1660" s="52" t="s">
        <v>79</v>
      </c>
      <c r="H1660" s="53" t="s">
        <v>79</v>
      </c>
      <c r="I1660" s="27">
        <f>SUM(I1661:I1682)</f>
        <v>0</v>
      </c>
      <c r="J1660" s="34" t="s">
        <v>4</v>
      </c>
      <c r="K1660" s="27">
        <f>SUM(K1661:K1682)</f>
        <v>35.4591324</v>
      </c>
      <c r="L1660" s="54" t="s">
        <v>4</v>
      </c>
      <c r="AI1660" s="34" t="s">
        <v>2629</v>
      </c>
      <c r="AS1660" s="27">
        <f>SUM(AJ1661:AJ1682)</f>
        <v>0</v>
      </c>
      <c r="AT1660" s="27">
        <f>SUM(AK1661:AK1682)</f>
        <v>0</v>
      </c>
      <c r="AU1660" s="27">
        <f>SUM(AL1661:AL1682)</f>
        <v>0</v>
      </c>
    </row>
    <row r="1661" spans="1:75" ht="13.5" customHeight="1">
      <c r="A1661" s="1" t="s">
        <v>3182</v>
      </c>
      <c r="B1661" s="2" t="s">
        <v>2629</v>
      </c>
      <c r="C1661" s="2" t="s">
        <v>3183</v>
      </c>
      <c r="D1661" s="147" t="s">
        <v>3184</v>
      </c>
      <c r="E1661" s="148"/>
      <c r="F1661" s="2" t="s">
        <v>374</v>
      </c>
      <c r="G1661" s="55">
        <v>5</v>
      </c>
      <c r="H1661" s="56">
        <v>0</v>
      </c>
      <c r="I1661" s="55">
        <f>G1661*H1661</f>
        <v>0</v>
      </c>
      <c r="J1661" s="55">
        <v>0.14369</v>
      </c>
      <c r="K1661" s="55">
        <f>G1661*J1661</f>
        <v>0.71845</v>
      </c>
      <c r="L1661" s="57" t="s">
        <v>785</v>
      </c>
      <c r="Z1661" s="55">
        <f>IF(AQ1661="5",BJ1661,0)</f>
        <v>0</v>
      </c>
      <c r="AB1661" s="55">
        <f>IF(AQ1661="1",BH1661,0)</f>
        <v>0</v>
      </c>
      <c r="AC1661" s="55">
        <f>IF(AQ1661="1",BI1661,0)</f>
        <v>0</v>
      </c>
      <c r="AD1661" s="55">
        <f>IF(AQ1661="7",BH1661,0)</f>
        <v>0</v>
      </c>
      <c r="AE1661" s="55">
        <f>IF(AQ1661="7",BI1661,0)</f>
        <v>0</v>
      </c>
      <c r="AF1661" s="55">
        <f>IF(AQ1661="2",BH1661,0)</f>
        <v>0</v>
      </c>
      <c r="AG1661" s="55">
        <f>IF(AQ1661="2",BI1661,0)</f>
        <v>0</v>
      </c>
      <c r="AH1661" s="55">
        <f>IF(AQ1661="0",BJ1661,0)</f>
        <v>0</v>
      </c>
      <c r="AI1661" s="34" t="s">
        <v>2629</v>
      </c>
      <c r="AJ1661" s="55">
        <f>IF(AN1661=0,I1661,0)</f>
        <v>0</v>
      </c>
      <c r="AK1661" s="55">
        <f>IF(AN1661=12,I1661,0)</f>
        <v>0</v>
      </c>
      <c r="AL1661" s="55">
        <f>IF(AN1661=21,I1661,0)</f>
        <v>0</v>
      </c>
      <c r="AN1661" s="55">
        <v>21</v>
      </c>
      <c r="AO1661" s="55">
        <f>H1661*0.139967488</f>
        <v>0</v>
      </c>
      <c r="AP1661" s="55">
        <f>H1661*(1-0.139967488)</f>
        <v>0</v>
      </c>
      <c r="AQ1661" s="58" t="s">
        <v>125</v>
      </c>
      <c r="AV1661" s="55">
        <f>AW1661+AX1661</f>
        <v>0</v>
      </c>
      <c r="AW1661" s="55">
        <f>G1661*AO1661</f>
        <v>0</v>
      </c>
      <c r="AX1661" s="55">
        <f>G1661*AP1661</f>
        <v>0</v>
      </c>
      <c r="AY1661" s="58" t="s">
        <v>1668</v>
      </c>
      <c r="AZ1661" s="58" t="s">
        <v>3185</v>
      </c>
      <c r="BA1661" s="34" t="s">
        <v>2634</v>
      </c>
      <c r="BB1661" s="67">
        <v>100014</v>
      </c>
      <c r="BC1661" s="55">
        <f>AW1661+AX1661</f>
        <v>0</v>
      </c>
      <c r="BD1661" s="55">
        <f>H1661/(100-BE1661)*100</f>
        <v>0</v>
      </c>
      <c r="BE1661" s="55">
        <v>0</v>
      </c>
      <c r="BF1661" s="55">
        <f>K1661</f>
        <v>0.71845</v>
      </c>
      <c r="BH1661" s="55">
        <f>G1661*AO1661</f>
        <v>0</v>
      </c>
      <c r="BI1661" s="55">
        <f>G1661*AP1661</f>
        <v>0</v>
      </c>
      <c r="BJ1661" s="55">
        <f>G1661*H1661</f>
        <v>0</v>
      </c>
      <c r="BK1661" s="55"/>
      <c r="BL1661" s="55">
        <v>762</v>
      </c>
      <c r="BW1661" s="55">
        <v>21</v>
      </c>
    </row>
    <row r="1662" spans="1:12" ht="14.4">
      <c r="A1662" s="59"/>
      <c r="D1662" s="60" t="s">
        <v>139</v>
      </c>
      <c r="E1662" s="60" t="s">
        <v>4</v>
      </c>
      <c r="G1662" s="68">
        <v>5</v>
      </c>
      <c r="L1662" s="69"/>
    </row>
    <row r="1663" spans="1:75" ht="13.5" customHeight="1">
      <c r="A1663" s="1" t="s">
        <v>3186</v>
      </c>
      <c r="B1663" s="2" t="s">
        <v>2629</v>
      </c>
      <c r="C1663" s="2" t="s">
        <v>3187</v>
      </c>
      <c r="D1663" s="147" t="s">
        <v>3188</v>
      </c>
      <c r="E1663" s="148"/>
      <c r="F1663" s="2" t="s">
        <v>729</v>
      </c>
      <c r="G1663" s="55">
        <v>1594.15</v>
      </c>
      <c r="H1663" s="56">
        <v>0</v>
      </c>
      <c r="I1663" s="55">
        <f>G1663*H1663</f>
        <v>0</v>
      </c>
      <c r="J1663" s="55">
        <v>0.01452</v>
      </c>
      <c r="K1663" s="55">
        <f>G1663*J1663</f>
        <v>23.147058</v>
      </c>
      <c r="L1663" s="57" t="s">
        <v>785</v>
      </c>
      <c r="Z1663" s="55">
        <f>IF(AQ1663="5",BJ1663,0)</f>
        <v>0</v>
      </c>
      <c r="AB1663" s="55">
        <f>IF(AQ1663="1",BH1663,0)</f>
        <v>0</v>
      </c>
      <c r="AC1663" s="55">
        <f>IF(AQ1663="1",BI1663,0)</f>
        <v>0</v>
      </c>
      <c r="AD1663" s="55">
        <f>IF(AQ1663="7",BH1663,0)</f>
        <v>0</v>
      </c>
      <c r="AE1663" s="55">
        <f>IF(AQ1663="7",BI1663,0)</f>
        <v>0</v>
      </c>
      <c r="AF1663" s="55">
        <f>IF(AQ1663="2",BH1663,0)</f>
        <v>0</v>
      </c>
      <c r="AG1663" s="55">
        <f>IF(AQ1663="2",BI1663,0)</f>
        <v>0</v>
      </c>
      <c r="AH1663" s="55">
        <f>IF(AQ1663="0",BJ1663,0)</f>
        <v>0</v>
      </c>
      <c r="AI1663" s="34" t="s">
        <v>2629</v>
      </c>
      <c r="AJ1663" s="55">
        <f>IF(AN1663=0,I1663,0)</f>
        <v>0</v>
      </c>
      <c r="AK1663" s="55">
        <f>IF(AN1663=12,I1663,0)</f>
        <v>0</v>
      </c>
      <c r="AL1663" s="55">
        <f>IF(AN1663=21,I1663,0)</f>
        <v>0</v>
      </c>
      <c r="AN1663" s="55">
        <v>21</v>
      </c>
      <c r="AO1663" s="55">
        <f>H1663*0.575407867</f>
        <v>0</v>
      </c>
      <c r="AP1663" s="55">
        <f>H1663*(1-0.575407867)</f>
        <v>0</v>
      </c>
      <c r="AQ1663" s="58" t="s">
        <v>125</v>
      </c>
      <c r="AV1663" s="55">
        <f>AW1663+AX1663</f>
        <v>0</v>
      </c>
      <c r="AW1663" s="55">
        <f>G1663*AO1663</f>
        <v>0</v>
      </c>
      <c r="AX1663" s="55">
        <f>G1663*AP1663</f>
        <v>0</v>
      </c>
      <c r="AY1663" s="58" t="s">
        <v>1668</v>
      </c>
      <c r="AZ1663" s="58" t="s">
        <v>3185</v>
      </c>
      <c r="BA1663" s="34" t="s">
        <v>2634</v>
      </c>
      <c r="BB1663" s="67">
        <v>100014</v>
      </c>
      <c r="BC1663" s="55">
        <f>AW1663+AX1663</f>
        <v>0</v>
      </c>
      <c r="BD1663" s="55">
        <f>H1663/(100-BE1663)*100</f>
        <v>0</v>
      </c>
      <c r="BE1663" s="55">
        <v>0</v>
      </c>
      <c r="BF1663" s="55">
        <f>K1663</f>
        <v>23.147058</v>
      </c>
      <c r="BH1663" s="55">
        <f>G1663*AO1663</f>
        <v>0</v>
      </c>
      <c r="BI1663" s="55">
        <f>G1663*AP1663</f>
        <v>0</v>
      </c>
      <c r="BJ1663" s="55">
        <f>G1663*H1663</f>
        <v>0</v>
      </c>
      <c r="BK1663" s="55"/>
      <c r="BL1663" s="55">
        <v>762</v>
      </c>
      <c r="BW1663" s="55">
        <v>21</v>
      </c>
    </row>
    <row r="1664" spans="1:12" ht="13.5" customHeight="1">
      <c r="A1664" s="59"/>
      <c r="D1664" s="218" t="s">
        <v>3189</v>
      </c>
      <c r="E1664" s="219"/>
      <c r="F1664" s="219"/>
      <c r="G1664" s="219"/>
      <c r="H1664" s="220"/>
      <c r="I1664" s="219"/>
      <c r="J1664" s="219"/>
      <c r="K1664" s="219"/>
      <c r="L1664" s="221"/>
    </row>
    <row r="1665" spans="1:12" ht="14.4">
      <c r="A1665" s="59"/>
      <c r="D1665" s="60" t="s">
        <v>3190</v>
      </c>
      <c r="E1665" s="60" t="s">
        <v>3191</v>
      </c>
      <c r="G1665" s="68">
        <v>331.25</v>
      </c>
      <c r="L1665" s="69"/>
    </row>
    <row r="1666" spans="1:12" ht="14.4">
      <c r="A1666" s="59"/>
      <c r="D1666" s="60" t="s">
        <v>3192</v>
      </c>
      <c r="E1666" s="60" t="s">
        <v>3193</v>
      </c>
      <c r="G1666" s="68">
        <v>1262.9</v>
      </c>
      <c r="L1666" s="69"/>
    </row>
    <row r="1667" spans="1:75" ht="13.5" customHeight="1">
      <c r="A1667" s="1" t="s">
        <v>3194</v>
      </c>
      <c r="B1667" s="2" t="s">
        <v>2629</v>
      </c>
      <c r="C1667" s="2" t="s">
        <v>3195</v>
      </c>
      <c r="D1667" s="147" t="s">
        <v>3196</v>
      </c>
      <c r="E1667" s="148"/>
      <c r="F1667" s="2" t="s">
        <v>729</v>
      </c>
      <c r="G1667" s="55">
        <v>1170.3</v>
      </c>
      <c r="H1667" s="56">
        <v>0</v>
      </c>
      <c r="I1667" s="55">
        <f>G1667*H1667</f>
        <v>0</v>
      </c>
      <c r="J1667" s="55">
        <v>0.00147</v>
      </c>
      <c r="K1667" s="55">
        <f>G1667*J1667</f>
        <v>1.720341</v>
      </c>
      <c r="L1667" s="57" t="s">
        <v>124</v>
      </c>
      <c r="Z1667" s="55">
        <f>IF(AQ1667="5",BJ1667,0)</f>
        <v>0</v>
      </c>
      <c r="AB1667" s="55">
        <f>IF(AQ1667="1",BH1667,0)</f>
        <v>0</v>
      </c>
      <c r="AC1667" s="55">
        <f>IF(AQ1667="1",BI1667,0)</f>
        <v>0</v>
      </c>
      <c r="AD1667" s="55">
        <f>IF(AQ1667="7",BH1667,0)</f>
        <v>0</v>
      </c>
      <c r="AE1667" s="55">
        <f>IF(AQ1667="7",BI1667,0)</f>
        <v>0</v>
      </c>
      <c r="AF1667" s="55">
        <f>IF(AQ1667="2",BH1667,0)</f>
        <v>0</v>
      </c>
      <c r="AG1667" s="55">
        <f>IF(AQ1667="2",BI1667,0)</f>
        <v>0</v>
      </c>
      <c r="AH1667" s="55">
        <f>IF(AQ1667="0",BJ1667,0)</f>
        <v>0</v>
      </c>
      <c r="AI1667" s="34" t="s">
        <v>2629</v>
      </c>
      <c r="AJ1667" s="55">
        <f>IF(AN1667=0,I1667,0)</f>
        <v>0</v>
      </c>
      <c r="AK1667" s="55">
        <f>IF(AN1667=12,I1667,0)</f>
        <v>0</v>
      </c>
      <c r="AL1667" s="55">
        <f>IF(AN1667=21,I1667,0)</f>
        <v>0</v>
      </c>
      <c r="AN1667" s="55">
        <v>21</v>
      </c>
      <c r="AO1667" s="55">
        <f>H1667*0.675766238</f>
        <v>0</v>
      </c>
      <c r="AP1667" s="55">
        <f>H1667*(1-0.675766238)</f>
        <v>0</v>
      </c>
      <c r="AQ1667" s="58" t="s">
        <v>125</v>
      </c>
      <c r="AV1667" s="55">
        <f>AW1667+AX1667</f>
        <v>0</v>
      </c>
      <c r="AW1667" s="55">
        <f>G1667*AO1667</f>
        <v>0</v>
      </c>
      <c r="AX1667" s="55">
        <f>G1667*AP1667</f>
        <v>0</v>
      </c>
      <c r="AY1667" s="58" t="s">
        <v>1668</v>
      </c>
      <c r="AZ1667" s="58" t="s">
        <v>3185</v>
      </c>
      <c r="BA1667" s="34" t="s">
        <v>2634</v>
      </c>
      <c r="BB1667" s="67">
        <v>100014</v>
      </c>
      <c r="BC1667" s="55">
        <f>AW1667+AX1667</f>
        <v>0</v>
      </c>
      <c r="BD1667" s="55">
        <f>H1667/(100-BE1667)*100</f>
        <v>0</v>
      </c>
      <c r="BE1667" s="55">
        <v>0</v>
      </c>
      <c r="BF1667" s="55">
        <f>K1667</f>
        <v>1.720341</v>
      </c>
      <c r="BH1667" s="55">
        <f>G1667*AO1667</f>
        <v>0</v>
      </c>
      <c r="BI1667" s="55">
        <f>G1667*AP1667</f>
        <v>0</v>
      </c>
      <c r="BJ1667" s="55">
        <f>G1667*H1667</f>
        <v>0</v>
      </c>
      <c r="BK1667" s="55"/>
      <c r="BL1667" s="55">
        <v>762</v>
      </c>
      <c r="BW1667" s="55">
        <v>21</v>
      </c>
    </row>
    <row r="1668" spans="1:12" ht="13.5" customHeight="1">
      <c r="A1668" s="59"/>
      <c r="D1668" s="218" t="s">
        <v>3197</v>
      </c>
      <c r="E1668" s="219"/>
      <c r="F1668" s="219"/>
      <c r="G1668" s="219"/>
      <c r="H1668" s="220"/>
      <c r="I1668" s="219"/>
      <c r="J1668" s="219"/>
      <c r="K1668" s="219"/>
      <c r="L1668" s="221"/>
    </row>
    <row r="1669" spans="1:12" ht="14.4">
      <c r="A1669" s="59"/>
      <c r="D1669" s="60" t="s">
        <v>3198</v>
      </c>
      <c r="E1669" s="60" t="s">
        <v>3199</v>
      </c>
      <c r="G1669" s="68">
        <v>1037.09</v>
      </c>
      <c r="L1669" s="69"/>
    </row>
    <row r="1670" spans="1:12" ht="14.4">
      <c r="A1670" s="59"/>
      <c r="D1670" s="60" t="s">
        <v>3115</v>
      </c>
      <c r="E1670" s="60" t="s">
        <v>3200</v>
      </c>
      <c r="G1670" s="68">
        <v>71.61</v>
      </c>
      <c r="L1670" s="69"/>
    </row>
    <row r="1671" spans="1:12" ht="14.4">
      <c r="A1671" s="76"/>
      <c r="D1671" s="77" t="s">
        <v>3104</v>
      </c>
      <c r="E1671" s="77" t="s">
        <v>1208</v>
      </c>
      <c r="G1671" s="78">
        <v>61.6</v>
      </c>
      <c r="L1671" s="79"/>
    </row>
    <row r="1672" spans="1:75" ht="13.5" customHeight="1">
      <c r="A1672" s="80" t="s">
        <v>3201</v>
      </c>
      <c r="B1672" s="81" t="s">
        <v>2629</v>
      </c>
      <c r="C1672" s="81" t="s">
        <v>3202</v>
      </c>
      <c r="D1672" s="226" t="s">
        <v>3203</v>
      </c>
      <c r="E1672" s="227"/>
      <c r="F1672" s="81" t="s">
        <v>174</v>
      </c>
      <c r="G1672" s="82">
        <v>108.3</v>
      </c>
      <c r="H1672" s="83">
        <v>0</v>
      </c>
      <c r="I1672" s="82">
        <f>G1672*H1672</f>
        <v>0</v>
      </c>
      <c r="J1672" s="82">
        <v>0.015</v>
      </c>
      <c r="K1672" s="82">
        <f>G1672*J1672</f>
        <v>1.6244999999999998</v>
      </c>
      <c r="L1672" s="84" t="s">
        <v>124</v>
      </c>
      <c r="Z1672" s="55">
        <f>IF(AQ1672="5",BJ1672,0)</f>
        <v>0</v>
      </c>
      <c r="AB1672" s="55">
        <f>IF(AQ1672="1",BH1672,0)</f>
        <v>0</v>
      </c>
      <c r="AC1672" s="55">
        <f>IF(AQ1672="1",BI1672,0)</f>
        <v>0</v>
      </c>
      <c r="AD1672" s="55">
        <f>IF(AQ1672="7",BH1672,0)</f>
        <v>0</v>
      </c>
      <c r="AE1672" s="55">
        <f>IF(AQ1672="7",BI1672,0)</f>
        <v>0</v>
      </c>
      <c r="AF1672" s="55">
        <f>IF(AQ1672="2",BH1672,0)</f>
        <v>0</v>
      </c>
      <c r="AG1672" s="55">
        <f>IF(AQ1672="2",BI1672,0)</f>
        <v>0</v>
      </c>
      <c r="AH1672" s="55">
        <f>IF(AQ1672="0",BJ1672,0)</f>
        <v>0</v>
      </c>
      <c r="AI1672" s="34" t="s">
        <v>2629</v>
      </c>
      <c r="AJ1672" s="55">
        <f>IF(AN1672=0,I1672,0)</f>
        <v>0</v>
      </c>
      <c r="AK1672" s="55">
        <f>IF(AN1672=12,I1672,0)</f>
        <v>0</v>
      </c>
      <c r="AL1672" s="55">
        <f>IF(AN1672=21,I1672,0)</f>
        <v>0</v>
      </c>
      <c r="AN1672" s="55">
        <v>21</v>
      </c>
      <c r="AO1672" s="55">
        <f>H1672*0.367088608</f>
        <v>0</v>
      </c>
      <c r="AP1672" s="55">
        <f>H1672*(1-0.367088608)</f>
        <v>0</v>
      </c>
      <c r="AQ1672" s="58" t="s">
        <v>125</v>
      </c>
      <c r="AV1672" s="55">
        <f>AW1672+AX1672</f>
        <v>0</v>
      </c>
      <c r="AW1672" s="55">
        <f>G1672*AO1672</f>
        <v>0</v>
      </c>
      <c r="AX1672" s="55">
        <f>G1672*AP1672</f>
        <v>0</v>
      </c>
      <c r="AY1672" s="58" t="s">
        <v>1668</v>
      </c>
      <c r="AZ1672" s="58" t="s">
        <v>3185</v>
      </c>
      <c r="BA1672" s="34" t="s">
        <v>2634</v>
      </c>
      <c r="BB1672" s="67">
        <v>100014</v>
      </c>
      <c r="BC1672" s="55">
        <f>AW1672+AX1672</f>
        <v>0</v>
      </c>
      <c r="BD1672" s="55">
        <f>H1672/(100-BE1672)*100</f>
        <v>0</v>
      </c>
      <c r="BE1672" s="55">
        <v>0</v>
      </c>
      <c r="BF1672" s="55">
        <f>K1672</f>
        <v>1.6244999999999998</v>
      </c>
      <c r="BH1672" s="55">
        <f>G1672*AO1672</f>
        <v>0</v>
      </c>
      <c r="BI1672" s="55">
        <f>G1672*AP1672</f>
        <v>0</v>
      </c>
      <c r="BJ1672" s="55">
        <f>G1672*H1672</f>
        <v>0</v>
      </c>
      <c r="BK1672" s="55"/>
      <c r="BL1672" s="55">
        <v>762</v>
      </c>
      <c r="BW1672" s="55">
        <v>21</v>
      </c>
    </row>
    <row r="1673" spans="1:12" ht="13.5" customHeight="1">
      <c r="A1673" s="85"/>
      <c r="D1673" s="228" t="s">
        <v>3204</v>
      </c>
      <c r="E1673" s="229"/>
      <c r="F1673" s="229"/>
      <c r="G1673" s="229"/>
      <c r="H1673" s="230"/>
      <c r="I1673" s="229"/>
      <c r="J1673" s="229"/>
      <c r="K1673" s="229"/>
      <c r="L1673" s="231"/>
    </row>
    <row r="1674" spans="1:12" ht="14.4">
      <c r="A1674" s="86"/>
      <c r="B1674" s="87"/>
      <c r="C1674" s="87"/>
      <c r="D1674" s="88" t="s">
        <v>3205</v>
      </c>
      <c r="E1674" s="88" t="s">
        <v>816</v>
      </c>
      <c r="F1674" s="87"/>
      <c r="G1674" s="89">
        <v>108.3</v>
      </c>
      <c r="H1674" s="90"/>
      <c r="I1674" s="87"/>
      <c r="J1674" s="87"/>
      <c r="K1674" s="87"/>
      <c r="L1674" s="91"/>
    </row>
    <row r="1675" spans="1:75" ht="13.5" customHeight="1">
      <c r="A1675" s="92" t="s">
        <v>3206</v>
      </c>
      <c r="B1675" s="93" t="s">
        <v>2629</v>
      </c>
      <c r="C1675" s="93" t="s">
        <v>3207</v>
      </c>
      <c r="D1675" s="232" t="s">
        <v>3208</v>
      </c>
      <c r="E1675" s="233"/>
      <c r="F1675" s="93" t="s">
        <v>729</v>
      </c>
      <c r="G1675" s="94">
        <v>484.52</v>
      </c>
      <c r="H1675" s="95">
        <v>0</v>
      </c>
      <c r="I1675" s="94">
        <f>G1675*H1675</f>
        <v>0</v>
      </c>
      <c r="J1675" s="94">
        <v>0.015</v>
      </c>
      <c r="K1675" s="94">
        <f>G1675*J1675</f>
        <v>7.267799999999999</v>
      </c>
      <c r="L1675" s="96" t="s">
        <v>785</v>
      </c>
      <c r="Z1675" s="55">
        <f>IF(AQ1675="5",BJ1675,0)</f>
        <v>0</v>
      </c>
      <c r="AB1675" s="55">
        <f>IF(AQ1675="1",BH1675,0)</f>
        <v>0</v>
      </c>
      <c r="AC1675" s="55">
        <f>IF(AQ1675="1",BI1675,0)</f>
        <v>0</v>
      </c>
      <c r="AD1675" s="55">
        <f>IF(AQ1675="7",BH1675,0)</f>
        <v>0</v>
      </c>
      <c r="AE1675" s="55">
        <f>IF(AQ1675="7",BI1675,0)</f>
        <v>0</v>
      </c>
      <c r="AF1675" s="55">
        <f>IF(AQ1675="2",BH1675,0)</f>
        <v>0</v>
      </c>
      <c r="AG1675" s="55">
        <f>IF(AQ1675="2",BI1675,0)</f>
        <v>0</v>
      </c>
      <c r="AH1675" s="55">
        <f>IF(AQ1675="0",BJ1675,0)</f>
        <v>0</v>
      </c>
      <c r="AI1675" s="34" t="s">
        <v>2629</v>
      </c>
      <c r="AJ1675" s="55">
        <f>IF(AN1675=0,I1675,0)</f>
        <v>0</v>
      </c>
      <c r="AK1675" s="55">
        <f>IF(AN1675=12,I1675,0)</f>
        <v>0</v>
      </c>
      <c r="AL1675" s="55">
        <f>IF(AN1675=21,I1675,0)</f>
        <v>0</v>
      </c>
      <c r="AN1675" s="55">
        <v>21</v>
      </c>
      <c r="AO1675" s="55">
        <f>H1675*0</f>
        <v>0</v>
      </c>
      <c r="AP1675" s="55">
        <f>H1675*(1-0)</f>
        <v>0</v>
      </c>
      <c r="AQ1675" s="58" t="s">
        <v>125</v>
      </c>
      <c r="AV1675" s="55">
        <f>AW1675+AX1675</f>
        <v>0</v>
      </c>
      <c r="AW1675" s="55">
        <f>G1675*AO1675</f>
        <v>0</v>
      </c>
      <c r="AX1675" s="55">
        <f>G1675*AP1675</f>
        <v>0</v>
      </c>
      <c r="AY1675" s="58" t="s">
        <v>1668</v>
      </c>
      <c r="AZ1675" s="58" t="s">
        <v>3185</v>
      </c>
      <c r="BA1675" s="34" t="s">
        <v>2634</v>
      </c>
      <c r="BB1675" s="67">
        <v>100014</v>
      </c>
      <c r="BC1675" s="55">
        <f>AW1675+AX1675</f>
        <v>0</v>
      </c>
      <c r="BD1675" s="55">
        <f>H1675/(100-BE1675)*100</f>
        <v>0</v>
      </c>
      <c r="BE1675" s="55">
        <v>0</v>
      </c>
      <c r="BF1675" s="55">
        <f>K1675</f>
        <v>7.267799999999999</v>
      </c>
      <c r="BH1675" s="55">
        <f>G1675*AO1675</f>
        <v>0</v>
      </c>
      <c r="BI1675" s="55">
        <f>G1675*AP1675</f>
        <v>0</v>
      </c>
      <c r="BJ1675" s="55">
        <f>G1675*H1675</f>
        <v>0</v>
      </c>
      <c r="BK1675" s="55"/>
      <c r="BL1675" s="55">
        <v>762</v>
      </c>
      <c r="BW1675" s="55">
        <v>21</v>
      </c>
    </row>
    <row r="1676" spans="1:12" ht="14.4">
      <c r="A1676" s="59"/>
      <c r="D1676" s="60" t="s">
        <v>3190</v>
      </c>
      <c r="E1676" s="60" t="s">
        <v>3191</v>
      </c>
      <c r="G1676" s="68">
        <v>331.25</v>
      </c>
      <c r="L1676" s="69"/>
    </row>
    <row r="1677" spans="1:12" ht="14.4">
      <c r="A1677" s="59"/>
      <c r="D1677" s="60" t="s">
        <v>3209</v>
      </c>
      <c r="E1677" s="60" t="s">
        <v>3210</v>
      </c>
      <c r="G1677" s="68">
        <v>95.04</v>
      </c>
      <c r="L1677" s="69"/>
    </row>
    <row r="1678" spans="1:12" ht="14.4">
      <c r="A1678" s="59"/>
      <c r="D1678" s="60" t="s">
        <v>3211</v>
      </c>
      <c r="E1678" s="60" t="s">
        <v>3212</v>
      </c>
      <c r="G1678" s="68">
        <v>48.53</v>
      </c>
      <c r="L1678" s="69"/>
    </row>
    <row r="1679" spans="1:12" ht="14.4">
      <c r="A1679" s="59"/>
      <c r="D1679" s="60" t="s">
        <v>3213</v>
      </c>
      <c r="E1679" s="60" t="s">
        <v>3214</v>
      </c>
      <c r="G1679" s="68">
        <v>9.7</v>
      </c>
      <c r="L1679" s="69"/>
    </row>
    <row r="1680" spans="1:75" ht="13.5" customHeight="1">
      <c r="A1680" s="1" t="s">
        <v>3215</v>
      </c>
      <c r="B1680" s="2" t="s">
        <v>2629</v>
      </c>
      <c r="C1680" s="2" t="s">
        <v>1794</v>
      </c>
      <c r="D1680" s="147" t="s">
        <v>1795</v>
      </c>
      <c r="E1680" s="148"/>
      <c r="F1680" s="2" t="s">
        <v>792</v>
      </c>
      <c r="G1680" s="55">
        <v>41.62</v>
      </c>
      <c r="H1680" s="56">
        <v>0</v>
      </c>
      <c r="I1680" s="55">
        <f>G1680*H1680</f>
        <v>0</v>
      </c>
      <c r="J1680" s="55">
        <v>0.02357</v>
      </c>
      <c r="K1680" s="55">
        <f>G1680*J1680</f>
        <v>0.9809834</v>
      </c>
      <c r="L1680" s="57" t="s">
        <v>785</v>
      </c>
      <c r="Z1680" s="55">
        <f>IF(AQ1680="5",BJ1680,0)</f>
        <v>0</v>
      </c>
      <c r="AB1680" s="55">
        <f>IF(AQ1680="1",BH1680,0)</f>
        <v>0</v>
      </c>
      <c r="AC1680" s="55">
        <f>IF(AQ1680="1",BI1680,0)</f>
        <v>0</v>
      </c>
      <c r="AD1680" s="55">
        <f>IF(AQ1680="7",BH1680,0)</f>
        <v>0</v>
      </c>
      <c r="AE1680" s="55">
        <f>IF(AQ1680="7",BI1680,0)</f>
        <v>0</v>
      </c>
      <c r="AF1680" s="55">
        <f>IF(AQ1680="2",BH1680,0)</f>
        <v>0</v>
      </c>
      <c r="AG1680" s="55">
        <f>IF(AQ1680="2",BI1680,0)</f>
        <v>0</v>
      </c>
      <c r="AH1680" s="55">
        <f>IF(AQ1680="0",BJ1680,0)</f>
        <v>0</v>
      </c>
      <c r="AI1680" s="34" t="s">
        <v>2629</v>
      </c>
      <c r="AJ1680" s="55">
        <f>IF(AN1680=0,I1680,0)</f>
        <v>0</v>
      </c>
      <c r="AK1680" s="55">
        <f>IF(AN1680=12,I1680,0)</f>
        <v>0</v>
      </c>
      <c r="AL1680" s="55">
        <f>IF(AN1680=21,I1680,0)</f>
        <v>0</v>
      </c>
      <c r="AN1680" s="55">
        <v>21</v>
      </c>
      <c r="AO1680" s="55">
        <f>H1680*1.000000491</f>
        <v>0</v>
      </c>
      <c r="AP1680" s="55">
        <f>H1680*(1-1.000000491)</f>
        <v>0</v>
      </c>
      <c r="AQ1680" s="58" t="s">
        <v>125</v>
      </c>
      <c r="AV1680" s="55">
        <f>AW1680+AX1680</f>
        <v>0</v>
      </c>
      <c r="AW1680" s="55">
        <f>G1680*AO1680</f>
        <v>0</v>
      </c>
      <c r="AX1680" s="55">
        <f>G1680*AP1680</f>
        <v>0</v>
      </c>
      <c r="AY1680" s="58" t="s">
        <v>1668</v>
      </c>
      <c r="AZ1680" s="58" t="s">
        <v>3185</v>
      </c>
      <c r="BA1680" s="34" t="s">
        <v>2634</v>
      </c>
      <c r="BB1680" s="67">
        <v>100014</v>
      </c>
      <c r="BC1680" s="55">
        <f>AW1680+AX1680</f>
        <v>0</v>
      </c>
      <c r="BD1680" s="55">
        <f>H1680/(100-BE1680)*100</f>
        <v>0</v>
      </c>
      <c r="BE1680" s="55">
        <v>0</v>
      </c>
      <c r="BF1680" s="55">
        <f>K1680</f>
        <v>0.9809834</v>
      </c>
      <c r="BH1680" s="55">
        <f>G1680*AO1680</f>
        <v>0</v>
      </c>
      <c r="BI1680" s="55">
        <f>G1680*AP1680</f>
        <v>0</v>
      </c>
      <c r="BJ1680" s="55">
        <f>G1680*H1680</f>
        <v>0</v>
      </c>
      <c r="BK1680" s="55"/>
      <c r="BL1680" s="55">
        <v>762</v>
      </c>
      <c r="BW1680" s="55">
        <v>21</v>
      </c>
    </row>
    <row r="1681" spans="1:12" ht="14.4">
      <c r="A1681" s="59"/>
      <c r="D1681" s="60" t="s">
        <v>3216</v>
      </c>
      <c r="E1681" s="60" t="s">
        <v>3217</v>
      </c>
      <c r="G1681" s="68">
        <v>41.62</v>
      </c>
      <c r="L1681" s="69"/>
    </row>
    <row r="1682" spans="1:75" ht="13.5" customHeight="1">
      <c r="A1682" s="1" t="s">
        <v>3218</v>
      </c>
      <c r="B1682" s="2" t="s">
        <v>2629</v>
      </c>
      <c r="C1682" s="2" t="s">
        <v>1807</v>
      </c>
      <c r="D1682" s="147" t="s">
        <v>1808</v>
      </c>
      <c r="E1682" s="148"/>
      <c r="F1682" s="2" t="s">
        <v>939</v>
      </c>
      <c r="G1682" s="55">
        <v>28.19</v>
      </c>
      <c r="H1682" s="56">
        <v>0</v>
      </c>
      <c r="I1682" s="55">
        <f>G1682*H1682</f>
        <v>0</v>
      </c>
      <c r="J1682" s="55">
        <v>0</v>
      </c>
      <c r="K1682" s="55">
        <f>G1682*J1682</f>
        <v>0</v>
      </c>
      <c r="L1682" s="57" t="s">
        <v>785</v>
      </c>
      <c r="Z1682" s="55">
        <f>IF(AQ1682="5",BJ1682,0)</f>
        <v>0</v>
      </c>
      <c r="AB1682" s="55">
        <f>IF(AQ1682="1",BH1682,0)</f>
        <v>0</v>
      </c>
      <c r="AC1682" s="55">
        <f>IF(AQ1682="1",BI1682,0)</f>
        <v>0</v>
      </c>
      <c r="AD1682" s="55">
        <f>IF(AQ1682="7",BH1682,0)</f>
        <v>0</v>
      </c>
      <c r="AE1682" s="55">
        <f>IF(AQ1682="7",BI1682,0)</f>
        <v>0</v>
      </c>
      <c r="AF1682" s="55">
        <f>IF(AQ1682="2",BH1682,0)</f>
        <v>0</v>
      </c>
      <c r="AG1682" s="55">
        <f>IF(AQ1682="2",BI1682,0)</f>
        <v>0</v>
      </c>
      <c r="AH1682" s="55">
        <f>IF(AQ1682="0",BJ1682,0)</f>
        <v>0</v>
      </c>
      <c r="AI1682" s="34" t="s">
        <v>2629</v>
      </c>
      <c r="AJ1682" s="55">
        <f>IF(AN1682=0,I1682,0)</f>
        <v>0</v>
      </c>
      <c r="AK1682" s="55">
        <f>IF(AN1682=12,I1682,0)</f>
        <v>0</v>
      </c>
      <c r="AL1682" s="55">
        <f>IF(AN1682=21,I1682,0)</f>
        <v>0</v>
      </c>
      <c r="AN1682" s="55">
        <v>21</v>
      </c>
      <c r="AO1682" s="55">
        <f>H1682*0</f>
        <v>0</v>
      </c>
      <c r="AP1682" s="55">
        <f>H1682*(1-0)</f>
        <v>0</v>
      </c>
      <c r="AQ1682" s="58" t="s">
        <v>139</v>
      </c>
      <c r="AV1682" s="55">
        <f>AW1682+AX1682</f>
        <v>0</v>
      </c>
      <c r="AW1682" s="55">
        <f>G1682*AO1682</f>
        <v>0</v>
      </c>
      <c r="AX1682" s="55">
        <f>G1682*AP1682</f>
        <v>0</v>
      </c>
      <c r="AY1682" s="58" t="s">
        <v>1668</v>
      </c>
      <c r="AZ1682" s="58" t="s">
        <v>3185</v>
      </c>
      <c r="BA1682" s="34" t="s">
        <v>2634</v>
      </c>
      <c r="BC1682" s="55">
        <f>AW1682+AX1682</f>
        <v>0</v>
      </c>
      <c r="BD1682" s="55">
        <f>H1682/(100-BE1682)*100</f>
        <v>0</v>
      </c>
      <c r="BE1682" s="55">
        <v>0</v>
      </c>
      <c r="BF1682" s="55">
        <f>K1682</f>
        <v>0</v>
      </c>
      <c r="BH1682" s="55">
        <f>G1682*AO1682</f>
        <v>0</v>
      </c>
      <c r="BI1682" s="55">
        <f>G1682*AP1682</f>
        <v>0</v>
      </c>
      <c r="BJ1682" s="55">
        <f>G1682*H1682</f>
        <v>0</v>
      </c>
      <c r="BK1682" s="55"/>
      <c r="BL1682" s="55">
        <v>762</v>
      </c>
      <c r="BW1682" s="55">
        <v>21</v>
      </c>
    </row>
    <row r="1683" spans="1:12" ht="14.4">
      <c r="A1683" s="59"/>
      <c r="D1683" s="60" t="s">
        <v>3219</v>
      </c>
      <c r="E1683" s="60" t="s">
        <v>1306</v>
      </c>
      <c r="G1683" s="68">
        <v>28.19</v>
      </c>
      <c r="L1683" s="69"/>
    </row>
    <row r="1684" spans="1:47" ht="14.4">
      <c r="A1684" s="50" t="s">
        <v>4</v>
      </c>
      <c r="B1684" s="51" t="s">
        <v>2629</v>
      </c>
      <c r="C1684" s="51" t="s">
        <v>1870</v>
      </c>
      <c r="D1684" s="222" t="s">
        <v>1871</v>
      </c>
      <c r="E1684" s="223"/>
      <c r="F1684" s="52" t="s">
        <v>79</v>
      </c>
      <c r="G1684" s="52" t="s">
        <v>79</v>
      </c>
      <c r="H1684" s="53" t="s">
        <v>79</v>
      </c>
      <c r="I1684" s="27">
        <f>SUM(I1685:I1930)</f>
        <v>0</v>
      </c>
      <c r="J1684" s="34" t="s">
        <v>4</v>
      </c>
      <c r="K1684" s="27">
        <f>SUM(K1685:K1930)</f>
        <v>13.0635887</v>
      </c>
      <c r="L1684" s="54" t="s">
        <v>4</v>
      </c>
      <c r="AI1684" s="34" t="s">
        <v>2629</v>
      </c>
      <c r="AS1684" s="27">
        <f>SUM(AJ1685:AJ1930)</f>
        <v>0</v>
      </c>
      <c r="AT1684" s="27">
        <f>SUM(AK1685:AK1930)</f>
        <v>0</v>
      </c>
      <c r="AU1684" s="27">
        <f>SUM(AL1685:AL1930)</f>
        <v>0</v>
      </c>
    </row>
    <row r="1685" spans="1:75" ht="27" customHeight="1">
      <c r="A1685" s="1" t="s">
        <v>3220</v>
      </c>
      <c r="B1685" s="2" t="s">
        <v>2629</v>
      </c>
      <c r="C1685" s="2" t="s">
        <v>3221</v>
      </c>
      <c r="D1685" s="147" t="s">
        <v>3222</v>
      </c>
      <c r="E1685" s="148"/>
      <c r="F1685" s="2" t="s">
        <v>729</v>
      </c>
      <c r="G1685" s="55">
        <v>1269</v>
      </c>
      <c r="H1685" s="56">
        <v>0</v>
      </c>
      <c r="I1685" s="55">
        <f>G1685*H1685</f>
        <v>0</v>
      </c>
      <c r="J1685" s="55">
        <v>0.00226</v>
      </c>
      <c r="K1685" s="55">
        <f>G1685*J1685</f>
        <v>2.86794</v>
      </c>
      <c r="L1685" s="57" t="s">
        <v>785</v>
      </c>
      <c r="Z1685" s="55">
        <f>IF(AQ1685="5",BJ1685,0)</f>
        <v>0</v>
      </c>
      <c r="AB1685" s="55">
        <f>IF(AQ1685="1",BH1685,0)</f>
        <v>0</v>
      </c>
      <c r="AC1685" s="55">
        <f>IF(AQ1685="1",BI1685,0)</f>
        <v>0</v>
      </c>
      <c r="AD1685" s="55">
        <f>IF(AQ1685="7",BH1685,0)</f>
        <v>0</v>
      </c>
      <c r="AE1685" s="55">
        <f>IF(AQ1685="7",BI1685,0)</f>
        <v>0</v>
      </c>
      <c r="AF1685" s="55">
        <f>IF(AQ1685="2",BH1685,0)</f>
        <v>0</v>
      </c>
      <c r="AG1685" s="55">
        <f>IF(AQ1685="2",BI1685,0)</f>
        <v>0</v>
      </c>
      <c r="AH1685" s="55">
        <f>IF(AQ1685="0",BJ1685,0)</f>
        <v>0</v>
      </c>
      <c r="AI1685" s="34" t="s">
        <v>2629</v>
      </c>
      <c r="AJ1685" s="55">
        <f>IF(AN1685=0,I1685,0)</f>
        <v>0</v>
      </c>
      <c r="AK1685" s="55">
        <f>IF(AN1685=12,I1685,0)</f>
        <v>0</v>
      </c>
      <c r="AL1685" s="55">
        <f>IF(AN1685=21,I1685,0)</f>
        <v>0</v>
      </c>
      <c r="AN1685" s="55">
        <v>21</v>
      </c>
      <c r="AO1685" s="55">
        <f>H1685*0.426169429</f>
        <v>0</v>
      </c>
      <c r="AP1685" s="55">
        <f>H1685*(1-0.426169429)</f>
        <v>0</v>
      </c>
      <c r="AQ1685" s="58" t="s">
        <v>125</v>
      </c>
      <c r="AV1685" s="55">
        <f>AW1685+AX1685</f>
        <v>0</v>
      </c>
      <c r="AW1685" s="55">
        <f>G1685*AO1685</f>
        <v>0</v>
      </c>
      <c r="AX1685" s="55">
        <f>G1685*AP1685</f>
        <v>0</v>
      </c>
      <c r="AY1685" s="58" t="s">
        <v>1875</v>
      </c>
      <c r="AZ1685" s="58" t="s">
        <v>3185</v>
      </c>
      <c r="BA1685" s="34" t="s">
        <v>2634</v>
      </c>
      <c r="BB1685" s="67">
        <v>100011</v>
      </c>
      <c r="BC1685" s="55">
        <f>AW1685+AX1685</f>
        <v>0</v>
      </c>
      <c r="BD1685" s="55">
        <f>H1685/(100-BE1685)*100</f>
        <v>0</v>
      </c>
      <c r="BE1685" s="55">
        <v>0</v>
      </c>
      <c r="BF1685" s="55">
        <f>K1685</f>
        <v>2.86794</v>
      </c>
      <c r="BH1685" s="55">
        <f>G1685*AO1685</f>
        <v>0</v>
      </c>
      <c r="BI1685" s="55">
        <f>G1685*AP1685</f>
        <v>0</v>
      </c>
      <c r="BJ1685" s="55">
        <f>G1685*H1685</f>
        <v>0</v>
      </c>
      <c r="BK1685" s="55"/>
      <c r="BL1685" s="55">
        <v>764</v>
      </c>
      <c r="BW1685" s="55">
        <v>21</v>
      </c>
    </row>
    <row r="1686" spans="1:12" ht="13.5" customHeight="1">
      <c r="A1686" s="59"/>
      <c r="D1686" s="218" t="s">
        <v>3223</v>
      </c>
      <c r="E1686" s="219"/>
      <c r="F1686" s="219"/>
      <c r="G1686" s="219"/>
      <c r="H1686" s="220"/>
      <c r="I1686" s="219"/>
      <c r="J1686" s="219"/>
      <c r="K1686" s="219"/>
      <c r="L1686" s="221"/>
    </row>
    <row r="1687" spans="1:12" ht="14.4">
      <c r="A1687" s="59"/>
      <c r="D1687" s="60" t="s">
        <v>3224</v>
      </c>
      <c r="E1687" s="60" t="s">
        <v>4</v>
      </c>
      <c r="G1687" s="68">
        <v>1269</v>
      </c>
      <c r="L1687" s="69"/>
    </row>
    <row r="1688" spans="1:75" ht="13.5" customHeight="1">
      <c r="A1688" s="1" t="s">
        <v>3225</v>
      </c>
      <c r="B1688" s="2" t="s">
        <v>2629</v>
      </c>
      <c r="C1688" s="2" t="s">
        <v>3226</v>
      </c>
      <c r="D1688" s="147" t="s">
        <v>3227</v>
      </c>
      <c r="E1688" s="148"/>
      <c r="F1688" s="2" t="s">
        <v>174</v>
      </c>
      <c r="G1688" s="55">
        <v>108.3</v>
      </c>
      <c r="H1688" s="56">
        <v>0</v>
      </c>
      <c r="I1688" s="55">
        <f>G1688*H1688</f>
        <v>0</v>
      </c>
      <c r="J1688" s="55">
        <v>0.00147</v>
      </c>
      <c r="K1688" s="55">
        <f>G1688*J1688</f>
        <v>0.15920099999999998</v>
      </c>
      <c r="L1688" s="57" t="s">
        <v>785</v>
      </c>
      <c r="Z1688" s="55">
        <f>IF(AQ1688="5",BJ1688,0)</f>
        <v>0</v>
      </c>
      <c r="AB1688" s="55">
        <f>IF(AQ1688="1",BH1688,0)</f>
        <v>0</v>
      </c>
      <c r="AC1688" s="55">
        <f>IF(AQ1688="1",BI1688,0)</f>
        <v>0</v>
      </c>
      <c r="AD1688" s="55">
        <f>IF(AQ1688="7",BH1688,0)</f>
        <v>0</v>
      </c>
      <c r="AE1688" s="55">
        <f>IF(AQ1688="7",BI1688,0)</f>
        <v>0</v>
      </c>
      <c r="AF1688" s="55">
        <f>IF(AQ1688="2",BH1688,0)</f>
        <v>0</v>
      </c>
      <c r="AG1688" s="55">
        <f>IF(AQ1688="2",BI1688,0)</f>
        <v>0</v>
      </c>
      <c r="AH1688" s="55">
        <f>IF(AQ1688="0",BJ1688,0)</f>
        <v>0</v>
      </c>
      <c r="AI1688" s="34" t="s">
        <v>2629</v>
      </c>
      <c r="AJ1688" s="55">
        <f>IF(AN1688=0,I1688,0)</f>
        <v>0</v>
      </c>
      <c r="AK1688" s="55">
        <f>IF(AN1688=12,I1688,0)</f>
        <v>0</v>
      </c>
      <c r="AL1688" s="55">
        <f>IF(AN1688=21,I1688,0)</f>
        <v>0</v>
      </c>
      <c r="AN1688" s="55">
        <v>21</v>
      </c>
      <c r="AO1688" s="55">
        <f>H1688*0.88665212</f>
        <v>0</v>
      </c>
      <c r="AP1688" s="55">
        <f>H1688*(1-0.88665212)</f>
        <v>0</v>
      </c>
      <c r="AQ1688" s="58" t="s">
        <v>125</v>
      </c>
      <c r="AV1688" s="55">
        <f>AW1688+AX1688</f>
        <v>0</v>
      </c>
      <c r="AW1688" s="55">
        <f>G1688*AO1688</f>
        <v>0</v>
      </c>
      <c r="AX1688" s="55">
        <f>G1688*AP1688</f>
        <v>0</v>
      </c>
      <c r="AY1688" s="58" t="s">
        <v>1875</v>
      </c>
      <c r="AZ1688" s="58" t="s">
        <v>3185</v>
      </c>
      <c r="BA1688" s="34" t="s">
        <v>2634</v>
      </c>
      <c r="BB1688" s="67">
        <v>100011</v>
      </c>
      <c r="BC1688" s="55">
        <f>AW1688+AX1688</f>
        <v>0</v>
      </c>
      <c r="BD1688" s="55">
        <f>H1688/(100-BE1688)*100</f>
        <v>0</v>
      </c>
      <c r="BE1688" s="55">
        <v>0</v>
      </c>
      <c r="BF1688" s="55">
        <f>K1688</f>
        <v>0.15920099999999998</v>
      </c>
      <c r="BH1688" s="55">
        <f>G1688*AO1688</f>
        <v>0</v>
      </c>
      <c r="BI1688" s="55">
        <f>G1688*AP1688</f>
        <v>0</v>
      </c>
      <c r="BJ1688" s="55">
        <f>G1688*H1688</f>
        <v>0</v>
      </c>
      <c r="BK1688" s="55"/>
      <c r="BL1688" s="55">
        <v>764</v>
      </c>
      <c r="BW1688" s="55">
        <v>21</v>
      </c>
    </row>
    <row r="1689" spans="1:12" ht="13.5" customHeight="1">
      <c r="A1689" s="59"/>
      <c r="D1689" s="218" t="s">
        <v>3228</v>
      </c>
      <c r="E1689" s="219"/>
      <c r="F1689" s="219"/>
      <c r="G1689" s="219"/>
      <c r="H1689" s="220"/>
      <c r="I1689" s="219"/>
      <c r="J1689" s="219"/>
      <c r="K1689" s="219"/>
      <c r="L1689" s="221"/>
    </row>
    <row r="1690" spans="1:12" ht="14.4">
      <c r="A1690" s="59"/>
      <c r="D1690" s="60" t="s">
        <v>3205</v>
      </c>
      <c r="E1690" s="60" t="s">
        <v>3229</v>
      </c>
      <c r="G1690" s="68">
        <v>108.3</v>
      </c>
      <c r="L1690" s="69"/>
    </row>
    <row r="1691" spans="1:75" ht="27" customHeight="1">
      <c r="A1691" s="1" t="s">
        <v>3230</v>
      </c>
      <c r="B1691" s="2" t="s">
        <v>2629</v>
      </c>
      <c r="C1691" s="2" t="s">
        <v>3231</v>
      </c>
      <c r="D1691" s="147" t="s">
        <v>3232</v>
      </c>
      <c r="E1691" s="148"/>
      <c r="F1691" s="2" t="s">
        <v>174</v>
      </c>
      <c r="G1691" s="55">
        <v>216.6</v>
      </c>
      <c r="H1691" s="56">
        <v>0</v>
      </c>
      <c r="I1691" s="55">
        <f>G1691*H1691</f>
        <v>0</v>
      </c>
      <c r="J1691" s="55">
        <v>0.00052</v>
      </c>
      <c r="K1691" s="55">
        <f>G1691*J1691</f>
        <v>0.11263199999999998</v>
      </c>
      <c r="L1691" s="57" t="s">
        <v>124</v>
      </c>
      <c r="Z1691" s="55">
        <f>IF(AQ1691="5",BJ1691,0)</f>
        <v>0</v>
      </c>
      <c r="AB1691" s="55">
        <f>IF(AQ1691="1",BH1691,0)</f>
        <v>0</v>
      </c>
      <c r="AC1691" s="55">
        <f>IF(AQ1691="1",BI1691,0)</f>
        <v>0</v>
      </c>
      <c r="AD1691" s="55">
        <f>IF(AQ1691="7",BH1691,0)</f>
        <v>0</v>
      </c>
      <c r="AE1691" s="55">
        <f>IF(AQ1691="7",BI1691,0)</f>
        <v>0</v>
      </c>
      <c r="AF1691" s="55">
        <f>IF(AQ1691="2",BH1691,0)</f>
        <v>0</v>
      </c>
      <c r="AG1691" s="55">
        <f>IF(AQ1691="2",BI1691,0)</f>
        <v>0</v>
      </c>
      <c r="AH1691" s="55">
        <f>IF(AQ1691="0",BJ1691,0)</f>
        <v>0</v>
      </c>
      <c r="AI1691" s="34" t="s">
        <v>2629</v>
      </c>
      <c r="AJ1691" s="55">
        <f>IF(AN1691=0,I1691,0)</f>
        <v>0</v>
      </c>
      <c r="AK1691" s="55">
        <f>IF(AN1691=12,I1691,0)</f>
        <v>0</v>
      </c>
      <c r="AL1691" s="55">
        <f>IF(AN1691=21,I1691,0)</f>
        <v>0</v>
      </c>
      <c r="AN1691" s="55">
        <v>21</v>
      </c>
      <c r="AO1691" s="55">
        <f>H1691*0.671038166</f>
        <v>0</v>
      </c>
      <c r="AP1691" s="55">
        <f>H1691*(1-0.671038166)</f>
        <v>0</v>
      </c>
      <c r="AQ1691" s="58" t="s">
        <v>125</v>
      </c>
      <c r="AV1691" s="55">
        <f>AW1691+AX1691</f>
        <v>0</v>
      </c>
      <c r="AW1691" s="55">
        <f>G1691*AO1691</f>
        <v>0</v>
      </c>
      <c r="AX1691" s="55">
        <f>G1691*AP1691</f>
        <v>0</v>
      </c>
      <c r="AY1691" s="58" t="s">
        <v>1875</v>
      </c>
      <c r="AZ1691" s="58" t="s">
        <v>3185</v>
      </c>
      <c r="BA1691" s="34" t="s">
        <v>2634</v>
      </c>
      <c r="BB1691" s="67">
        <v>100011</v>
      </c>
      <c r="BC1691" s="55">
        <f>AW1691+AX1691</f>
        <v>0</v>
      </c>
      <c r="BD1691" s="55">
        <f>H1691/(100-BE1691)*100</f>
        <v>0</v>
      </c>
      <c r="BE1691" s="55">
        <v>0</v>
      </c>
      <c r="BF1691" s="55">
        <f>K1691</f>
        <v>0.11263199999999998</v>
      </c>
      <c r="BH1691" s="55">
        <f>G1691*AO1691</f>
        <v>0</v>
      </c>
      <c r="BI1691" s="55">
        <f>G1691*AP1691</f>
        <v>0</v>
      </c>
      <c r="BJ1691" s="55">
        <f>G1691*H1691</f>
        <v>0</v>
      </c>
      <c r="BK1691" s="55"/>
      <c r="BL1691" s="55">
        <v>764</v>
      </c>
      <c r="BW1691" s="55">
        <v>21</v>
      </c>
    </row>
    <row r="1692" spans="1:12" ht="13.5" customHeight="1">
      <c r="A1692" s="59"/>
      <c r="D1692" s="218" t="s">
        <v>3228</v>
      </c>
      <c r="E1692" s="219"/>
      <c r="F1692" s="219"/>
      <c r="G1692" s="219"/>
      <c r="H1692" s="220"/>
      <c r="I1692" s="219"/>
      <c r="J1692" s="219"/>
      <c r="K1692" s="219"/>
      <c r="L1692" s="221"/>
    </row>
    <row r="1693" spans="1:12" ht="14.4">
      <c r="A1693" s="59"/>
      <c r="D1693" s="60" t="s">
        <v>3233</v>
      </c>
      <c r="E1693" s="60" t="s">
        <v>4</v>
      </c>
      <c r="G1693" s="68">
        <v>216.6</v>
      </c>
      <c r="L1693" s="69"/>
    </row>
    <row r="1694" spans="1:75" ht="27" customHeight="1">
      <c r="A1694" s="1" t="s">
        <v>3234</v>
      </c>
      <c r="B1694" s="2" t="s">
        <v>2629</v>
      </c>
      <c r="C1694" s="2" t="s">
        <v>3235</v>
      </c>
      <c r="D1694" s="147" t="s">
        <v>3236</v>
      </c>
      <c r="E1694" s="148"/>
      <c r="F1694" s="2" t="s">
        <v>174</v>
      </c>
      <c r="G1694" s="55">
        <v>58.9</v>
      </c>
      <c r="H1694" s="56">
        <v>0</v>
      </c>
      <c r="I1694" s="55">
        <f>G1694*H1694</f>
        <v>0</v>
      </c>
      <c r="J1694" s="55">
        <v>0.00056</v>
      </c>
      <c r="K1694" s="55">
        <f>G1694*J1694</f>
        <v>0.032984</v>
      </c>
      <c r="L1694" s="57" t="s">
        <v>124</v>
      </c>
      <c r="Z1694" s="55">
        <f>IF(AQ1694="5",BJ1694,0)</f>
        <v>0</v>
      </c>
      <c r="AB1694" s="55">
        <f>IF(AQ1694="1",BH1694,0)</f>
        <v>0</v>
      </c>
      <c r="AC1694" s="55">
        <f>IF(AQ1694="1",BI1694,0)</f>
        <v>0</v>
      </c>
      <c r="AD1694" s="55">
        <f>IF(AQ1694="7",BH1694,0)</f>
        <v>0</v>
      </c>
      <c r="AE1694" s="55">
        <f>IF(AQ1694="7",BI1694,0)</f>
        <v>0</v>
      </c>
      <c r="AF1694" s="55">
        <f>IF(AQ1694="2",BH1694,0)</f>
        <v>0</v>
      </c>
      <c r="AG1694" s="55">
        <f>IF(AQ1694="2",BI1694,0)</f>
        <v>0</v>
      </c>
      <c r="AH1694" s="55">
        <f>IF(AQ1694="0",BJ1694,0)</f>
        <v>0</v>
      </c>
      <c r="AI1694" s="34" t="s">
        <v>2629</v>
      </c>
      <c r="AJ1694" s="55">
        <f>IF(AN1694=0,I1694,0)</f>
        <v>0</v>
      </c>
      <c r="AK1694" s="55">
        <f>IF(AN1694=12,I1694,0)</f>
        <v>0</v>
      </c>
      <c r="AL1694" s="55">
        <f>IF(AN1694=21,I1694,0)</f>
        <v>0</v>
      </c>
      <c r="AN1694" s="55">
        <v>21</v>
      </c>
      <c r="AO1694" s="55">
        <f>H1694*0.124174629</f>
        <v>0</v>
      </c>
      <c r="AP1694" s="55">
        <f>H1694*(1-0.124174629)</f>
        <v>0</v>
      </c>
      <c r="AQ1694" s="58" t="s">
        <v>125</v>
      </c>
      <c r="AV1694" s="55">
        <f>AW1694+AX1694</f>
        <v>0</v>
      </c>
      <c r="AW1694" s="55">
        <f>G1694*AO1694</f>
        <v>0</v>
      </c>
      <c r="AX1694" s="55">
        <f>G1694*AP1694</f>
        <v>0</v>
      </c>
      <c r="AY1694" s="58" t="s">
        <v>1875</v>
      </c>
      <c r="AZ1694" s="58" t="s">
        <v>3185</v>
      </c>
      <c r="BA1694" s="34" t="s">
        <v>2634</v>
      </c>
      <c r="BB1694" s="67">
        <v>100011</v>
      </c>
      <c r="BC1694" s="55">
        <f>AW1694+AX1694</f>
        <v>0</v>
      </c>
      <c r="BD1694" s="55">
        <f>H1694/(100-BE1694)*100</f>
        <v>0</v>
      </c>
      <c r="BE1694" s="55">
        <v>0</v>
      </c>
      <c r="BF1694" s="55">
        <f>K1694</f>
        <v>0.032984</v>
      </c>
      <c r="BH1694" s="55">
        <f>G1694*AO1694</f>
        <v>0</v>
      </c>
      <c r="BI1694" s="55">
        <f>G1694*AP1694</f>
        <v>0</v>
      </c>
      <c r="BJ1694" s="55">
        <f>G1694*H1694</f>
        <v>0</v>
      </c>
      <c r="BK1694" s="55"/>
      <c r="BL1694" s="55">
        <v>764</v>
      </c>
      <c r="BW1694" s="55">
        <v>21</v>
      </c>
    </row>
    <row r="1695" spans="1:12" ht="13.5" customHeight="1">
      <c r="A1695" s="59"/>
      <c r="D1695" s="218" t="s">
        <v>3237</v>
      </c>
      <c r="E1695" s="219"/>
      <c r="F1695" s="219"/>
      <c r="G1695" s="219"/>
      <c r="H1695" s="220"/>
      <c r="I1695" s="219"/>
      <c r="J1695" s="219"/>
      <c r="K1695" s="219"/>
      <c r="L1695" s="221"/>
    </row>
    <row r="1696" spans="1:12" ht="14.4">
      <c r="A1696" s="59"/>
      <c r="D1696" s="60" t="s">
        <v>3238</v>
      </c>
      <c r="E1696" s="60" t="s">
        <v>3239</v>
      </c>
      <c r="G1696" s="68">
        <v>14.2</v>
      </c>
      <c r="L1696" s="69"/>
    </row>
    <row r="1697" spans="1:12" ht="14.4">
      <c r="A1697" s="59"/>
      <c r="D1697" s="60" t="s">
        <v>3240</v>
      </c>
      <c r="E1697" s="60" t="s">
        <v>3241</v>
      </c>
      <c r="G1697" s="68">
        <v>44.7</v>
      </c>
      <c r="L1697" s="69"/>
    </row>
    <row r="1698" spans="1:75" ht="27" customHeight="1">
      <c r="A1698" s="1" t="s">
        <v>3242</v>
      </c>
      <c r="B1698" s="2" t="s">
        <v>2629</v>
      </c>
      <c r="C1698" s="2" t="s">
        <v>3243</v>
      </c>
      <c r="D1698" s="147" t="s">
        <v>3244</v>
      </c>
      <c r="E1698" s="148"/>
      <c r="F1698" s="2" t="s">
        <v>174</v>
      </c>
      <c r="G1698" s="55">
        <v>12</v>
      </c>
      <c r="H1698" s="56">
        <v>0</v>
      </c>
      <c r="I1698" s="55">
        <f>G1698*H1698</f>
        <v>0</v>
      </c>
      <c r="J1698" s="55">
        <v>0.00052</v>
      </c>
      <c r="K1698" s="55">
        <f>G1698*J1698</f>
        <v>0.006239999999999999</v>
      </c>
      <c r="L1698" s="57" t="s">
        <v>124</v>
      </c>
      <c r="Z1698" s="55">
        <f>IF(AQ1698="5",BJ1698,0)</f>
        <v>0</v>
      </c>
      <c r="AB1698" s="55">
        <f>IF(AQ1698="1",BH1698,0)</f>
        <v>0</v>
      </c>
      <c r="AC1698" s="55">
        <f>IF(AQ1698="1",BI1698,0)</f>
        <v>0</v>
      </c>
      <c r="AD1698" s="55">
        <f>IF(AQ1698="7",BH1698,0)</f>
        <v>0</v>
      </c>
      <c r="AE1698" s="55">
        <f>IF(AQ1698="7",BI1698,0)</f>
        <v>0</v>
      </c>
      <c r="AF1698" s="55">
        <f>IF(AQ1698="2",BH1698,0)</f>
        <v>0</v>
      </c>
      <c r="AG1698" s="55">
        <f>IF(AQ1698="2",BI1698,0)</f>
        <v>0</v>
      </c>
      <c r="AH1698" s="55">
        <f>IF(AQ1698="0",BJ1698,0)</f>
        <v>0</v>
      </c>
      <c r="AI1698" s="34" t="s">
        <v>2629</v>
      </c>
      <c r="AJ1698" s="55">
        <f>IF(AN1698=0,I1698,0)</f>
        <v>0</v>
      </c>
      <c r="AK1698" s="55">
        <f>IF(AN1698=12,I1698,0)</f>
        <v>0</v>
      </c>
      <c r="AL1698" s="55">
        <f>IF(AN1698=21,I1698,0)</f>
        <v>0</v>
      </c>
      <c r="AN1698" s="55">
        <v>21</v>
      </c>
      <c r="AO1698" s="55">
        <f>H1698*0.715725528</f>
        <v>0</v>
      </c>
      <c r="AP1698" s="55">
        <f>H1698*(1-0.715725528)</f>
        <v>0</v>
      </c>
      <c r="AQ1698" s="58" t="s">
        <v>125</v>
      </c>
      <c r="AV1698" s="55">
        <f>AW1698+AX1698</f>
        <v>0</v>
      </c>
      <c r="AW1698" s="55">
        <f>G1698*AO1698</f>
        <v>0</v>
      </c>
      <c r="AX1698" s="55">
        <f>G1698*AP1698</f>
        <v>0</v>
      </c>
      <c r="AY1698" s="58" t="s">
        <v>1875</v>
      </c>
      <c r="AZ1698" s="58" t="s">
        <v>3185</v>
      </c>
      <c r="BA1698" s="34" t="s">
        <v>2634</v>
      </c>
      <c r="BB1698" s="67">
        <v>100011</v>
      </c>
      <c r="BC1698" s="55">
        <f>AW1698+AX1698</f>
        <v>0</v>
      </c>
      <c r="BD1698" s="55">
        <f>H1698/(100-BE1698)*100</f>
        <v>0</v>
      </c>
      <c r="BE1698" s="55">
        <v>0</v>
      </c>
      <c r="BF1698" s="55">
        <f>K1698</f>
        <v>0.006239999999999999</v>
      </c>
      <c r="BH1698" s="55">
        <f>G1698*AO1698</f>
        <v>0</v>
      </c>
      <c r="BI1698" s="55">
        <f>G1698*AP1698</f>
        <v>0</v>
      </c>
      <c r="BJ1698" s="55">
        <f>G1698*H1698</f>
        <v>0</v>
      </c>
      <c r="BK1698" s="55"/>
      <c r="BL1698" s="55">
        <v>764</v>
      </c>
      <c r="BW1698" s="55">
        <v>21</v>
      </c>
    </row>
    <row r="1699" spans="1:12" ht="13.5" customHeight="1">
      <c r="A1699" s="59"/>
      <c r="D1699" s="218" t="s">
        <v>3245</v>
      </c>
      <c r="E1699" s="219"/>
      <c r="F1699" s="219"/>
      <c r="G1699" s="219"/>
      <c r="H1699" s="220"/>
      <c r="I1699" s="219"/>
      <c r="J1699" s="219"/>
      <c r="K1699" s="219"/>
      <c r="L1699" s="221"/>
    </row>
    <row r="1700" spans="1:12" ht="14.4">
      <c r="A1700" s="59"/>
      <c r="D1700" s="60" t="s">
        <v>159</v>
      </c>
      <c r="E1700" s="60" t="s">
        <v>4</v>
      </c>
      <c r="G1700" s="68">
        <v>12</v>
      </c>
      <c r="L1700" s="69"/>
    </row>
    <row r="1701" spans="1:75" ht="27" customHeight="1">
      <c r="A1701" s="1" t="s">
        <v>3246</v>
      </c>
      <c r="B1701" s="2" t="s">
        <v>2629</v>
      </c>
      <c r="C1701" s="2" t="s">
        <v>3247</v>
      </c>
      <c r="D1701" s="147" t="s">
        <v>3248</v>
      </c>
      <c r="E1701" s="148"/>
      <c r="F1701" s="2" t="s">
        <v>174</v>
      </c>
      <c r="G1701" s="55">
        <v>53.9</v>
      </c>
      <c r="H1701" s="56">
        <v>0</v>
      </c>
      <c r="I1701" s="55">
        <f>G1701*H1701</f>
        <v>0</v>
      </c>
      <c r="J1701" s="55">
        <v>0.00062</v>
      </c>
      <c r="K1701" s="55">
        <f>G1701*J1701</f>
        <v>0.033417999999999996</v>
      </c>
      <c r="L1701" s="57" t="s">
        <v>124</v>
      </c>
      <c r="Z1701" s="55">
        <f>IF(AQ1701="5",BJ1701,0)</f>
        <v>0</v>
      </c>
      <c r="AB1701" s="55">
        <f>IF(AQ1701="1",BH1701,0)</f>
        <v>0</v>
      </c>
      <c r="AC1701" s="55">
        <f>IF(AQ1701="1",BI1701,0)</f>
        <v>0</v>
      </c>
      <c r="AD1701" s="55">
        <f>IF(AQ1701="7",BH1701,0)</f>
        <v>0</v>
      </c>
      <c r="AE1701" s="55">
        <f>IF(AQ1701="7",BI1701,0)</f>
        <v>0</v>
      </c>
      <c r="AF1701" s="55">
        <f>IF(AQ1701="2",BH1701,0)</f>
        <v>0</v>
      </c>
      <c r="AG1701" s="55">
        <f>IF(AQ1701="2",BI1701,0)</f>
        <v>0</v>
      </c>
      <c r="AH1701" s="55">
        <f>IF(AQ1701="0",BJ1701,0)</f>
        <v>0</v>
      </c>
      <c r="AI1701" s="34" t="s">
        <v>2629</v>
      </c>
      <c r="AJ1701" s="55">
        <f>IF(AN1701=0,I1701,0)</f>
        <v>0</v>
      </c>
      <c r="AK1701" s="55">
        <f>IF(AN1701=12,I1701,0)</f>
        <v>0</v>
      </c>
      <c r="AL1701" s="55">
        <f>IF(AN1701=21,I1701,0)</f>
        <v>0</v>
      </c>
      <c r="AN1701" s="55">
        <v>21</v>
      </c>
      <c r="AO1701" s="55">
        <f>H1701*0.665438486</f>
        <v>0</v>
      </c>
      <c r="AP1701" s="55">
        <f>H1701*(1-0.665438486)</f>
        <v>0</v>
      </c>
      <c r="AQ1701" s="58" t="s">
        <v>125</v>
      </c>
      <c r="AV1701" s="55">
        <f>AW1701+AX1701</f>
        <v>0</v>
      </c>
      <c r="AW1701" s="55">
        <f>G1701*AO1701</f>
        <v>0</v>
      </c>
      <c r="AX1701" s="55">
        <f>G1701*AP1701</f>
        <v>0</v>
      </c>
      <c r="AY1701" s="58" t="s">
        <v>1875</v>
      </c>
      <c r="AZ1701" s="58" t="s">
        <v>3185</v>
      </c>
      <c r="BA1701" s="34" t="s">
        <v>2634</v>
      </c>
      <c r="BB1701" s="67">
        <v>100011</v>
      </c>
      <c r="BC1701" s="55">
        <f>AW1701+AX1701</f>
        <v>0</v>
      </c>
      <c r="BD1701" s="55">
        <f>H1701/(100-BE1701)*100</f>
        <v>0</v>
      </c>
      <c r="BE1701" s="55">
        <v>0</v>
      </c>
      <c r="BF1701" s="55">
        <f>K1701</f>
        <v>0.033417999999999996</v>
      </c>
      <c r="BH1701" s="55">
        <f>G1701*AO1701</f>
        <v>0</v>
      </c>
      <c r="BI1701" s="55">
        <f>G1701*AP1701</f>
        <v>0</v>
      </c>
      <c r="BJ1701" s="55">
        <f>G1701*H1701</f>
        <v>0</v>
      </c>
      <c r="BK1701" s="55"/>
      <c r="BL1701" s="55">
        <v>764</v>
      </c>
      <c r="BW1701" s="55">
        <v>21</v>
      </c>
    </row>
    <row r="1702" spans="1:12" ht="13.5" customHeight="1">
      <c r="A1702" s="59"/>
      <c r="D1702" s="218" t="s">
        <v>3249</v>
      </c>
      <c r="E1702" s="219"/>
      <c r="F1702" s="219"/>
      <c r="G1702" s="219"/>
      <c r="H1702" s="220"/>
      <c r="I1702" s="219"/>
      <c r="J1702" s="219"/>
      <c r="K1702" s="219"/>
      <c r="L1702" s="221"/>
    </row>
    <row r="1703" spans="1:12" ht="14.4">
      <c r="A1703" s="59"/>
      <c r="D1703" s="60" t="s">
        <v>3250</v>
      </c>
      <c r="E1703" s="60" t="s">
        <v>4</v>
      </c>
      <c r="G1703" s="68">
        <v>53.9</v>
      </c>
      <c r="L1703" s="69"/>
    </row>
    <row r="1704" spans="1:75" ht="13.5" customHeight="1">
      <c r="A1704" s="1" t="s">
        <v>3251</v>
      </c>
      <c r="B1704" s="2" t="s">
        <v>2629</v>
      </c>
      <c r="C1704" s="2" t="s">
        <v>3252</v>
      </c>
      <c r="D1704" s="147" t="s">
        <v>3253</v>
      </c>
      <c r="E1704" s="148"/>
      <c r="F1704" s="2" t="s">
        <v>174</v>
      </c>
      <c r="G1704" s="55">
        <v>183.6</v>
      </c>
      <c r="H1704" s="56">
        <v>0</v>
      </c>
      <c r="I1704" s="55">
        <f>G1704*H1704</f>
        <v>0</v>
      </c>
      <c r="J1704" s="55">
        <v>0.00052</v>
      </c>
      <c r="K1704" s="55">
        <f>G1704*J1704</f>
        <v>0.09547199999999999</v>
      </c>
      <c r="L1704" s="57" t="s">
        <v>124</v>
      </c>
      <c r="Z1704" s="55">
        <f>IF(AQ1704="5",BJ1704,0)</f>
        <v>0</v>
      </c>
      <c r="AB1704" s="55">
        <f>IF(AQ1704="1",BH1704,0)</f>
        <v>0</v>
      </c>
      <c r="AC1704" s="55">
        <f>IF(AQ1704="1",BI1704,0)</f>
        <v>0</v>
      </c>
      <c r="AD1704" s="55">
        <f>IF(AQ1704="7",BH1704,0)</f>
        <v>0</v>
      </c>
      <c r="AE1704" s="55">
        <f>IF(AQ1704="7",BI1704,0)</f>
        <v>0</v>
      </c>
      <c r="AF1704" s="55">
        <f>IF(AQ1704="2",BH1704,0)</f>
        <v>0</v>
      </c>
      <c r="AG1704" s="55">
        <f>IF(AQ1704="2",BI1704,0)</f>
        <v>0</v>
      </c>
      <c r="AH1704" s="55">
        <f>IF(AQ1704="0",BJ1704,0)</f>
        <v>0</v>
      </c>
      <c r="AI1704" s="34" t="s">
        <v>2629</v>
      </c>
      <c r="AJ1704" s="55">
        <f>IF(AN1704=0,I1704,0)</f>
        <v>0</v>
      </c>
      <c r="AK1704" s="55">
        <f>IF(AN1704=12,I1704,0)</f>
        <v>0</v>
      </c>
      <c r="AL1704" s="55">
        <f>IF(AN1704=21,I1704,0)</f>
        <v>0</v>
      </c>
      <c r="AN1704" s="55">
        <v>21</v>
      </c>
      <c r="AO1704" s="55">
        <f>H1704*0.75127223</f>
        <v>0</v>
      </c>
      <c r="AP1704" s="55">
        <f>H1704*(1-0.75127223)</f>
        <v>0</v>
      </c>
      <c r="AQ1704" s="58" t="s">
        <v>125</v>
      </c>
      <c r="AV1704" s="55">
        <f>AW1704+AX1704</f>
        <v>0</v>
      </c>
      <c r="AW1704" s="55">
        <f>G1704*AO1704</f>
        <v>0</v>
      </c>
      <c r="AX1704" s="55">
        <f>G1704*AP1704</f>
        <v>0</v>
      </c>
      <c r="AY1704" s="58" t="s">
        <v>1875</v>
      </c>
      <c r="AZ1704" s="58" t="s">
        <v>3185</v>
      </c>
      <c r="BA1704" s="34" t="s">
        <v>2634</v>
      </c>
      <c r="BB1704" s="67">
        <v>100011</v>
      </c>
      <c r="BC1704" s="55">
        <f>AW1704+AX1704</f>
        <v>0</v>
      </c>
      <c r="BD1704" s="55">
        <f>H1704/(100-BE1704)*100</f>
        <v>0</v>
      </c>
      <c r="BE1704" s="55">
        <v>0</v>
      </c>
      <c r="BF1704" s="55">
        <f>K1704</f>
        <v>0.09547199999999999</v>
      </c>
      <c r="BH1704" s="55">
        <f>G1704*AO1704</f>
        <v>0</v>
      </c>
      <c r="BI1704" s="55">
        <f>G1704*AP1704</f>
        <v>0</v>
      </c>
      <c r="BJ1704" s="55">
        <f>G1704*H1704</f>
        <v>0</v>
      </c>
      <c r="BK1704" s="55"/>
      <c r="BL1704" s="55">
        <v>764</v>
      </c>
      <c r="BW1704" s="55">
        <v>21</v>
      </c>
    </row>
    <row r="1705" spans="1:12" ht="13.5" customHeight="1">
      <c r="A1705" s="59"/>
      <c r="D1705" s="218" t="s">
        <v>3254</v>
      </c>
      <c r="E1705" s="219"/>
      <c r="F1705" s="219"/>
      <c r="G1705" s="219"/>
      <c r="H1705" s="220"/>
      <c r="I1705" s="219"/>
      <c r="J1705" s="219"/>
      <c r="K1705" s="219"/>
      <c r="L1705" s="221"/>
    </row>
    <row r="1706" spans="1:12" ht="14.4">
      <c r="A1706" s="76"/>
      <c r="D1706" s="77" t="s">
        <v>3255</v>
      </c>
      <c r="E1706" s="77" t="s">
        <v>4</v>
      </c>
      <c r="G1706" s="78">
        <v>183.6</v>
      </c>
      <c r="L1706" s="79"/>
    </row>
    <row r="1707" spans="1:75" ht="13.5" customHeight="1">
      <c r="A1707" s="80" t="s">
        <v>3256</v>
      </c>
      <c r="B1707" s="81" t="s">
        <v>2629</v>
      </c>
      <c r="C1707" s="81" t="s">
        <v>3257</v>
      </c>
      <c r="D1707" s="226" t="s">
        <v>3258</v>
      </c>
      <c r="E1707" s="227"/>
      <c r="F1707" s="81" t="s">
        <v>174</v>
      </c>
      <c r="G1707" s="82">
        <v>183.6</v>
      </c>
      <c r="H1707" s="83">
        <v>0</v>
      </c>
      <c r="I1707" s="82">
        <f>G1707*H1707</f>
        <v>0</v>
      </c>
      <c r="J1707" s="82">
        <v>0.00056</v>
      </c>
      <c r="K1707" s="82">
        <f>G1707*J1707</f>
        <v>0.10281599999999999</v>
      </c>
      <c r="L1707" s="84" t="s">
        <v>124</v>
      </c>
      <c r="Z1707" s="55">
        <f>IF(AQ1707="5",BJ1707,0)</f>
        <v>0</v>
      </c>
      <c r="AB1707" s="55">
        <f>IF(AQ1707="1",BH1707,0)</f>
        <v>0</v>
      </c>
      <c r="AC1707" s="55">
        <f>IF(AQ1707="1",BI1707,0)</f>
        <v>0</v>
      </c>
      <c r="AD1707" s="55">
        <f>IF(AQ1707="7",BH1707,0)</f>
        <v>0</v>
      </c>
      <c r="AE1707" s="55">
        <f>IF(AQ1707="7",BI1707,0)</f>
        <v>0</v>
      </c>
      <c r="AF1707" s="55">
        <f>IF(AQ1707="2",BH1707,0)</f>
        <v>0</v>
      </c>
      <c r="AG1707" s="55">
        <f>IF(AQ1707="2",BI1707,0)</f>
        <v>0</v>
      </c>
      <c r="AH1707" s="55">
        <f>IF(AQ1707="0",BJ1707,0)</f>
        <v>0</v>
      </c>
      <c r="AI1707" s="34" t="s">
        <v>2629</v>
      </c>
      <c r="AJ1707" s="55">
        <f>IF(AN1707=0,I1707,0)</f>
        <v>0</v>
      </c>
      <c r="AK1707" s="55">
        <f>IF(AN1707=12,I1707,0)</f>
        <v>0</v>
      </c>
      <c r="AL1707" s="55">
        <f>IF(AN1707=21,I1707,0)</f>
        <v>0</v>
      </c>
      <c r="AN1707" s="55">
        <v>21</v>
      </c>
      <c r="AO1707" s="55">
        <f>H1707*0.86976432</f>
        <v>0</v>
      </c>
      <c r="AP1707" s="55">
        <f>H1707*(1-0.86976432)</f>
        <v>0</v>
      </c>
      <c r="AQ1707" s="58" t="s">
        <v>125</v>
      </c>
      <c r="AV1707" s="55">
        <f>AW1707+AX1707</f>
        <v>0</v>
      </c>
      <c r="AW1707" s="55">
        <f>G1707*AO1707</f>
        <v>0</v>
      </c>
      <c r="AX1707" s="55">
        <f>G1707*AP1707</f>
        <v>0</v>
      </c>
      <c r="AY1707" s="58" t="s">
        <v>1875</v>
      </c>
      <c r="AZ1707" s="58" t="s">
        <v>3185</v>
      </c>
      <c r="BA1707" s="34" t="s">
        <v>2634</v>
      </c>
      <c r="BB1707" s="67">
        <v>100011</v>
      </c>
      <c r="BC1707" s="55">
        <f>AW1707+AX1707</f>
        <v>0</v>
      </c>
      <c r="BD1707" s="55">
        <f>H1707/(100-BE1707)*100</f>
        <v>0</v>
      </c>
      <c r="BE1707" s="55">
        <v>0</v>
      </c>
      <c r="BF1707" s="55">
        <f>K1707</f>
        <v>0.10281599999999999</v>
      </c>
      <c r="BH1707" s="55">
        <f>G1707*AO1707</f>
        <v>0</v>
      </c>
      <c r="BI1707" s="55">
        <f>G1707*AP1707</f>
        <v>0</v>
      </c>
      <c r="BJ1707" s="55">
        <f>G1707*H1707</f>
        <v>0</v>
      </c>
      <c r="BK1707" s="55"/>
      <c r="BL1707" s="55">
        <v>764</v>
      </c>
      <c r="BW1707" s="55">
        <v>21</v>
      </c>
    </row>
    <row r="1708" spans="1:12" ht="13.5" customHeight="1">
      <c r="A1708" s="85"/>
      <c r="D1708" s="228" t="s">
        <v>3259</v>
      </c>
      <c r="E1708" s="229"/>
      <c r="F1708" s="229"/>
      <c r="G1708" s="229"/>
      <c r="H1708" s="230"/>
      <c r="I1708" s="229"/>
      <c r="J1708" s="229"/>
      <c r="K1708" s="229"/>
      <c r="L1708" s="231"/>
    </row>
    <row r="1709" spans="1:12" ht="14.4">
      <c r="A1709" s="86"/>
      <c r="B1709" s="87"/>
      <c r="C1709" s="87"/>
      <c r="D1709" s="88" t="s">
        <v>3255</v>
      </c>
      <c r="E1709" s="88" t="s">
        <v>4</v>
      </c>
      <c r="F1709" s="87"/>
      <c r="G1709" s="89">
        <v>183.6</v>
      </c>
      <c r="H1709" s="90"/>
      <c r="I1709" s="87"/>
      <c r="J1709" s="87"/>
      <c r="K1709" s="87"/>
      <c r="L1709" s="91"/>
    </row>
    <row r="1710" spans="1:75" ht="13.5" customHeight="1">
      <c r="A1710" s="92" t="s">
        <v>3260</v>
      </c>
      <c r="B1710" s="93" t="s">
        <v>2629</v>
      </c>
      <c r="C1710" s="93" t="s">
        <v>3261</v>
      </c>
      <c r="D1710" s="232" t="s">
        <v>3262</v>
      </c>
      <c r="E1710" s="233"/>
      <c r="F1710" s="93" t="s">
        <v>174</v>
      </c>
      <c r="G1710" s="94">
        <v>183.6</v>
      </c>
      <c r="H1710" s="95">
        <v>0</v>
      </c>
      <c r="I1710" s="94">
        <f>G1710*H1710</f>
        <v>0</v>
      </c>
      <c r="J1710" s="94">
        <v>0.00027</v>
      </c>
      <c r="K1710" s="94">
        <f>G1710*J1710</f>
        <v>0.049572</v>
      </c>
      <c r="L1710" s="96" t="s">
        <v>124</v>
      </c>
      <c r="Z1710" s="55">
        <f>IF(AQ1710="5",BJ1710,0)</f>
        <v>0</v>
      </c>
      <c r="AB1710" s="55">
        <f>IF(AQ1710="1",BH1710,0)</f>
        <v>0</v>
      </c>
      <c r="AC1710" s="55">
        <f>IF(AQ1710="1",BI1710,0)</f>
        <v>0</v>
      </c>
      <c r="AD1710" s="55">
        <f>IF(AQ1710="7",BH1710,0)</f>
        <v>0</v>
      </c>
      <c r="AE1710" s="55">
        <f>IF(AQ1710="7",BI1710,0)</f>
        <v>0</v>
      </c>
      <c r="AF1710" s="55">
        <f>IF(AQ1710="2",BH1710,0)</f>
        <v>0</v>
      </c>
      <c r="AG1710" s="55">
        <f>IF(AQ1710="2",BI1710,0)</f>
        <v>0</v>
      </c>
      <c r="AH1710" s="55">
        <f>IF(AQ1710="0",BJ1710,0)</f>
        <v>0</v>
      </c>
      <c r="AI1710" s="34" t="s">
        <v>2629</v>
      </c>
      <c r="AJ1710" s="55">
        <f>IF(AN1710=0,I1710,0)</f>
        <v>0</v>
      </c>
      <c r="AK1710" s="55">
        <f>IF(AN1710=12,I1710,0)</f>
        <v>0</v>
      </c>
      <c r="AL1710" s="55">
        <f>IF(AN1710=21,I1710,0)</f>
        <v>0</v>
      </c>
      <c r="AN1710" s="55">
        <v>21</v>
      </c>
      <c r="AO1710" s="55">
        <f>H1710*0.837020015</f>
        <v>0</v>
      </c>
      <c r="AP1710" s="55">
        <f>H1710*(1-0.837020015)</f>
        <v>0</v>
      </c>
      <c r="AQ1710" s="58" t="s">
        <v>125</v>
      </c>
      <c r="AV1710" s="55">
        <f>AW1710+AX1710</f>
        <v>0</v>
      </c>
      <c r="AW1710" s="55">
        <f>G1710*AO1710</f>
        <v>0</v>
      </c>
      <c r="AX1710" s="55">
        <f>G1710*AP1710</f>
        <v>0</v>
      </c>
      <c r="AY1710" s="58" t="s">
        <v>1875</v>
      </c>
      <c r="AZ1710" s="58" t="s">
        <v>3185</v>
      </c>
      <c r="BA1710" s="34" t="s">
        <v>2634</v>
      </c>
      <c r="BB1710" s="67">
        <v>100011</v>
      </c>
      <c r="BC1710" s="55">
        <f>AW1710+AX1710</f>
        <v>0</v>
      </c>
      <c r="BD1710" s="55">
        <f>H1710/(100-BE1710)*100</f>
        <v>0</v>
      </c>
      <c r="BE1710" s="55">
        <v>0</v>
      </c>
      <c r="BF1710" s="55">
        <f>K1710</f>
        <v>0.049572</v>
      </c>
      <c r="BH1710" s="55">
        <f>G1710*AO1710</f>
        <v>0</v>
      </c>
      <c r="BI1710" s="55">
        <f>G1710*AP1710</f>
        <v>0</v>
      </c>
      <c r="BJ1710" s="55">
        <f>G1710*H1710</f>
        <v>0</v>
      </c>
      <c r="BK1710" s="55"/>
      <c r="BL1710" s="55">
        <v>764</v>
      </c>
      <c r="BW1710" s="55">
        <v>21</v>
      </c>
    </row>
    <row r="1711" spans="1:12" ht="13.5" customHeight="1">
      <c r="A1711" s="59"/>
      <c r="D1711" s="218" t="s">
        <v>3263</v>
      </c>
      <c r="E1711" s="219"/>
      <c r="F1711" s="219"/>
      <c r="G1711" s="219"/>
      <c r="H1711" s="220"/>
      <c r="I1711" s="219"/>
      <c r="J1711" s="219"/>
      <c r="K1711" s="219"/>
      <c r="L1711" s="221"/>
    </row>
    <row r="1712" spans="1:12" ht="14.4">
      <c r="A1712" s="59"/>
      <c r="D1712" s="60" t="s">
        <v>3255</v>
      </c>
      <c r="E1712" s="60" t="s">
        <v>4</v>
      </c>
      <c r="G1712" s="68">
        <v>183.6</v>
      </c>
      <c r="L1712" s="69"/>
    </row>
    <row r="1713" spans="1:75" ht="13.5" customHeight="1">
      <c r="A1713" s="1" t="s">
        <v>3264</v>
      </c>
      <c r="B1713" s="2" t="s">
        <v>2629</v>
      </c>
      <c r="C1713" s="2" t="s">
        <v>3265</v>
      </c>
      <c r="D1713" s="147" t="s">
        <v>3266</v>
      </c>
      <c r="E1713" s="148"/>
      <c r="F1713" s="2" t="s">
        <v>174</v>
      </c>
      <c r="G1713" s="55">
        <v>183.6</v>
      </c>
      <c r="H1713" s="56">
        <v>0</v>
      </c>
      <c r="I1713" s="55">
        <f>G1713*H1713</f>
        <v>0</v>
      </c>
      <c r="J1713" s="55">
        <v>0.00056</v>
      </c>
      <c r="K1713" s="55">
        <f>G1713*J1713</f>
        <v>0.10281599999999999</v>
      </c>
      <c r="L1713" s="57" t="s">
        <v>124</v>
      </c>
      <c r="Z1713" s="55">
        <f>IF(AQ1713="5",BJ1713,0)</f>
        <v>0</v>
      </c>
      <c r="AB1713" s="55">
        <f>IF(AQ1713="1",BH1713,0)</f>
        <v>0</v>
      </c>
      <c r="AC1713" s="55">
        <f>IF(AQ1713="1",BI1713,0)</f>
        <v>0</v>
      </c>
      <c r="AD1713" s="55">
        <f>IF(AQ1713="7",BH1713,0)</f>
        <v>0</v>
      </c>
      <c r="AE1713" s="55">
        <f>IF(AQ1713="7",BI1713,0)</f>
        <v>0</v>
      </c>
      <c r="AF1713" s="55">
        <f>IF(AQ1713="2",BH1713,0)</f>
        <v>0</v>
      </c>
      <c r="AG1713" s="55">
        <f>IF(AQ1713="2",BI1713,0)</f>
        <v>0</v>
      </c>
      <c r="AH1713" s="55">
        <f>IF(AQ1713="0",BJ1713,0)</f>
        <v>0</v>
      </c>
      <c r="AI1713" s="34" t="s">
        <v>2629</v>
      </c>
      <c r="AJ1713" s="55">
        <f>IF(AN1713=0,I1713,0)</f>
        <v>0</v>
      </c>
      <c r="AK1713" s="55">
        <f>IF(AN1713=12,I1713,0)</f>
        <v>0</v>
      </c>
      <c r="AL1713" s="55">
        <f>IF(AN1713=21,I1713,0)</f>
        <v>0</v>
      </c>
      <c r="AN1713" s="55">
        <v>21</v>
      </c>
      <c r="AO1713" s="55">
        <f>H1713*0.910661066</f>
        <v>0</v>
      </c>
      <c r="AP1713" s="55">
        <f>H1713*(1-0.910661066)</f>
        <v>0</v>
      </c>
      <c r="AQ1713" s="58" t="s">
        <v>125</v>
      </c>
      <c r="AV1713" s="55">
        <f>AW1713+AX1713</f>
        <v>0</v>
      </c>
      <c r="AW1713" s="55">
        <f>G1713*AO1713</f>
        <v>0</v>
      </c>
      <c r="AX1713" s="55">
        <f>G1713*AP1713</f>
        <v>0</v>
      </c>
      <c r="AY1713" s="58" t="s">
        <v>1875</v>
      </c>
      <c r="AZ1713" s="58" t="s">
        <v>3185</v>
      </c>
      <c r="BA1713" s="34" t="s">
        <v>2634</v>
      </c>
      <c r="BB1713" s="67">
        <v>100011</v>
      </c>
      <c r="BC1713" s="55">
        <f>AW1713+AX1713</f>
        <v>0</v>
      </c>
      <c r="BD1713" s="55">
        <f>H1713/(100-BE1713)*100</f>
        <v>0</v>
      </c>
      <c r="BE1713" s="55">
        <v>0</v>
      </c>
      <c r="BF1713" s="55">
        <f>K1713</f>
        <v>0.10281599999999999</v>
      </c>
      <c r="BH1713" s="55">
        <f>G1713*AO1713</f>
        <v>0</v>
      </c>
      <c r="BI1713" s="55">
        <f>G1713*AP1713</f>
        <v>0</v>
      </c>
      <c r="BJ1713" s="55">
        <f>G1713*H1713</f>
        <v>0</v>
      </c>
      <c r="BK1713" s="55"/>
      <c r="BL1713" s="55">
        <v>764</v>
      </c>
      <c r="BW1713" s="55">
        <v>21</v>
      </c>
    </row>
    <row r="1714" spans="1:12" ht="13.5" customHeight="1">
      <c r="A1714" s="59"/>
      <c r="D1714" s="218" t="s">
        <v>3267</v>
      </c>
      <c r="E1714" s="219"/>
      <c r="F1714" s="219"/>
      <c r="G1714" s="219"/>
      <c r="H1714" s="220"/>
      <c r="I1714" s="219"/>
      <c r="J1714" s="219"/>
      <c r="K1714" s="219"/>
      <c r="L1714" s="221"/>
    </row>
    <row r="1715" spans="1:12" ht="14.4">
      <c r="A1715" s="59"/>
      <c r="D1715" s="60" t="s">
        <v>3255</v>
      </c>
      <c r="E1715" s="60" t="s">
        <v>4</v>
      </c>
      <c r="G1715" s="68">
        <v>183.6</v>
      </c>
      <c r="L1715" s="69"/>
    </row>
    <row r="1716" spans="1:75" ht="13.5" customHeight="1">
      <c r="A1716" s="1" t="s">
        <v>3268</v>
      </c>
      <c r="B1716" s="2" t="s">
        <v>2629</v>
      </c>
      <c r="C1716" s="2" t="s">
        <v>3269</v>
      </c>
      <c r="D1716" s="147" t="s">
        <v>3270</v>
      </c>
      <c r="E1716" s="148"/>
      <c r="F1716" s="2" t="s">
        <v>174</v>
      </c>
      <c r="G1716" s="55">
        <v>183.6</v>
      </c>
      <c r="H1716" s="56">
        <v>0</v>
      </c>
      <c r="I1716" s="55">
        <f>G1716*H1716</f>
        <v>0</v>
      </c>
      <c r="J1716" s="55">
        <v>0.00052</v>
      </c>
      <c r="K1716" s="55">
        <f>G1716*J1716</f>
        <v>0.09547199999999999</v>
      </c>
      <c r="L1716" s="57" t="s">
        <v>124</v>
      </c>
      <c r="Z1716" s="55">
        <f>IF(AQ1716="5",BJ1716,0)</f>
        <v>0</v>
      </c>
      <c r="AB1716" s="55">
        <f>IF(AQ1716="1",BH1716,0)</f>
        <v>0</v>
      </c>
      <c r="AC1716" s="55">
        <f>IF(AQ1716="1",BI1716,0)</f>
        <v>0</v>
      </c>
      <c r="AD1716" s="55">
        <f>IF(AQ1716="7",BH1716,0)</f>
        <v>0</v>
      </c>
      <c r="AE1716" s="55">
        <f>IF(AQ1716="7",BI1716,0)</f>
        <v>0</v>
      </c>
      <c r="AF1716" s="55">
        <f>IF(AQ1716="2",BH1716,0)</f>
        <v>0</v>
      </c>
      <c r="AG1716" s="55">
        <f>IF(AQ1716="2",BI1716,0)</f>
        <v>0</v>
      </c>
      <c r="AH1716" s="55">
        <f>IF(AQ1716="0",BJ1716,0)</f>
        <v>0</v>
      </c>
      <c r="AI1716" s="34" t="s">
        <v>2629</v>
      </c>
      <c r="AJ1716" s="55">
        <f>IF(AN1716=0,I1716,0)</f>
        <v>0</v>
      </c>
      <c r="AK1716" s="55">
        <f>IF(AN1716=12,I1716,0)</f>
        <v>0</v>
      </c>
      <c r="AL1716" s="55">
        <f>IF(AN1716=21,I1716,0)</f>
        <v>0</v>
      </c>
      <c r="AN1716" s="55">
        <v>21</v>
      </c>
      <c r="AO1716" s="55">
        <f>H1716*0.863684586</f>
        <v>0</v>
      </c>
      <c r="AP1716" s="55">
        <f>H1716*(1-0.863684586)</f>
        <v>0</v>
      </c>
      <c r="AQ1716" s="58" t="s">
        <v>125</v>
      </c>
      <c r="AV1716" s="55">
        <f>AW1716+AX1716</f>
        <v>0</v>
      </c>
      <c r="AW1716" s="55">
        <f>G1716*AO1716</f>
        <v>0</v>
      </c>
      <c r="AX1716" s="55">
        <f>G1716*AP1716</f>
        <v>0</v>
      </c>
      <c r="AY1716" s="58" t="s">
        <v>1875</v>
      </c>
      <c r="AZ1716" s="58" t="s">
        <v>3185</v>
      </c>
      <c r="BA1716" s="34" t="s">
        <v>2634</v>
      </c>
      <c r="BC1716" s="55">
        <f>AW1716+AX1716</f>
        <v>0</v>
      </c>
      <c r="BD1716" s="55">
        <f>H1716/(100-BE1716)*100</f>
        <v>0</v>
      </c>
      <c r="BE1716" s="55">
        <v>0</v>
      </c>
      <c r="BF1716" s="55">
        <f>K1716</f>
        <v>0.09547199999999999</v>
      </c>
      <c r="BH1716" s="55">
        <f>G1716*AO1716</f>
        <v>0</v>
      </c>
      <c r="BI1716" s="55">
        <f>G1716*AP1716</f>
        <v>0</v>
      </c>
      <c r="BJ1716" s="55">
        <f>G1716*H1716</f>
        <v>0</v>
      </c>
      <c r="BK1716" s="55"/>
      <c r="BL1716" s="55">
        <v>764</v>
      </c>
      <c r="BW1716" s="55">
        <v>21</v>
      </c>
    </row>
    <row r="1717" spans="1:12" ht="13.5" customHeight="1">
      <c r="A1717" s="59"/>
      <c r="D1717" s="218" t="s">
        <v>3271</v>
      </c>
      <c r="E1717" s="219"/>
      <c r="F1717" s="219"/>
      <c r="G1717" s="219"/>
      <c r="H1717" s="220"/>
      <c r="I1717" s="219"/>
      <c r="J1717" s="219"/>
      <c r="K1717" s="219"/>
      <c r="L1717" s="221"/>
    </row>
    <row r="1718" spans="1:12" ht="14.4">
      <c r="A1718" s="59"/>
      <c r="D1718" s="60" t="s">
        <v>3255</v>
      </c>
      <c r="E1718" s="60" t="s">
        <v>4</v>
      </c>
      <c r="G1718" s="68">
        <v>183.6</v>
      </c>
      <c r="L1718" s="69"/>
    </row>
    <row r="1719" spans="1:75" ht="13.5" customHeight="1">
      <c r="A1719" s="1" t="s">
        <v>3272</v>
      </c>
      <c r="B1719" s="2" t="s">
        <v>2629</v>
      </c>
      <c r="C1719" s="2" t="s">
        <v>3273</v>
      </c>
      <c r="D1719" s="147" t="s">
        <v>3274</v>
      </c>
      <c r="E1719" s="148"/>
      <c r="F1719" s="2" t="s">
        <v>174</v>
      </c>
      <c r="G1719" s="55">
        <v>42.5</v>
      </c>
      <c r="H1719" s="56">
        <v>0</v>
      </c>
      <c r="I1719" s="55">
        <f>G1719*H1719</f>
        <v>0</v>
      </c>
      <c r="J1719" s="55">
        <v>0.00052</v>
      </c>
      <c r="K1719" s="55">
        <f>G1719*J1719</f>
        <v>0.022099999999999998</v>
      </c>
      <c r="L1719" s="57" t="s">
        <v>785</v>
      </c>
      <c r="Z1719" s="55">
        <f>IF(AQ1719="5",BJ1719,0)</f>
        <v>0</v>
      </c>
      <c r="AB1719" s="55">
        <f>IF(AQ1719="1",BH1719,0)</f>
        <v>0</v>
      </c>
      <c r="AC1719" s="55">
        <f>IF(AQ1719="1",BI1719,0)</f>
        <v>0</v>
      </c>
      <c r="AD1719" s="55">
        <f>IF(AQ1719="7",BH1719,0)</f>
        <v>0</v>
      </c>
      <c r="AE1719" s="55">
        <f>IF(AQ1719="7",BI1719,0)</f>
        <v>0</v>
      </c>
      <c r="AF1719" s="55">
        <f>IF(AQ1719="2",BH1719,0)</f>
        <v>0</v>
      </c>
      <c r="AG1719" s="55">
        <f>IF(AQ1719="2",BI1719,0)</f>
        <v>0</v>
      </c>
      <c r="AH1719" s="55">
        <f>IF(AQ1719="0",BJ1719,0)</f>
        <v>0</v>
      </c>
      <c r="AI1719" s="34" t="s">
        <v>2629</v>
      </c>
      <c r="AJ1719" s="55">
        <f>IF(AN1719=0,I1719,0)</f>
        <v>0</v>
      </c>
      <c r="AK1719" s="55">
        <f>IF(AN1719=12,I1719,0)</f>
        <v>0</v>
      </c>
      <c r="AL1719" s="55">
        <f>IF(AN1719=21,I1719,0)</f>
        <v>0</v>
      </c>
      <c r="AN1719" s="55">
        <v>21</v>
      </c>
      <c r="AO1719" s="55">
        <f>H1719*0.761333523</f>
        <v>0</v>
      </c>
      <c r="AP1719" s="55">
        <f>H1719*(1-0.761333523)</f>
        <v>0</v>
      </c>
      <c r="AQ1719" s="58" t="s">
        <v>125</v>
      </c>
      <c r="AV1719" s="55">
        <f>AW1719+AX1719</f>
        <v>0</v>
      </c>
      <c r="AW1719" s="55">
        <f>G1719*AO1719</f>
        <v>0</v>
      </c>
      <c r="AX1719" s="55">
        <f>G1719*AP1719</f>
        <v>0</v>
      </c>
      <c r="AY1719" s="58" t="s">
        <v>1875</v>
      </c>
      <c r="AZ1719" s="58" t="s">
        <v>3185</v>
      </c>
      <c r="BA1719" s="34" t="s">
        <v>2634</v>
      </c>
      <c r="BC1719" s="55">
        <f>AW1719+AX1719</f>
        <v>0</v>
      </c>
      <c r="BD1719" s="55">
        <f>H1719/(100-BE1719)*100</f>
        <v>0</v>
      </c>
      <c r="BE1719" s="55">
        <v>0</v>
      </c>
      <c r="BF1719" s="55">
        <f>K1719</f>
        <v>0.022099999999999998</v>
      </c>
      <c r="BH1719" s="55">
        <f>G1719*AO1719</f>
        <v>0</v>
      </c>
      <c r="BI1719" s="55">
        <f>G1719*AP1719</f>
        <v>0</v>
      </c>
      <c r="BJ1719" s="55">
        <f>G1719*H1719</f>
        <v>0</v>
      </c>
      <c r="BK1719" s="55"/>
      <c r="BL1719" s="55">
        <v>764</v>
      </c>
      <c r="BW1719" s="55">
        <v>21</v>
      </c>
    </row>
    <row r="1720" spans="1:12" ht="13.5" customHeight="1">
      <c r="A1720" s="59"/>
      <c r="D1720" s="218" t="s">
        <v>3275</v>
      </c>
      <c r="E1720" s="219"/>
      <c r="F1720" s="219"/>
      <c r="G1720" s="219"/>
      <c r="H1720" s="220"/>
      <c r="I1720" s="219"/>
      <c r="J1720" s="219"/>
      <c r="K1720" s="219"/>
      <c r="L1720" s="221"/>
    </row>
    <row r="1721" spans="1:12" ht="14.4">
      <c r="A1721" s="59"/>
      <c r="D1721" s="60" t="s">
        <v>3276</v>
      </c>
      <c r="E1721" s="60" t="s">
        <v>4</v>
      </c>
      <c r="G1721" s="68">
        <v>42.5</v>
      </c>
      <c r="L1721" s="69"/>
    </row>
    <row r="1722" spans="1:75" ht="13.5" customHeight="1">
      <c r="A1722" s="1" t="s">
        <v>3277</v>
      </c>
      <c r="B1722" s="2" t="s">
        <v>2629</v>
      </c>
      <c r="C1722" s="2" t="s">
        <v>3278</v>
      </c>
      <c r="D1722" s="147" t="s">
        <v>3279</v>
      </c>
      <c r="E1722" s="148"/>
      <c r="F1722" s="2" t="s">
        <v>174</v>
      </c>
      <c r="G1722" s="55">
        <v>42.5</v>
      </c>
      <c r="H1722" s="56">
        <v>0</v>
      </c>
      <c r="I1722" s="55">
        <f>G1722*H1722</f>
        <v>0</v>
      </c>
      <c r="J1722" s="55">
        <v>0.00027</v>
      </c>
      <c r="K1722" s="55">
        <f>G1722*J1722</f>
        <v>0.011475</v>
      </c>
      <c r="L1722" s="57" t="s">
        <v>124</v>
      </c>
      <c r="Z1722" s="55">
        <f>IF(AQ1722="5",BJ1722,0)</f>
        <v>0</v>
      </c>
      <c r="AB1722" s="55">
        <f>IF(AQ1722="1",BH1722,0)</f>
        <v>0</v>
      </c>
      <c r="AC1722" s="55">
        <f>IF(AQ1722="1",BI1722,0)</f>
        <v>0</v>
      </c>
      <c r="AD1722" s="55">
        <f>IF(AQ1722="7",BH1722,0)</f>
        <v>0</v>
      </c>
      <c r="AE1722" s="55">
        <f>IF(AQ1722="7",BI1722,0)</f>
        <v>0</v>
      </c>
      <c r="AF1722" s="55">
        <f>IF(AQ1722="2",BH1722,0)</f>
        <v>0</v>
      </c>
      <c r="AG1722" s="55">
        <f>IF(AQ1722="2",BI1722,0)</f>
        <v>0</v>
      </c>
      <c r="AH1722" s="55">
        <f>IF(AQ1722="0",BJ1722,0)</f>
        <v>0</v>
      </c>
      <c r="AI1722" s="34" t="s">
        <v>2629</v>
      </c>
      <c r="AJ1722" s="55">
        <f>IF(AN1722=0,I1722,0)</f>
        <v>0</v>
      </c>
      <c r="AK1722" s="55">
        <f>IF(AN1722=12,I1722,0)</f>
        <v>0</v>
      </c>
      <c r="AL1722" s="55">
        <f>IF(AN1722=21,I1722,0)</f>
        <v>0</v>
      </c>
      <c r="AN1722" s="55">
        <v>21</v>
      </c>
      <c r="AO1722" s="55">
        <f>H1722*0.844680958</f>
        <v>0</v>
      </c>
      <c r="AP1722" s="55">
        <f>H1722*(1-0.844680958)</f>
        <v>0</v>
      </c>
      <c r="AQ1722" s="58" t="s">
        <v>125</v>
      </c>
      <c r="AV1722" s="55">
        <f>AW1722+AX1722</f>
        <v>0</v>
      </c>
      <c r="AW1722" s="55">
        <f>G1722*AO1722</f>
        <v>0</v>
      </c>
      <c r="AX1722" s="55">
        <f>G1722*AP1722</f>
        <v>0</v>
      </c>
      <c r="AY1722" s="58" t="s">
        <v>1875</v>
      </c>
      <c r="AZ1722" s="58" t="s">
        <v>3185</v>
      </c>
      <c r="BA1722" s="34" t="s">
        <v>2634</v>
      </c>
      <c r="BC1722" s="55">
        <f>AW1722+AX1722</f>
        <v>0</v>
      </c>
      <c r="BD1722" s="55">
        <f>H1722/(100-BE1722)*100</f>
        <v>0</v>
      </c>
      <c r="BE1722" s="55">
        <v>0</v>
      </c>
      <c r="BF1722" s="55">
        <f>K1722</f>
        <v>0.011475</v>
      </c>
      <c r="BH1722" s="55">
        <f>G1722*AO1722</f>
        <v>0</v>
      </c>
      <c r="BI1722" s="55">
        <f>G1722*AP1722</f>
        <v>0</v>
      </c>
      <c r="BJ1722" s="55">
        <f>G1722*H1722</f>
        <v>0</v>
      </c>
      <c r="BK1722" s="55"/>
      <c r="BL1722" s="55">
        <v>764</v>
      </c>
      <c r="BW1722" s="55">
        <v>21</v>
      </c>
    </row>
    <row r="1723" spans="1:12" ht="13.5" customHeight="1">
      <c r="A1723" s="59"/>
      <c r="D1723" s="218" t="s">
        <v>3280</v>
      </c>
      <c r="E1723" s="219"/>
      <c r="F1723" s="219"/>
      <c r="G1723" s="219"/>
      <c r="H1723" s="220"/>
      <c r="I1723" s="219"/>
      <c r="J1723" s="219"/>
      <c r="K1723" s="219"/>
      <c r="L1723" s="221"/>
    </row>
    <row r="1724" spans="1:12" ht="14.4">
      <c r="A1724" s="59"/>
      <c r="D1724" s="60" t="s">
        <v>3276</v>
      </c>
      <c r="E1724" s="60" t="s">
        <v>4</v>
      </c>
      <c r="G1724" s="68">
        <v>42.5</v>
      </c>
      <c r="L1724" s="69"/>
    </row>
    <row r="1725" spans="1:75" ht="13.5" customHeight="1">
      <c r="A1725" s="1" t="s">
        <v>3281</v>
      </c>
      <c r="B1725" s="2" t="s">
        <v>2629</v>
      </c>
      <c r="C1725" s="2" t="s">
        <v>3282</v>
      </c>
      <c r="D1725" s="147" t="s">
        <v>3283</v>
      </c>
      <c r="E1725" s="148"/>
      <c r="F1725" s="2" t="s">
        <v>174</v>
      </c>
      <c r="G1725" s="55">
        <v>42.5</v>
      </c>
      <c r="H1725" s="56">
        <v>0</v>
      </c>
      <c r="I1725" s="55">
        <f>G1725*H1725</f>
        <v>0</v>
      </c>
      <c r="J1725" s="55">
        <v>0.00052</v>
      </c>
      <c r="K1725" s="55">
        <f>G1725*J1725</f>
        <v>0.022099999999999998</v>
      </c>
      <c r="L1725" s="57" t="s">
        <v>124</v>
      </c>
      <c r="Z1725" s="55">
        <f>IF(AQ1725="5",BJ1725,0)</f>
        <v>0</v>
      </c>
      <c r="AB1725" s="55">
        <f>IF(AQ1725="1",BH1725,0)</f>
        <v>0</v>
      </c>
      <c r="AC1725" s="55">
        <f>IF(AQ1725="1",BI1725,0)</f>
        <v>0</v>
      </c>
      <c r="AD1725" s="55">
        <f>IF(AQ1725="7",BH1725,0)</f>
        <v>0</v>
      </c>
      <c r="AE1725" s="55">
        <f>IF(AQ1725="7",BI1725,0)</f>
        <v>0</v>
      </c>
      <c r="AF1725" s="55">
        <f>IF(AQ1725="2",BH1725,0)</f>
        <v>0</v>
      </c>
      <c r="AG1725" s="55">
        <f>IF(AQ1725="2",BI1725,0)</f>
        <v>0</v>
      </c>
      <c r="AH1725" s="55">
        <f>IF(AQ1725="0",BJ1725,0)</f>
        <v>0</v>
      </c>
      <c r="AI1725" s="34" t="s">
        <v>2629</v>
      </c>
      <c r="AJ1725" s="55">
        <f>IF(AN1725=0,I1725,0)</f>
        <v>0</v>
      </c>
      <c r="AK1725" s="55">
        <f>IF(AN1725=12,I1725,0)</f>
        <v>0</v>
      </c>
      <c r="AL1725" s="55">
        <f>IF(AN1725=21,I1725,0)</f>
        <v>0</v>
      </c>
      <c r="AN1725" s="55">
        <v>21</v>
      </c>
      <c r="AO1725" s="55">
        <f>H1725*0.714933929</f>
        <v>0</v>
      </c>
      <c r="AP1725" s="55">
        <f>H1725*(1-0.714933929)</f>
        <v>0</v>
      </c>
      <c r="AQ1725" s="58" t="s">
        <v>125</v>
      </c>
      <c r="AV1725" s="55">
        <f>AW1725+AX1725</f>
        <v>0</v>
      </c>
      <c r="AW1725" s="55">
        <f>G1725*AO1725</f>
        <v>0</v>
      </c>
      <c r="AX1725" s="55">
        <f>G1725*AP1725</f>
        <v>0</v>
      </c>
      <c r="AY1725" s="58" t="s">
        <v>1875</v>
      </c>
      <c r="AZ1725" s="58" t="s">
        <v>3185</v>
      </c>
      <c r="BA1725" s="34" t="s">
        <v>2634</v>
      </c>
      <c r="BC1725" s="55">
        <f>AW1725+AX1725</f>
        <v>0</v>
      </c>
      <c r="BD1725" s="55">
        <f>H1725/(100-BE1725)*100</f>
        <v>0</v>
      </c>
      <c r="BE1725" s="55">
        <v>0</v>
      </c>
      <c r="BF1725" s="55">
        <f>K1725</f>
        <v>0.022099999999999998</v>
      </c>
      <c r="BH1725" s="55">
        <f>G1725*AO1725</f>
        <v>0</v>
      </c>
      <c r="BI1725" s="55">
        <f>G1725*AP1725</f>
        <v>0</v>
      </c>
      <c r="BJ1725" s="55">
        <f>G1725*H1725</f>
        <v>0</v>
      </c>
      <c r="BK1725" s="55"/>
      <c r="BL1725" s="55">
        <v>764</v>
      </c>
      <c r="BW1725" s="55">
        <v>21</v>
      </c>
    </row>
    <row r="1726" spans="1:12" ht="13.5" customHeight="1">
      <c r="A1726" s="59"/>
      <c r="D1726" s="218" t="s">
        <v>3284</v>
      </c>
      <c r="E1726" s="219"/>
      <c r="F1726" s="219"/>
      <c r="G1726" s="219"/>
      <c r="H1726" s="220"/>
      <c r="I1726" s="219"/>
      <c r="J1726" s="219"/>
      <c r="K1726" s="219"/>
      <c r="L1726" s="221"/>
    </row>
    <row r="1727" spans="1:12" ht="14.4">
      <c r="A1727" s="59"/>
      <c r="D1727" s="60" t="s">
        <v>3276</v>
      </c>
      <c r="E1727" s="60" t="s">
        <v>4</v>
      </c>
      <c r="G1727" s="68">
        <v>42.5</v>
      </c>
      <c r="L1727" s="69"/>
    </row>
    <row r="1728" spans="1:75" ht="13.5" customHeight="1">
      <c r="A1728" s="1" t="s">
        <v>3285</v>
      </c>
      <c r="B1728" s="2" t="s">
        <v>2629</v>
      </c>
      <c r="C1728" s="2" t="s">
        <v>3286</v>
      </c>
      <c r="D1728" s="147" t="s">
        <v>3287</v>
      </c>
      <c r="E1728" s="148"/>
      <c r="F1728" s="2" t="s">
        <v>174</v>
      </c>
      <c r="G1728" s="55">
        <v>42.5</v>
      </c>
      <c r="H1728" s="56">
        <v>0</v>
      </c>
      <c r="I1728" s="55">
        <f>G1728*H1728</f>
        <v>0</v>
      </c>
      <c r="J1728" s="55">
        <v>0.00052</v>
      </c>
      <c r="K1728" s="55">
        <f>G1728*J1728</f>
        <v>0.022099999999999998</v>
      </c>
      <c r="L1728" s="57" t="s">
        <v>124</v>
      </c>
      <c r="Z1728" s="55">
        <f>IF(AQ1728="5",BJ1728,0)</f>
        <v>0</v>
      </c>
      <c r="AB1728" s="55">
        <f>IF(AQ1728="1",BH1728,0)</f>
        <v>0</v>
      </c>
      <c r="AC1728" s="55">
        <f>IF(AQ1728="1",BI1728,0)</f>
        <v>0</v>
      </c>
      <c r="AD1728" s="55">
        <f>IF(AQ1728="7",BH1728,0)</f>
        <v>0</v>
      </c>
      <c r="AE1728" s="55">
        <f>IF(AQ1728="7",BI1728,0)</f>
        <v>0</v>
      </c>
      <c r="AF1728" s="55">
        <f>IF(AQ1728="2",BH1728,0)</f>
        <v>0</v>
      </c>
      <c r="AG1728" s="55">
        <f>IF(AQ1728="2",BI1728,0)</f>
        <v>0</v>
      </c>
      <c r="AH1728" s="55">
        <f>IF(AQ1728="0",BJ1728,0)</f>
        <v>0</v>
      </c>
      <c r="AI1728" s="34" t="s">
        <v>2629</v>
      </c>
      <c r="AJ1728" s="55">
        <f>IF(AN1728=0,I1728,0)</f>
        <v>0</v>
      </c>
      <c r="AK1728" s="55">
        <f>IF(AN1728=12,I1728,0)</f>
        <v>0</v>
      </c>
      <c r="AL1728" s="55">
        <f>IF(AN1728=21,I1728,0)</f>
        <v>0</v>
      </c>
      <c r="AN1728" s="55">
        <v>21</v>
      </c>
      <c r="AO1728" s="55">
        <f>H1728*0.518763934</f>
        <v>0</v>
      </c>
      <c r="AP1728" s="55">
        <f>H1728*(1-0.518763934)</f>
        <v>0</v>
      </c>
      <c r="AQ1728" s="58" t="s">
        <v>125</v>
      </c>
      <c r="AV1728" s="55">
        <f>AW1728+AX1728</f>
        <v>0</v>
      </c>
      <c r="AW1728" s="55">
        <f>G1728*AO1728</f>
        <v>0</v>
      </c>
      <c r="AX1728" s="55">
        <f>G1728*AP1728</f>
        <v>0</v>
      </c>
      <c r="AY1728" s="58" t="s">
        <v>1875</v>
      </c>
      <c r="AZ1728" s="58" t="s">
        <v>3185</v>
      </c>
      <c r="BA1728" s="34" t="s">
        <v>2634</v>
      </c>
      <c r="BC1728" s="55">
        <f>AW1728+AX1728</f>
        <v>0</v>
      </c>
      <c r="BD1728" s="55">
        <f>H1728/(100-BE1728)*100</f>
        <v>0</v>
      </c>
      <c r="BE1728" s="55">
        <v>0</v>
      </c>
      <c r="BF1728" s="55">
        <f>K1728</f>
        <v>0.022099999999999998</v>
      </c>
      <c r="BH1728" s="55">
        <f>G1728*AO1728</f>
        <v>0</v>
      </c>
      <c r="BI1728" s="55">
        <f>G1728*AP1728</f>
        <v>0</v>
      </c>
      <c r="BJ1728" s="55">
        <f>G1728*H1728</f>
        <v>0</v>
      </c>
      <c r="BK1728" s="55"/>
      <c r="BL1728" s="55">
        <v>764</v>
      </c>
      <c r="BW1728" s="55">
        <v>21</v>
      </c>
    </row>
    <row r="1729" spans="1:12" ht="13.5" customHeight="1">
      <c r="A1729" s="59"/>
      <c r="D1729" s="218" t="s">
        <v>3288</v>
      </c>
      <c r="E1729" s="219"/>
      <c r="F1729" s="219"/>
      <c r="G1729" s="219"/>
      <c r="H1729" s="220"/>
      <c r="I1729" s="219"/>
      <c r="J1729" s="219"/>
      <c r="K1729" s="219"/>
      <c r="L1729" s="221"/>
    </row>
    <row r="1730" spans="1:12" ht="14.4">
      <c r="A1730" s="59"/>
      <c r="D1730" s="60" t="s">
        <v>3276</v>
      </c>
      <c r="E1730" s="60" t="s">
        <v>4</v>
      </c>
      <c r="G1730" s="68">
        <v>42.5</v>
      </c>
      <c r="L1730" s="69"/>
    </row>
    <row r="1731" spans="1:75" ht="13.5" customHeight="1">
      <c r="A1731" s="1" t="s">
        <v>3289</v>
      </c>
      <c r="B1731" s="2" t="s">
        <v>2629</v>
      </c>
      <c r="C1731" s="2" t="s">
        <v>3290</v>
      </c>
      <c r="D1731" s="147" t="s">
        <v>3291</v>
      </c>
      <c r="E1731" s="148"/>
      <c r="F1731" s="2" t="s">
        <v>174</v>
      </c>
      <c r="G1731" s="55">
        <v>9.3</v>
      </c>
      <c r="H1731" s="56">
        <v>0</v>
      </c>
      <c r="I1731" s="55">
        <f>G1731*H1731</f>
        <v>0</v>
      </c>
      <c r="J1731" s="55">
        <v>0.00052</v>
      </c>
      <c r="K1731" s="55">
        <f>G1731*J1731</f>
        <v>0.004836</v>
      </c>
      <c r="L1731" s="57" t="s">
        <v>124</v>
      </c>
      <c r="Z1731" s="55">
        <f>IF(AQ1731="5",BJ1731,0)</f>
        <v>0</v>
      </c>
      <c r="AB1731" s="55">
        <f>IF(AQ1731="1",BH1731,0)</f>
        <v>0</v>
      </c>
      <c r="AC1731" s="55">
        <f>IF(AQ1731="1",BI1731,0)</f>
        <v>0</v>
      </c>
      <c r="AD1731" s="55">
        <f>IF(AQ1731="7",BH1731,0)</f>
        <v>0</v>
      </c>
      <c r="AE1731" s="55">
        <f>IF(AQ1731="7",BI1731,0)</f>
        <v>0</v>
      </c>
      <c r="AF1731" s="55">
        <f>IF(AQ1731="2",BH1731,0)</f>
        <v>0</v>
      </c>
      <c r="AG1731" s="55">
        <f>IF(AQ1731="2",BI1731,0)</f>
        <v>0</v>
      </c>
      <c r="AH1731" s="55">
        <f>IF(AQ1731="0",BJ1731,0)</f>
        <v>0</v>
      </c>
      <c r="AI1731" s="34" t="s">
        <v>2629</v>
      </c>
      <c r="AJ1731" s="55">
        <f>IF(AN1731=0,I1731,0)</f>
        <v>0</v>
      </c>
      <c r="AK1731" s="55">
        <f>IF(AN1731=12,I1731,0)</f>
        <v>0</v>
      </c>
      <c r="AL1731" s="55">
        <f>IF(AN1731=21,I1731,0)</f>
        <v>0</v>
      </c>
      <c r="AN1731" s="55">
        <v>21</v>
      </c>
      <c r="AO1731" s="55">
        <f>H1731*0.812901084</f>
        <v>0</v>
      </c>
      <c r="AP1731" s="55">
        <f>H1731*(1-0.812901084)</f>
        <v>0</v>
      </c>
      <c r="AQ1731" s="58" t="s">
        <v>125</v>
      </c>
      <c r="AV1731" s="55">
        <f>AW1731+AX1731</f>
        <v>0</v>
      </c>
      <c r="AW1731" s="55">
        <f>G1731*AO1731</f>
        <v>0</v>
      </c>
      <c r="AX1731" s="55">
        <f>G1731*AP1731</f>
        <v>0</v>
      </c>
      <c r="AY1731" s="58" t="s">
        <v>1875</v>
      </c>
      <c r="AZ1731" s="58" t="s">
        <v>3185</v>
      </c>
      <c r="BA1731" s="34" t="s">
        <v>2634</v>
      </c>
      <c r="BC1731" s="55">
        <f>AW1731+AX1731</f>
        <v>0</v>
      </c>
      <c r="BD1731" s="55">
        <f>H1731/(100-BE1731)*100</f>
        <v>0</v>
      </c>
      <c r="BE1731" s="55">
        <v>0</v>
      </c>
      <c r="BF1731" s="55">
        <f>K1731</f>
        <v>0.004836</v>
      </c>
      <c r="BH1731" s="55">
        <f>G1731*AO1731</f>
        <v>0</v>
      </c>
      <c r="BI1731" s="55">
        <f>G1731*AP1731</f>
        <v>0</v>
      </c>
      <c r="BJ1731" s="55">
        <f>G1731*H1731</f>
        <v>0</v>
      </c>
      <c r="BK1731" s="55"/>
      <c r="BL1731" s="55">
        <v>764</v>
      </c>
      <c r="BW1731" s="55">
        <v>21</v>
      </c>
    </row>
    <row r="1732" spans="1:12" ht="13.5" customHeight="1">
      <c r="A1732" s="59"/>
      <c r="D1732" s="218" t="s">
        <v>3292</v>
      </c>
      <c r="E1732" s="219"/>
      <c r="F1732" s="219"/>
      <c r="G1732" s="219"/>
      <c r="H1732" s="220"/>
      <c r="I1732" s="219"/>
      <c r="J1732" s="219"/>
      <c r="K1732" s="219"/>
      <c r="L1732" s="221"/>
    </row>
    <row r="1733" spans="1:12" ht="14.4">
      <c r="A1733" s="59"/>
      <c r="D1733" s="60" t="s">
        <v>3293</v>
      </c>
      <c r="E1733" s="60" t="s">
        <v>4</v>
      </c>
      <c r="G1733" s="68">
        <v>9.3</v>
      </c>
      <c r="L1733" s="69"/>
    </row>
    <row r="1734" spans="1:75" ht="27" customHeight="1">
      <c r="A1734" s="1" t="s">
        <v>3294</v>
      </c>
      <c r="B1734" s="2" t="s">
        <v>2629</v>
      </c>
      <c r="C1734" s="2" t="s">
        <v>3295</v>
      </c>
      <c r="D1734" s="147" t="s">
        <v>3296</v>
      </c>
      <c r="E1734" s="148"/>
      <c r="F1734" s="2" t="s">
        <v>174</v>
      </c>
      <c r="G1734" s="55">
        <v>9.3</v>
      </c>
      <c r="H1734" s="56">
        <v>0</v>
      </c>
      <c r="I1734" s="55">
        <f>G1734*H1734</f>
        <v>0</v>
      </c>
      <c r="J1734" s="55">
        <v>0.00027</v>
      </c>
      <c r="K1734" s="55">
        <f>G1734*J1734</f>
        <v>0.002511</v>
      </c>
      <c r="L1734" s="57" t="s">
        <v>124</v>
      </c>
      <c r="Z1734" s="55">
        <f>IF(AQ1734="5",BJ1734,0)</f>
        <v>0</v>
      </c>
      <c r="AB1734" s="55">
        <f>IF(AQ1734="1",BH1734,0)</f>
        <v>0</v>
      </c>
      <c r="AC1734" s="55">
        <f>IF(AQ1734="1",BI1734,0)</f>
        <v>0</v>
      </c>
      <c r="AD1734" s="55">
        <f>IF(AQ1734="7",BH1734,0)</f>
        <v>0</v>
      </c>
      <c r="AE1734" s="55">
        <f>IF(AQ1734="7",BI1734,0)</f>
        <v>0</v>
      </c>
      <c r="AF1734" s="55">
        <f>IF(AQ1734="2",BH1734,0)</f>
        <v>0</v>
      </c>
      <c r="AG1734" s="55">
        <f>IF(AQ1734="2",BI1734,0)</f>
        <v>0</v>
      </c>
      <c r="AH1734" s="55">
        <f>IF(AQ1734="0",BJ1734,0)</f>
        <v>0</v>
      </c>
      <c r="AI1734" s="34" t="s">
        <v>2629</v>
      </c>
      <c r="AJ1734" s="55">
        <f>IF(AN1734=0,I1734,0)</f>
        <v>0</v>
      </c>
      <c r="AK1734" s="55">
        <f>IF(AN1734=12,I1734,0)</f>
        <v>0</v>
      </c>
      <c r="AL1734" s="55">
        <f>IF(AN1734=21,I1734,0)</f>
        <v>0</v>
      </c>
      <c r="AN1734" s="55">
        <v>21</v>
      </c>
      <c r="AO1734" s="55">
        <f>H1734*0.747749278</f>
        <v>0</v>
      </c>
      <c r="AP1734" s="55">
        <f>H1734*(1-0.747749278)</f>
        <v>0</v>
      </c>
      <c r="AQ1734" s="58" t="s">
        <v>125</v>
      </c>
      <c r="AV1734" s="55">
        <f>AW1734+AX1734</f>
        <v>0</v>
      </c>
      <c r="AW1734" s="55">
        <f>G1734*AO1734</f>
        <v>0</v>
      </c>
      <c r="AX1734" s="55">
        <f>G1734*AP1734</f>
        <v>0</v>
      </c>
      <c r="AY1734" s="58" t="s">
        <v>1875</v>
      </c>
      <c r="AZ1734" s="58" t="s">
        <v>3185</v>
      </c>
      <c r="BA1734" s="34" t="s">
        <v>2634</v>
      </c>
      <c r="BC1734" s="55">
        <f>AW1734+AX1734</f>
        <v>0</v>
      </c>
      <c r="BD1734" s="55">
        <f>H1734/(100-BE1734)*100</f>
        <v>0</v>
      </c>
      <c r="BE1734" s="55">
        <v>0</v>
      </c>
      <c r="BF1734" s="55">
        <f>K1734</f>
        <v>0.002511</v>
      </c>
      <c r="BH1734" s="55">
        <f>G1734*AO1734</f>
        <v>0</v>
      </c>
      <c r="BI1734" s="55">
        <f>G1734*AP1734</f>
        <v>0</v>
      </c>
      <c r="BJ1734" s="55">
        <f>G1734*H1734</f>
        <v>0</v>
      </c>
      <c r="BK1734" s="55"/>
      <c r="BL1734" s="55">
        <v>764</v>
      </c>
      <c r="BW1734" s="55">
        <v>21</v>
      </c>
    </row>
    <row r="1735" spans="1:12" ht="13.5" customHeight="1">
      <c r="A1735" s="59"/>
      <c r="D1735" s="218" t="s">
        <v>3297</v>
      </c>
      <c r="E1735" s="219"/>
      <c r="F1735" s="219"/>
      <c r="G1735" s="219"/>
      <c r="H1735" s="220"/>
      <c r="I1735" s="219"/>
      <c r="J1735" s="219"/>
      <c r="K1735" s="219"/>
      <c r="L1735" s="221"/>
    </row>
    <row r="1736" spans="1:12" ht="14.4">
      <c r="A1736" s="59"/>
      <c r="D1736" s="60" t="s">
        <v>3293</v>
      </c>
      <c r="E1736" s="60" t="s">
        <v>4</v>
      </c>
      <c r="G1736" s="68">
        <v>9.3</v>
      </c>
      <c r="L1736" s="69"/>
    </row>
    <row r="1737" spans="1:75" ht="13.5" customHeight="1">
      <c r="A1737" s="1" t="s">
        <v>3298</v>
      </c>
      <c r="B1737" s="2" t="s">
        <v>2629</v>
      </c>
      <c r="C1737" s="2" t="s">
        <v>3299</v>
      </c>
      <c r="D1737" s="147" t="s">
        <v>3300</v>
      </c>
      <c r="E1737" s="148"/>
      <c r="F1737" s="2" t="s">
        <v>174</v>
      </c>
      <c r="G1737" s="55">
        <v>9.3</v>
      </c>
      <c r="H1737" s="56">
        <v>0</v>
      </c>
      <c r="I1737" s="55">
        <f>G1737*H1737</f>
        <v>0</v>
      </c>
      <c r="J1737" s="55">
        <v>0.00056</v>
      </c>
      <c r="K1737" s="55">
        <f>G1737*J1737</f>
        <v>0.005208</v>
      </c>
      <c r="L1737" s="57" t="s">
        <v>124</v>
      </c>
      <c r="Z1737" s="55">
        <f>IF(AQ1737="5",BJ1737,0)</f>
        <v>0</v>
      </c>
      <c r="AB1737" s="55">
        <f>IF(AQ1737="1",BH1737,0)</f>
        <v>0</v>
      </c>
      <c r="AC1737" s="55">
        <f>IF(AQ1737="1",BI1737,0)</f>
        <v>0</v>
      </c>
      <c r="AD1737" s="55">
        <f>IF(AQ1737="7",BH1737,0)</f>
        <v>0</v>
      </c>
      <c r="AE1737" s="55">
        <f>IF(AQ1737="7",BI1737,0)</f>
        <v>0</v>
      </c>
      <c r="AF1737" s="55">
        <f>IF(AQ1737="2",BH1737,0)</f>
        <v>0</v>
      </c>
      <c r="AG1737" s="55">
        <f>IF(AQ1737="2",BI1737,0)</f>
        <v>0</v>
      </c>
      <c r="AH1737" s="55">
        <f>IF(AQ1737="0",BJ1737,0)</f>
        <v>0</v>
      </c>
      <c r="AI1737" s="34" t="s">
        <v>2629</v>
      </c>
      <c r="AJ1737" s="55">
        <f>IF(AN1737=0,I1737,0)</f>
        <v>0</v>
      </c>
      <c r="AK1737" s="55">
        <f>IF(AN1737=12,I1737,0)</f>
        <v>0</v>
      </c>
      <c r="AL1737" s="55">
        <f>IF(AN1737=21,I1737,0)</f>
        <v>0</v>
      </c>
      <c r="AN1737" s="55">
        <v>21</v>
      </c>
      <c r="AO1737" s="55">
        <f>H1737*0.792007861</f>
        <v>0</v>
      </c>
      <c r="AP1737" s="55">
        <f>H1737*(1-0.792007861)</f>
        <v>0</v>
      </c>
      <c r="AQ1737" s="58" t="s">
        <v>125</v>
      </c>
      <c r="AV1737" s="55">
        <f>AW1737+AX1737</f>
        <v>0</v>
      </c>
      <c r="AW1737" s="55">
        <f>G1737*AO1737</f>
        <v>0</v>
      </c>
      <c r="AX1737" s="55">
        <f>G1737*AP1737</f>
        <v>0</v>
      </c>
      <c r="AY1737" s="58" t="s">
        <v>1875</v>
      </c>
      <c r="AZ1737" s="58" t="s">
        <v>3185</v>
      </c>
      <c r="BA1737" s="34" t="s">
        <v>2634</v>
      </c>
      <c r="BC1737" s="55">
        <f>AW1737+AX1737</f>
        <v>0</v>
      </c>
      <c r="BD1737" s="55">
        <f>H1737/(100-BE1737)*100</f>
        <v>0</v>
      </c>
      <c r="BE1737" s="55">
        <v>0</v>
      </c>
      <c r="BF1737" s="55">
        <f>K1737</f>
        <v>0.005208</v>
      </c>
      <c r="BH1737" s="55">
        <f>G1737*AO1737</f>
        <v>0</v>
      </c>
      <c r="BI1737" s="55">
        <f>G1737*AP1737</f>
        <v>0</v>
      </c>
      <c r="BJ1737" s="55">
        <f>G1737*H1737</f>
        <v>0</v>
      </c>
      <c r="BK1737" s="55"/>
      <c r="BL1737" s="55">
        <v>764</v>
      </c>
      <c r="BW1737" s="55">
        <v>21</v>
      </c>
    </row>
    <row r="1738" spans="1:12" ht="13.5" customHeight="1">
      <c r="A1738" s="59"/>
      <c r="D1738" s="218" t="s">
        <v>3301</v>
      </c>
      <c r="E1738" s="219"/>
      <c r="F1738" s="219"/>
      <c r="G1738" s="219"/>
      <c r="H1738" s="220"/>
      <c r="I1738" s="219"/>
      <c r="J1738" s="219"/>
      <c r="K1738" s="219"/>
      <c r="L1738" s="221"/>
    </row>
    <row r="1739" spans="1:12" ht="14.4">
      <c r="A1739" s="59"/>
      <c r="D1739" s="60" t="s">
        <v>3293</v>
      </c>
      <c r="E1739" s="60" t="s">
        <v>4</v>
      </c>
      <c r="G1739" s="68">
        <v>9.3</v>
      </c>
      <c r="L1739" s="69"/>
    </row>
    <row r="1740" spans="1:75" ht="13.5" customHeight="1">
      <c r="A1740" s="1" t="s">
        <v>3302</v>
      </c>
      <c r="B1740" s="2" t="s">
        <v>2629</v>
      </c>
      <c r="C1740" s="2" t="s">
        <v>3303</v>
      </c>
      <c r="D1740" s="147" t="s">
        <v>3304</v>
      </c>
      <c r="E1740" s="148"/>
      <c r="F1740" s="2" t="s">
        <v>174</v>
      </c>
      <c r="G1740" s="55">
        <v>9.3</v>
      </c>
      <c r="H1740" s="56">
        <v>0</v>
      </c>
      <c r="I1740" s="55">
        <f>G1740*H1740</f>
        <v>0</v>
      </c>
      <c r="J1740" s="55">
        <v>0.00056</v>
      </c>
      <c r="K1740" s="55">
        <f>G1740*J1740</f>
        <v>0.005208</v>
      </c>
      <c r="L1740" s="57" t="s">
        <v>124</v>
      </c>
      <c r="Z1740" s="55">
        <f>IF(AQ1740="5",BJ1740,0)</f>
        <v>0</v>
      </c>
      <c r="AB1740" s="55">
        <f>IF(AQ1740="1",BH1740,0)</f>
        <v>0</v>
      </c>
      <c r="AC1740" s="55">
        <f>IF(AQ1740="1",BI1740,0)</f>
        <v>0</v>
      </c>
      <c r="AD1740" s="55">
        <f>IF(AQ1740="7",BH1740,0)</f>
        <v>0</v>
      </c>
      <c r="AE1740" s="55">
        <f>IF(AQ1740="7",BI1740,0)</f>
        <v>0</v>
      </c>
      <c r="AF1740" s="55">
        <f>IF(AQ1740="2",BH1740,0)</f>
        <v>0</v>
      </c>
      <c r="AG1740" s="55">
        <f>IF(AQ1740="2",BI1740,0)</f>
        <v>0</v>
      </c>
      <c r="AH1740" s="55">
        <f>IF(AQ1740="0",BJ1740,0)</f>
        <v>0</v>
      </c>
      <c r="AI1740" s="34" t="s">
        <v>2629</v>
      </c>
      <c r="AJ1740" s="55">
        <f>IF(AN1740=0,I1740,0)</f>
        <v>0</v>
      </c>
      <c r="AK1740" s="55">
        <f>IF(AN1740=12,I1740,0)</f>
        <v>0</v>
      </c>
      <c r="AL1740" s="55">
        <f>IF(AN1740=21,I1740,0)</f>
        <v>0</v>
      </c>
      <c r="AN1740" s="55">
        <v>21</v>
      </c>
      <c r="AO1740" s="55">
        <f>H1740*0.887006655</f>
        <v>0</v>
      </c>
      <c r="AP1740" s="55">
        <f>H1740*(1-0.887006655)</f>
        <v>0</v>
      </c>
      <c r="AQ1740" s="58" t="s">
        <v>125</v>
      </c>
      <c r="AV1740" s="55">
        <f>AW1740+AX1740</f>
        <v>0</v>
      </c>
      <c r="AW1740" s="55">
        <f>G1740*AO1740</f>
        <v>0</v>
      </c>
      <c r="AX1740" s="55">
        <f>G1740*AP1740</f>
        <v>0</v>
      </c>
      <c r="AY1740" s="58" t="s">
        <v>1875</v>
      </c>
      <c r="AZ1740" s="58" t="s">
        <v>3185</v>
      </c>
      <c r="BA1740" s="34" t="s">
        <v>2634</v>
      </c>
      <c r="BC1740" s="55">
        <f>AW1740+AX1740</f>
        <v>0</v>
      </c>
      <c r="BD1740" s="55">
        <f>H1740/(100-BE1740)*100</f>
        <v>0</v>
      </c>
      <c r="BE1740" s="55">
        <v>0</v>
      </c>
      <c r="BF1740" s="55">
        <f>K1740</f>
        <v>0.005208</v>
      </c>
      <c r="BH1740" s="55">
        <f>G1740*AO1740</f>
        <v>0</v>
      </c>
      <c r="BI1740" s="55">
        <f>G1740*AP1740</f>
        <v>0</v>
      </c>
      <c r="BJ1740" s="55">
        <f>G1740*H1740</f>
        <v>0</v>
      </c>
      <c r="BK1740" s="55"/>
      <c r="BL1740" s="55">
        <v>764</v>
      </c>
      <c r="BW1740" s="55">
        <v>21</v>
      </c>
    </row>
    <row r="1741" spans="1:12" ht="13.5" customHeight="1">
      <c r="A1741" s="59"/>
      <c r="D1741" s="218" t="s">
        <v>3305</v>
      </c>
      <c r="E1741" s="219"/>
      <c r="F1741" s="219"/>
      <c r="G1741" s="219"/>
      <c r="H1741" s="220"/>
      <c r="I1741" s="219"/>
      <c r="J1741" s="219"/>
      <c r="K1741" s="219"/>
      <c r="L1741" s="221"/>
    </row>
    <row r="1742" spans="1:12" ht="14.4">
      <c r="A1742" s="59"/>
      <c r="D1742" s="60" t="s">
        <v>3293</v>
      </c>
      <c r="E1742" s="60" t="s">
        <v>4</v>
      </c>
      <c r="G1742" s="68">
        <v>9.3</v>
      </c>
      <c r="L1742" s="69"/>
    </row>
    <row r="1743" spans="1:75" ht="27" customHeight="1">
      <c r="A1743" s="1" t="s">
        <v>3306</v>
      </c>
      <c r="B1743" s="2" t="s">
        <v>2629</v>
      </c>
      <c r="C1743" s="2" t="s">
        <v>3307</v>
      </c>
      <c r="D1743" s="147" t="s">
        <v>3308</v>
      </c>
      <c r="E1743" s="148"/>
      <c r="F1743" s="2" t="s">
        <v>174</v>
      </c>
      <c r="G1743" s="55">
        <v>22.8</v>
      </c>
      <c r="H1743" s="56">
        <v>0</v>
      </c>
      <c r="I1743" s="55">
        <f>G1743*H1743</f>
        <v>0</v>
      </c>
      <c r="J1743" s="55">
        <v>0.00027</v>
      </c>
      <c r="K1743" s="55">
        <f>G1743*J1743</f>
        <v>0.006156</v>
      </c>
      <c r="L1743" s="57" t="s">
        <v>124</v>
      </c>
      <c r="Z1743" s="55">
        <f>IF(AQ1743="5",BJ1743,0)</f>
        <v>0</v>
      </c>
      <c r="AB1743" s="55">
        <f>IF(AQ1743="1",BH1743,0)</f>
        <v>0</v>
      </c>
      <c r="AC1743" s="55">
        <f>IF(AQ1743="1",BI1743,0)</f>
        <v>0</v>
      </c>
      <c r="AD1743" s="55">
        <f>IF(AQ1743="7",BH1743,0)</f>
        <v>0</v>
      </c>
      <c r="AE1743" s="55">
        <f>IF(AQ1743="7",BI1743,0)</f>
        <v>0</v>
      </c>
      <c r="AF1743" s="55">
        <f>IF(AQ1743="2",BH1743,0)</f>
        <v>0</v>
      </c>
      <c r="AG1743" s="55">
        <f>IF(AQ1743="2",BI1743,0)</f>
        <v>0</v>
      </c>
      <c r="AH1743" s="55">
        <f>IF(AQ1743="0",BJ1743,0)</f>
        <v>0</v>
      </c>
      <c r="AI1743" s="34" t="s">
        <v>2629</v>
      </c>
      <c r="AJ1743" s="55">
        <f>IF(AN1743=0,I1743,0)</f>
        <v>0</v>
      </c>
      <c r="AK1743" s="55">
        <f>IF(AN1743=12,I1743,0)</f>
        <v>0</v>
      </c>
      <c r="AL1743" s="55">
        <f>IF(AN1743=21,I1743,0)</f>
        <v>0</v>
      </c>
      <c r="AN1743" s="55">
        <v>21</v>
      </c>
      <c r="AO1743" s="55">
        <f>H1743*0.757961925</f>
        <v>0</v>
      </c>
      <c r="AP1743" s="55">
        <f>H1743*(1-0.757961925)</f>
        <v>0</v>
      </c>
      <c r="AQ1743" s="58" t="s">
        <v>125</v>
      </c>
      <c r="AV1743" s="55">
        <f>AW1743+AX1743</f>
        <v>0</v>
      </c>
      <c r="AW1743" s="55">
        <f>G1743*AO1743</f>
        <v>0</v>
      </c>
      <c r="AX1743" s="55">
        <f>G1743*AP1743</f>
        <v>0</v>
      </c>
      <c r="AY1743" s="58" t="s">
        <v>1875</v>
      </c>
      <c r="AZ1743" s="58" t="s">
        <v>3185</v>
      </c>
      <c r="BA1743" s="34" t="s">
        <v>2634</v>
      </c>
      <c r="BC1743" s="55">
        <f>AW1743+AX1743</f>
        <v>0</v>
      </c>
      <c r="BD1743" s="55">
        <f>H1743/(100-BE1743)*100</f>
        <v>0</v>
      </c>
      <c r="BE1743" s="55">
        <v>0</v>
      </c>
      <c r="BF1743" s="55">
        <f>K1743</f>
        <v>0.006156</v>
      </c>
      <c r="BH1743" s="55">
        <f>G1743*AO1743</f>
        <v>0</v>
      </c>
      <c r="BI1743" s="55">
        <f>G1743*AP1743</f>
        <v>0</v>
      </c>
      <c r="BJ1743" s="55">
        <f>G1743*H1743</f>
        <v>0</v>
      </c>
      <c r="BK1743" s="55"/>
      <c r="BL1743" s="55">
        <v>764</v>
      </c>
      <c r="BW1743" s="55">
        <v>21</v>
      </c>
    </row>
    <row r="1744" spans="1:12" ht="13.5" customHeight="1">
      <c r="A1744" s="59"/>
      <c r="D1744" s="218" t="s">
        <v>3309</v>
      </c>
      <c r="E1744" s="219"/>
      <c r="F1744" s="219"/>
      <c r="G1744" s="219"/>
      <c r="H1744" s="220"/>
      <c r="I1744" s="219"/>
      <c r="J1744" s="219"/>
      <c r="K1744" s="219"/>
      <c r="L1744" s="221"/>
    </row>
    <row r="1745" spans="1:12" ht="14.4">
      <c r="A1745" s="59"/>
      <c r="D1745" s="60" t="s">
        <v>3310</v>
      </c>
      <c r="E1745" s="60" t="s">
        <v>4</v>
      </c>
      <c r="G1745" s="68">
        <v>22.8</v>
      </c>
      <c r="L1745" s="69"/>
    </row>
    <row r="1746" spans="1:75" ht="13.5" customHeight="1">
      <c r="A1746" s="1" t="s">
        <v>3311</v>
      </c>
      <c r="B1746" s="2" t="s">
        <v>2629</v>
      </c>
      <c r="C1746" s="2" t="s">
        <v>3231</v>
      </c>
      <c r="D1746" s="147" t="s">
        <v>3312</v>
      </c>
      <c r="E1746" s="148"/>
      <c r="F1746" s="2" t="s">
        <v>174</v>
      </c>
      <c r="G1746" s="55">
        <v>22.8</v>
      </c>
      <c r="H1746" s="56">
        <v>0</v>
      </c>
      <c r="I1746" s="55">
        <f>G1746*H1746</f>
        <v>0</v>
      </c>
      <c r="J1746" s="55">
        <v>0.00052</v>
      </c>
      <c r="K1746" s="55">
        <f>G1746*J1746</f>
        <v>0.011855999999999998</v>
      </c>
      <c r="L1746" s="57" t="s">
        <v>124</v>
      </c>
      <c r="Z1746" s="55">
        <f>IF(AQ1746="5",BJ1746,0)</f>
        <v>0</v>
      </c>
      <c r="AB1746" s="55">
        <f>IF(AQ1746="1",BH1746,0)</f>
        <v>0</v>
      </c>
      <c r="AC1746" s="55">
        <f>IF(AQ1746="1",BI1746,0)</f>
        <v>0</v>
      </c>
      <c r="AD1746" s="55">
        <f>IF(AQ1746="7",BH1746,0)</f>
        <v>0</v>
      </c>
      <c r="AE1746" s="55">
        <f>IF(AQ1746="7",BI1746,0)</f>
        <v>0</v>
      </c>
      <c r="AF1746" s="55">
        <f>IF(AQ1746="2",BH1746,0)</f>
        <v>0</v>
      </c>
      <c r="AG1746" s="55">
        <f>IF(AQ1746="2",BI1746,0)</f>
        <v>0</v>
      </c>
      <c r="AH1746" s="55">
        <f>IF(AQ1746="0",BJ1746,0)</f>
        <v>0</v>
      </c>
      <c r="AI1746" s="34" t="s">
        <v>2629</v>
      </c>
      <c r="AJ1746" s="55">
        <f>IF(AN1746=0,I1746,0)</f>
        <v>0</v>
      </c>
      <c r="AK1746" s="55">
        <f>IF(AN1746=12,I1746,0)</f>
        <v>0</v>
      </c>
      <c r="AL1746" s="55">
        <f>IF(AN1746=21,I1746,0)</f>
        <v>0</v>
      </c>
      <c r="AN1746" s="55">
        <v>21</v>
      </c>
      <c r="AO1746" s="55">
        <f>H1746*0.518771331</f>
        <v>0</v>
      </c>
      <c r="AP1746" s="55">
        <f>H1746*(1-0.518771331)</f>
        <v>0</v>
      </c>
      <c r="AQ1746" s="58" t="s">
        <v>125</v>
      </c>
      <c r="AV1746" s="55">
        <f>AW1746+AX1746</f>
        <v>0</v>
      </c>
      <c r="AW1746" s="55">
        <f>G1746*AO1746</f>
        <v>0</v>
      </c>
      <c r="AX1746" s="55">
        <f>G1746*AP1746</f>
        <v>0</v>
      </c>
      <c r="AY1746" s="58" t="s">
        <v>1875</v>
      </c>
      <c r="AZ1746" s="58" t="s">
        <v>3185</v>
      </c>
      <c r="BA1746" s="34" t="s">
        <v>2634</v>
      </c>
      <c r="BC1746" s="55">
        <f>AW1746+AX1746</f>
        <v>0</v>
      </c>
      <c r="BD1746" s="55">
        <f>H1746/(100-BE1746)*100</f>
        <v>0</v>
      </c>
      <c r="BE1746" s="55">
        <v>0</v>
      </c>
      <c r="BF1746" s="55">
        <f>K1746</f>
        <v>0.011855999999999998</v>
      </c>
      <c r="BH1746" s="55">
        <f>G1746*AO1746</f>
        <v>0</v>
      </c>
      <c r="BI1746" s="55">
        <f>G1746*AP1746</f>
        <v>0</v>
      </c>
      <c r="BJ1746" s="55">
        <f>G1746*H1746</f>
        <v>0</v>
      </c>
      <c r="BK1746" s="55"/>
      <c r="BL1746" s="55">
        <v>764</v>
      </c>
      <c r="BW1746" s="55">
        <v>21</v>
      </c>
    </row>
    <row r="1747" spans="1:12" ht="13.5" customHeight="1">
      <c r="A1747" s="59"/>
      <c r="D1747" s="218" t="s">
        <v>3313</v>
      </c>
      <c r="E1747" s="219"/>
      <c r="F1747" s="219"/>
      <c r="G1747" s="219"/>
      <c r="H1747" s="220"/>
      <c r="I1747" s="219"/>
      <c r="J1747" s="219"/>
      <c r="K1747" s="219"/>
      <c r="L1747" s="221"/>
    </row>
    <row r="1748" spans="1:12" ht="14.4">
      <c r="A1748" s="59"/>
      <c r="D1748" s="60" t="s">
        <v>3314</v>
      </c>
      <c r="E1748" s="60" t="s">
        <v>4</v>
      </c>
      <c r="G1748" s="68">
        <v>22.8</v>
      </c>
      <c r="L1748" s="69"/>
    </row>
    <row r="1749" spans="1:75" ht="27" customHeight="1">
      <c r="A1749" s="1" t="s">
        <v>3315</v>
      </c>
      <c r="B1749" s="2" t="s">
        <v>2629</v>
      </c>
      <c r="C1749" s="2" t="s">
        <v>3316</v>
      </c>
      <c r="D1749" s="147" t="s">
        <v>3317</v>
      </c>
      <c r="E1749" s="148"/>
      <c r="F1749" s="2" t="s">
        <v>174</v>
      </c>
      <c r="G1749" s="55">
        <v>13.75</v>
      </c>
      <c r="H1749" s="56">
        <v>0</v>
      </c>
      <c r="I1749" s="55">
        <f>G1749*H1749</f>
        <v>0</v>
      </c>
      <c r="J1749" s="55">
        <v>0.00265</v>
      </c>
      <c r="K1749" s="55">
        <f>G1749*J1749</f>
        <v>0.0364375</v>
      </c>
      <c r="L1749" s="57" t="s">
        <v>124</v>
      </c>
      <c r="Z1749" s="55">
        <f>IF(AQ1749="5",BJ1749,0)</f>
        <v>0</v>
      </c>
      <c r="AB1749" s="55">
        <f>IF(AQ1749="1",BH1749,0)</f>
        <v>0</v>
      </c>
      <c r="AC1749" s="55">
        <f>IF(AQ1749="1",BI1749,0)</f>
        <v>0</v>
      </c>
      <c r="AD1749" s="55">
        <f>IF(AQ1749="7",BH1749,0)</f>
        <v>0</v>
      </c>
      <c r="AE1749" s="55">
        <f>IF(AQ1749="7",BI1749,0)</f>
        <v>0</v>
      </c>
      <c r="AF1749" s="55">
        <f>IF(AQ1749="2",BH1749,0)</f>
        <v>0</v>
      </c>
      <c r="AG1749" s="55">
        <f>IF(AQ1749="2",BI1749,0)</f>
        <v>0</v>
      </c>
      <c r="AH1749" s="55">
        <f>IF(AQ1749="0",BJ1749,0)</f>
        <v>0</v>
      </c>
      <c r="AI1749" s="34" t="s">
        <v>2629</v>
      </c>
      <c r="AJ1749" s="55">
        <f>IF(AN1749=0,I1749,0)</f>
        <v>0</v>
      </c>
      <c r="AK1749" s="55">
        <f>IF(AN1749=12,I1749,0)</f>
        <v>0</v>
      </c>
      <c r="AL1749" s="55">
        <f>IF(AN1749=21,I1749,0)</f>
        <v>0</v>
      </c>
      <c r="AN1749" s="55">
        <v>21</v>
      </c>
      <c r="AO1749" s="55">
        <f>H1749*0.453849937</f>
        <v>0</v>
      </c>
      <c r="AP1749" s="55">
        <f>H1749*(1-0.453849937)</f>
        <v>0</v>
      </c>
      <c r="AQ1749" s="58" t="s">
        <v>125</v>
      </c>
      <c r="AV1749" s="55">
        <f>AW1749+AX1749</f>
        <v>0</v>
      </c>
      <c r="AW1749" s="55">
        <f>G1749*AO1749</f>
        <v>0</v>
      </c>
      <c r="AX1749" s="55">
        <f>G1749*AP1749</f>
        <v>0</v>
      </c>
      <c r="AY1749" s="58" t="s">
        <v>1875</v>
      </c>
      <c r="AZ1749" s="58" t="s">
        <v>3185</v>
      </c>
      <c r="BA1749" s="34" t="s">
        <v>2634</v>
      </c>
      <c r="BC1749" s="55">
        <f>AW1749+AX1749</f>
        <v>0</v>
      </c>
      <c r="BD1749" s="55">
        <f>H1749/(100-BE1749)*100</f>
        <v>0</v>
      </c>
      <c r="BE1749" s="55">
        <v>0</v>
      </c>
      <c r="BF1749" s="55">
        <f>K1749</f>
        <v>0.0364375</v>
      </c>
      <c r="BH1749" s="55">
        <f>G1749*AO1749</f>
        <v>0</v>
      </c>
      <c r="BI1749" s="55">
        <f>G1749*AP1749</f>
        <v>0</v>
      </c>
      <c r="BJ1749" s="55">
        <f>G1749*H1749</f>
        <v>0</v>
      </c>
      <c r="BK1749" s="55"/>
      <c r="BL1749" s="55">
        <v>764</v>
      </c>
      <c r="BW1749" s="55">
        <v>21</v>
      </c>
    </row>
    <row r="1750" spans="1:12" ht="13.5" customHeight="1">
      <c r="A1750" s="59"/>
      <c r="D1750" s="218" t="s">
        <v>3318</v>
      </c>
      <c r="E1750" s="219"/>
      <c r="F1750" s="219"/>
      <c r="G1750" s="219"/>
      <c r="H1750" s="220"/>
      <c r="I1750" s="219"/>
      <c r="J1750" s="219"/>
      <c r="K1750" s="219"/>
      <c r="L1750" s="221"/>
    </row>
    <row r="1751" spans="1:12" ht="14.4">
      <c r="A1751" s="59"/>
      <c r="D1751" s="60" t="s">
        <v>3319</v>
      </c>
      <c r="E1751" s="60" t="s">
        <v>4</v>
      </c>
      <c r="G1751" s="68">
        <v>13.75</v>
      </c>
      <c r="L1751" s="69"/>
    </row>
    <row r="1752" spans="1:12" ht="14.4">
      <c r="A1752" s="59"/>
      <c r="D1752" s="60" t="s">
        <v>3320</v>
      </c>
      <c r="E1752" s="60" t="s">
        <v>4</v>
      </c>
      <c r="G1752" s="68">
        <v>0</v>
      </c>
      <c r="L1752" s="69"/>
    </row>
    <row r="1753" spans="1:75" ht="13.5" customHeight="1">
      <c r="A1753" s="1" t="s">
        <v>3321</v>
      </c>
      <c r="B1753" s="2" t="s">
        <v>2629</v>
      </c>
      <c r="C1753" s="2" t="s">
        <v>3243</v>
      </c>
      <c r="D1753" s="147" t="s">
        <v>3322</v>
      </c>
      <c r="E1753" s="148"/>
      <c r="F1753" s="2" t="s">
        <v>174</v>
      </c>
      <c r="G1753" s="55">
        <v>13.75</v>
      </c>
      <c r="H1753" s="56">
        <v>0</v>
      </c>
      <c r="I1753" s="55">
        <f>G1753*H1753</f>
        <v>0</v>
      </c>
      <c r="J1753" s="55">
        <v>0.00052</v>
      </c>
      <c r="K1753" s="55">
        <f>G1753*J1753</f>
        <v>0.007149999999999999</v>
      </c>
      <c r="L1753" s="57" t="s">
        <v>124</v>
      </c>
      <c r="Z1753" s="55">
        <f>IF(AQ1753="5",BJ1753,0)</f>
        <v>0</v>
      </c>
      <c r="AB1753" s="55">
        <f>IF(AQ1753="1",BH1753,0)</f>
        <v>0</v>
      </c>
      <c r="AC1753" s="55">
        <f>IF(AQ1753="1",BI1753,0)</f>
        <v>0</v>
      </c>
      <c r="AD1753" s="55">
        <f>IF(AQ1753="7",BH1753,0)</f>
        <v>0</v>
      </c>
      <c r="AE1753" s="55">
        <f>IF(AQ1753="7",BI1753,0)</f>
        <v>0</v>
      </c>
      <c r="AF1753" s="55">
        <f>IF(AQ1753="2",BH1753,0)</f>
        <v>0</v>
      </c>
      <c r="AG1753" s="55">
        <f>IF(AQ1753="2",BI1753,0)</f>
        <v>0</v>
      </c>
      <c r="AH1753" s="55">
        <f>IF(AQ1753="0",BJ1753,0)</f>
        <v>0</v>
      </c>
      <c r="AI1753" s="34" t="s">
        <v>2629</v>
      </c>
      <c r="AJ1753" s="55">
        <f>IF(AN1753=0,I1753,0)</f>
        <v>0</v>
      </c>
      <c r="AK1753" s="55">
        <f>IF(AN1753=12,I1753,0)</f>
        <v>0</v>
      </c>
      <c r="AL1753" s="55">
        <f>IF(AN1753=21,I1753,0)</f>
        <v>0</v>
      </c>
      <c r="AN1753" s="55">
        <v>21</v>
      </c>
      <c r="AO1753" s="55">
        <f>H1753*0.513618677</f>
        <v>0</v>
      </c>
      <c r="AP1753" s="55">
        <f>H1753*(1-0.513618677)</f>
        <v>0</v>
      </c>
      <c r="AQ1753" s="58" t="s">
        <v>125</v>
      </c>
      <c r="AV1753" s="55">
        <f>AW1753+AX1753</f>
        <v>0</v>
      </c>
      <c r="AW1753" s="55">
        <f>G1753*AO1753</f>
        <v>0</v>
      </c>
      <c r="AX1753" s="55">
        <f>G1753*AP1753</f>
        <v>0</v>
      </c>
      <c r="AY1753" s="58" t="s">
        <v>1875</v>
      </c>
      <c r="AZ1753" s="58" t="s">
        <v>3185</v>
      </c>
      <c r="BA1753" s="34" t="s">
        <v>2634</v>
      </c>
      <c r="BC1753" s="55">
        <f>AW1753+AX1753</f>
        <v>0</v>
      </c>
      <c r="BD1753" s="55">
        <f>H1753/(100-BE1753)*100</f>
        <v>0</v>
      </c>
      <c r="BE1753" s="55">
        <v>0</v>
      </c>
      <c r="BF1753" s="55">
        <f>K1753</f>
        <v>0.007149999999999999</v>
      </c>
      <c r="BH1753" s="55">
        <f>G1753*AO1753</f>
        <v>0</v>
      </c>
      <c r="BI1753" s="55">
        <f>G1753*AP1753</f>
        <v>0</v>
      </c>
      <c r="BJ1753" s="55">
        <f>G1753*H1753</f>
        <v>0</v>
      </c>
      <c r="BK1753" s="55"/>
      <c r="BL1753" s="55">
        <v>764</v>
      </c>
      <c r="BW1753" s="55">
        <v>21</v>
      </c>
    </row>
    <row r="1754" spans="1:12" ht="13.5" customHeight="1">
      <c r="A1754" s="59"/>
      <c r="D1754" s="218" t="s">
        <v>3323</v>
      </c>
      <c r="E1754" s="219"/>
      <c r="F1754" s="219"/>
      <c r="G1754" s="219"/>
      <c r="H1754" s="220"/>
      <c r="I1754" s="219"/>
      <c r="J1754" s="219"/>
      <c r="K1754" s="219"/>
      <c r="L1754" s="221"/>
    </row>
    <row r="1755" spans="1:12" ht="14.4">
      <c r="A1755" s="59"/>
      <c r="D1755" s="60" t="s">
        <v>3319</v>
      </c>
      <c r="E1755" s="60" t="s">
        <v>4</v>
      </c>
      <c r="G1755" s="68">
        <v>13.75</v>
      </c>
      <c r="L1755" s="69"/>
    </row>
    <row r="1756" spans="1:75" ht="13.5" customHeight="1">
      <c r="A1756" s="1" t="s">
        <v>3324</v>
      </c>
      <c r="B1756" s="2" t="s">
        <v>2629</v>
      </c>
      <c r="C1756" s="2" t="s">
        <v>3325</v>
      </c>
      <c r="D1756" s="147" t="s">
        <v>3326</v>
      </c>
      <c r="E1756" s="148"/>
      <c r="F1756" s="2" t="s">
        <v>174</v>
      </c>
      <c r="G1756" s="55">
        <v>13.75</v>
      </c>
      <c r="H1756" s="56">
        <v>0</v>
      </c>
      <c r="I1756" s="55">
        <f>G1756*H1756</f>
        <v>0</v>
      </c>
      <c r="J1756" s="55">
        <v>0.00052</v>
      </c>
      <c r="K1756" s="55">
        <f>G1756*J1756</f>
        <v>0.007149999999999999</v>
      </c>
      <c r="L1756" s="57" t="s">
        <v>124</v>
      </c>
      <c r="Z1756" s="55">
        <f>IF(AQ1756="5",BJ1756,0)</f>
        <v>0</v>
      </c>
      <c r="AB1756" s="55">
        <f>IF(AQ1756="1",BH1756,0)</f>
        <v>0</v>
      </c>
      <c r="AC1756" s="55">
        <f>IF(AQ1756="1",BI1756,0)</f>
        <v>0</v>
      </c>
      <c r="AD1756" s="55">
        <f>IF(AQ1756="7",BH1756,0)</f>
        <v>0</v>
      </c>
      <c r="AE1756" s="55">
        <f>IF(AQ1756="7",BI1756,0)</f>
        <v>0</v>
      </c>
      <c r="AF1756" s="55">
        <f>IF(AQ1756="2",BH1756,0)</f>
        <v>0</v>
      </c>
      <c r="AG1756" s="55">
        <f>IF(AQ1756="2",BI1756,0)</f>
        <v>0</v>
      </c>
      <c r="AH1756" s="55">
        <f>IF(AQ1756="0",BJ1756,0)</f>
        <v>0</v>
      </c>
      <c r="AI1756" s="34" t="s">
        <v>2629</v>
      </c>
      <c r="AJ1756" s="55">
        <f>IF(AN1756=0,I1756,0)</f>
        <v>0</v>
      </c>
      <c r="AK1756" s="55">
        <f>IF(AN1756=12,I1756,0)</f>
        <v>0</v>
      </c>
      <c r="AL1756" s="55">
        <f>IF(AN1756=21,I1756,0)</f>
        <v>0</v>
      </c>
      <c r="AN1756" s="55">
        <v>21</v>
      </c>
      <c r="AO1756" s="55">
        <f>H1756*0.513618677</f>
        <v>0</v>
      </c>
      <c r="AP1756" s="55">
        <f>H1756*(1-0.513618677)</f>
        <v>0</v>
      </c>
      <c r="AQ1756" s="58" t="s">
        <v>125</v>
      </c>
      <c r="AV1756" s="55">
        <f>AW1756+AX1756</f>
        <v>0</v>
      </c>
      <c r="AW1756" s="55">
        <f>G1756*AO1756</f>
        <v>0</v>
      </c>
      <c r="AX1756" s="55">
        <f>G1756*AP1756</f>
        <v>0</v>
      </c>
      <c r="AY1756" s="58" t="s">
        <v>1875</v>
      </c>
      <c r="AZ1756" s="58" t="s">
        <v>3185</v>
      </c>
      <c r="BA1756" s="34" t="s">
        <v>2634</v>
      </c>
      <c r="BC1756" s="55">
        <f>AW1756+AX1756</f>
        <v>0</v>
      </c>
      <c r="BD1756" s="55">
        <f>H1756/(100-BE1756)*100</f>
        <v>0</v>
      </c>
      <c r="BE1756" s="55">
        <v>0</v>
      </c>
      <c r="BF1756" s="55">
        <f>K1756</f>
        <v>0.007149999999999999</v>
      </c>
      <c r="BH1756" s="55">
        <f>G1756*AO1756</f>
        <v>0</v>
      </c>
      <c r="BI1756" s="55">
        <f>G1756*AP1756</f>
        <v>0</v>
      </c>
      <c r="BJ1756" s="55">
        <f>G1756*H1756</f>
        <v>0</v>
      </c>
      <c r="BK1756" s="55"/>
      <c r="BL1756" s="55">
        <v>764</v>
      </c>
      <c r="BW1756" s="55">
        <v>21</v>
      </c>
    </row>
    <row r="1757" spans="1:12" ht="13.5" customHeight="1">
      <c r="A1757" s="59"/>
      <c r="D1757" s="218" t="s">
        <v>3327</v>
      </c>
      <c r="E1757" s="219"/>
      <c r="F1757" s="219"/>
      <c r="G1757" s="219"/>
      <c r="H1757" s="220"/>
      <c r="I1757" s="219"/>
      <c r="J1757" s="219"/>
      <c r="K1757" s="219"/>
      <c r="L1757" s="221"/>
    </row>
    <row r="1758" spans="1:12" ht="14.4">
      <c r="A1758" s="59"/>
      <c r="D1758" s="60" t="s">
        <v>3319</v>
      </c>
      <c r="E1758" s="60" t="s">
        <v>4</v>
      </c>
      <c r="G1758" s="68">
        <v>13.75</v>
      </c>
      <c r="L1758" s="69"/>
    </row>
    <row r="1759" spans="1:75" ht="27" customHeight="1">
      <c r="A1759" s="1" t="s">
        <v>3328</v>
      </c>
      <c r="B1759" s="2" t="s">
        <v>2629</v>
      </c>
      <c r="C1759" s="2" t="s">
        <v>3329</v>
      </c>
      <c r="D1759" s="147" t="s">
        <v>3330</v>
      </c>
      <c r="E1759" s="148"/>
      <c r="F1759" s="2" t="s">
        <v>174</v>
      </c>
      <c r="G1759" s="55">
        <v>13.75</v>
      </c>
      <c r="H1759" s="56">
        <v>0</v>
      </c>
      <c r="I1759" s="55">
        <f>G1759*H1759</f>
        <v>0</v>
      </c>
      <c r="J1759" s="55">
        <v>0.00027</v>
      </c>
      <c r="K1759" s="55">
        <f>G1759*J1759</f>
        <v>0.0037125</v>
      </c>
      <c r="L1759" s="57" t="s">
        <v>124</v>
      </c>
      <c r="Z1759" s="55">
        <f>IF(AQ1759="5",BJ1759,0)</f>
        <v>0</v>
      </c>
      <c r="AB1759" s="55">
        <f>IF(AQ1759="1",BH1759,0)</f>
        <v>0</v>
      </c>
      <c r="AC1759" s="55">
        <f>IF(AQ1759="1",BI1759,0)</f>
        <v>0</v>
      </c>
      <c r="AD1759" s="55">
        <f>IF(AQ1759="7",BH1759,0)</f>
        <v>0</v>
      </c>
      <c r="AE1759" s="55">
        <f>IF(AQ1759="7",BI1759,0)</f>
        <v>0</v>
      </c>
      <c r="AF1759" s="55">
        <f>IF(AQ1759="2",BH1759,0)</f>
        <v>0</v>
      </c>
      <c r="AG1759" s="55">
        <f>IF(AQ1759="2",BI1759,0)</f>
        <v>0</v>
      </c>
      <c r="AH1759" s="55">
        <f>IF(AQ1759="0",BJ1759,0)</f>
        <v>0</v>
      </c>
      <c r="AI1759" s="34" t="s">
        <v>2629</v>
      </c>
      <c r="AJ1759" s="55">
        <f>IF(AN1759=0,I1759,0)</f>
        <v>0</v>
      </c>
      <c r="AK1759" s="55">
        <f>IF(AN1759=12,I1759,0)</f>
        <v>0</v>
      </c>
      <c r="AL1759" s="55">
        <f>IF(AN1759=21,I1759,0)</f>
        <v>0</v>
      </c>
      <c r="AN1759" s="55">
        <v>21</v>
      </c>
      <c r="AO1759" s="55">
        <f>H1759*0.747769139</f>
        <v>0</v>
      </c>
      <c r="AP1759" s="55">
        <f>H1759*(1-0.747769139)</f>
        <v>0</v>
      </c>
      <c r="AQ1759" s="58" t="s">
        <v>125</v>
      </c>
      <c r="AV1759" s="55">
        <f>AW1759+AX1759</f>
        <v>0</v>
      </c>
      <c r="AW1759" s="55">
        <f>G1759*AO1759</f>
        <v>0</v>
      </c>
      <c r="AX1759" s="55">
        <f>G1759*AP1759</f>
        <v>0</v>
      </c>
      <c r="AY1759" s="58" t="s">
        <v>1875</v>
      </c>
      <c r="AZ1759" s="58" t="s">
        <v>3185</v>
      </c>
      <c r="BA1759" s="34" t="s">
        <v>2634</v>
      </c>
      <c r="BC1759" s="55">
        <f>AW1759+AX1759</f>
        <v>0</v>
      </c>
      <c r="BD1759" s="55">
        <f>H1759/(100-BE1759)*100</f>
        <v>0</v>
      </c>
      <c r="BE1759" s="55">
        <v>0</v>
      </c>
      <c r="BF1759" s="55">
        <f>K1759</f>
        <v>0.0037125</v>
      </c>
      <c r="BH1759" s="55">
        <f>G1759*AO1759</f>
        <v>0</v>
      </c>
      <c r="BI1759" s="55">
        <f>G1759*AP1759</f>
        <v>0</v>
      </c>
      <c r="BJ1759" s="55">
        <f>G1759*H1759</f>
        <v>0</v>
      </c>
      <c r="BK1759" s="55"/>
      <c r="BL1759" s="55">
        <v>764</v>
      </c>
      <c r="BW1759" s="55">
        <v>21</v>
      </c>
    </row>
    <row r="1760" spans="1:12" ht="13.5" customHeight="1">
      <c r="A1760" s="59"/>
      <c r="D1760" s="218" t="s">
        <v>3331</v>
      </c>
      <c r="E1760" s="219"/>
      <c r="F1760" s="219"/>
      <c r="G1760" s="219"/>
      <c r="H1760" s="220"/>
      <c r="I1760" s="219"/>
      <c r="J1760" s="219"/>
      <c r="K1760" s="219"/>
      <c r="L1760" s="221"/>
    </row>
    <row r="1761" spans="1:12" ht="14.4">
      <c r="A1761" s="59"/>
      <c r="D1761" s="60" t="s">
        <v>3319</v>
      </c>
      <c r="E1761" s="60" t="s">
        <v>4</v>
      </c>
      <c r="G1761" s="68">
        <v>13.75</v>
      </c>
      <c r="L1761" s="69"/>
    </row>
    <row r="1762" spans="1:75" ht="13.5" customHeight="1">
      <c r="A1762" s="1" t="s">
        <v>3332</v>
      </c>
      <c r="B1762" s="2" t="s">
        <v>2629</v>
      </c>
      <c r="C1762" s="2" t="s">
        <v>3333</v>
      </c>
      <c r="D1762" s="147" t="s">
        <v>3334</v>
      </c>
      <c r="E1762" s="148"/>
      <c r="F1762" s="2" t="s">
        <v>174</v>
      </c>
      <c r="G1762" s="55">
        <v>13.75</v>
      </c>
      <c r="H1762" s="56">
        <v>0</v>
      </c>
      <c r="I1762" s="55">
        <f>G1762*H1762</f>
        <v>0</v>
      </c>
      <c r="J1762" s="55">
        <v>0.00052</v>
      </c>
      <c r="K1762" s="55">
        <f>G1762*J1762</f>
        <v>0.007149999999999999</v>
      </c>
      <c r="L1762" s="57" t="s">
        <v>124</v>
      </c>
      <c r="Z1762" s="55">
        <f>IF(AQ1762="5",BJ1762,0)</f>
        <v>0</v>
      </c>
      <c r="AB1762" s="55">
        <f>IF(AQ1762="1",BH1762,0)</f>
        <v>0</v>
      </c>
      <c r="AC1762" s="55">
        <f>IF(AQ1762="1",BI1762,0)</f>
        <v>0</v>
      </c>
      <c r="AD1762" s="55">
        <f>IF(AQ1762="7",BH1762,0)</f>
        <v>0</v>
      </c>
      <c r="AE1762" s="55">
        <f>IF(AQ1762="7",BI1762,0)</f>
        <v>0</v>
      </c>
      <c r="AF1762" s="55">
        <f>IF(AQ1762="2",BH1762,0)</f>
        <v>0</v>
      </c>
      <c r="AG1762" s="55">
        <f>IF(AQ1762="2",BI1762,0)</f>
        <v>0</v>
      </c>
      <c r="AH1762" s="55">
        <f>IF(AQ1762="0",BJ1762,0)</f>
        <v>0</v>
      </c>
      <c r="AI1762" s="34" t="s">
        <v>2629</v>
      </c>
      <c r="AJ1762" s="55">
        <f>IF(AN1762=0,I1762,0)</f>
        <v>0</v>
      </c>
      <c r="AK1762" s="55">
        <f>IF(AN1762=12,I1762,0)</f>
        <v>0</v>
      </c>
      <c r="AL1762" s="55">
        <f>IF(AN1762=21,I1762,0)</f>
        <v>0</v>
      </c>
      <c r="AN1762" s="55">
        <v>21</v>
      </c>
      <c r="AO1762" s="55">
        <f>H1762*0.830680664</f>
        <v>0</v>
      </c>
      <c r="AP1762" s="55">
        <f>H1762*(1-0.830680664)</f>
        <v>0</v>
      </c>
      <c r="AQ1762" s="58" t="s">
        <v>125</v>
      </c>
      <c r="AV1762" s="55">
        <f>AW1762+AX1762</f>
        <v>0</v>
      </c>
      <c r="AW1762" s="55">
        <f>G1762*AO1762</f>
        <v>0</v>
      </c>
      <c r="AX1762" s="55">
        <f>G1762*AP1762</f>
        <v>0</v>
      </c>
      <c r="AY1762" s="58" t="s">
        <v>1875</v>
      </c>
      <c r="AZ1762" s="58" t="s">
        <v>3185</v>
      </c>
      <c r="BA1762" s="34" t="s">
        <v>2634</v>
      </c>
      <c r="BC1762" s="55">
        <f>AW1762+AX1762</f>
        <v>0</v>
      </c>
      <c r="BD1762" s="55">
        <f>H1762/(100-BE1762)*100</f>
        <v>0</v>
      </c>
      <c r="BE1762" s="55">
        <v>0</v>
      </c>
      <c r="BF1762" s="55">
        <f>K1762</f>
        <v>0.007149999999999999</v>
      </c>
      <c r="BH1762" s="55">
        <f>G1762*AO1762</f>
        <v>0</v>
      </c>
      <c r="BI1762" s="55">
        <f>G1762*AP1762</f>
        <v>0</v>
      </c>
      <c r="BJ1762" s="55">
        <f>G1762*H1762</f>
        <v>0</v>
      </c>
      <c r="BK1762" s="55"/>
      <c r="BL1762" s="55">
        <v>764</v>
      </c>
      <c r="BW1762" s="55">
        <v>21</v>
      </c>
    </row>
    <row r="1763" spans="1:12" ht="13.5" customHeight="1">
      <c r="A1763" s="59"/>
      <c r="D1763" s="218" t="s">
        <v>3335</v>
      </c>
      <c r="E1763" s="219"/>
      <c r="F1763" s="219"/>
      <c r="G1763" s="219"/>
      <c r="H1763" s="220"/>
      <c r="I1763" s="219"/>
      <c r="J1763" s="219"/>
      <c r="K1763" s="219"/>
      <c r="L1763" s="221"/>
    </row>
    <row r="1764" spans="1:12" ht="14.4">
      <c r="A1764" s="59"/>
      <c r="D1764" s="60" t="s">
        <v>3319</v>
      </c>
      <c r="E1764" s="60" t="s">
        <v>4</v>
      </c>
      <c r="G1764" s="68">
        <v>13.75</v>
      </c>
      <c r="L1764" s="69"/>
    </row>
    <row r="1765" spans="1:75" ht="13.5" customHeight="1">
      <c r="A1765" s="1" t="s">
        <v>3336</v>
      </c>
      <c r="B1765" s="2" t="s">
        <v>2629</v>
      </c>
      <c r="C1765" s="2" t="s">
        <v>3337</v>
      </c>
      <c r="D1765" s="147" t="s">
        <v>3338</v>
      </c>
      <c r="E1765" s="148"/>
      <c r="F1765" s="2" t="s">
        <v>174</v>
      </c>
      <c r="G1765" s="55">
        <v>17.2</v>
      </c>
      <c r="H1765" s="56">
        <v>0</v>
      </c>
      <c r="I1765" s="55">
        <f>G1765*H1765</f>
        <v>0</v>
      </c>
      <c r="J1765" s="55">
        <v>0.00052</v>
      </c>
      <c r="K1765" s="55">
        <f>G1765*J1765</f>
        <v>0.008943999999999999</v>
      </c>
      <c r="L1765" s="57" t="s">
        <v>124</v>
      </c>
      <c r="Z1765" s="55">
        <f>IF(AQ1765="5",BJ1765,0)</f>
        <v>0</v>
      </c>
      <c r="AB1765" s="55">
        <f>IF(AQ1765="1",BH1765,0)</f>
        <v>0</v>
      </c>
      <c r="AC1765" s="55">
        <f>IF(AQ1765="1",BI1765,0)</f>
        <v>0</v>
      </c>
      <c r="AD1765" s="55">
        <f>IF(AQ1765="7",BH1765,0)</f>
        <v>0</v>
      </c>
      <c r="AE1765" s="55">
        <f>IF(AQ1765="7",BI1765,0)</f>
        <v>0</v>
      </c>
      <c r="AF1765" s="55">
        <f>IF(AQ1765="2",BH1765,0)</f>
        <v>0</v>
      </c>
      <c r="AG1765" s="55">
        <f>IF(AQ1765="2",BI1765,0)</f>
        <v>0</v>
      </c>
      <c r="AH1765" s="55">
        <f>IF(AQ1765="0",BJ1765,0)</f>
        <v>0</v>
      </c>
      <c r="AI1765" s="34" t="s">
        <v>2629</v>
      </c>
      <c r="AJ1765" s="55">
        <f>IF(AN1765=0,I1765,0)</f>
        <v>0</v>
      </c>
      <c r="AK1765" s="55">
        <f>IF(AN1765=12,I1765,0)</f>
        <v>0</v>
      </c>
      <c r="AL1765" s="55">
        <f>IF(AN1765=21,I1765,0)</f>
        <v>0</v>
      </c>
      <c r="AN1765" s="55">
        <v>21</v>
      </c>
      <c r="AO1765" s="55">
        <f>H1765*0.505674454</f>
        <v>0</v>
      </c>
      <c r="AP1765" s="55">
        <f>H1765*(1-0.505674454)</f>
        <v>0</v>
      </c>
      <c r="AQ1765" s="58" t="s">
        <v>125</v>
      </c>
      <c r="AV1765" s="55">
        <f>AW1765+AX1765</f>
        <v>0</v>
      </c>
      <c r="AW1765" s="55">
        <f>G1765*AO1765</f>
        <v>0</v>
      </c>
      <c r="AX1765" s="55">
        <f>G1765*AP1765</f>
        <v>0</v>
      </c>
      <c r="AY1765" s="58" t="s">
        <v>1875</v>
      </c>
      <c r="AZ1765" s="58" t="s">
        <v>3185</v>
      </c>
      <c r="BA1765" s="34" t="s">
        <v>2634</v>
      </c>
      <c r="BC1765" s="55">
        <f>AW1765+AX1765</f>
        <v>0</v>
      </c>
      <c r="BD1765" s="55">
        <f>H1765/(100-BE1765)*100</f>
        <v>0</v>
      </c>
      <c r="BE1765" s="55">
        <v>0</v>
      </c>
      <c r="BF1765" s="55">
        <f>K1765</f>
        <v>0.008943999999999999</v>
      </c>
      <c r="BH1765" s="55">
        <f>G1765*AO1765</f>
        <v>0</v>
      </c>
      <c r="BI1765" s="55">
        <f>G1765*AP1765</f>
        <v>0</v>
      </c>
      <c r="BJ1765" s="55">
        <f>G1765*H1765</f>
        <v>0</v>
      </c>
      <c r="BK1765" s="55"/>
      <c r="BL1765" s="55">
        <v>764</v>
      </c>
      <c r="BW1765" s="55">
        <v>21</v>
      </c>
    </row>
    <row r="1766" spans="1:12" ht="13.5" customHeight="1">
      <c r="A1766" s="59"/>
      <c r="D1766" s="218" t="s">
        <v>3339</v>
      </c>
      <c r="E1766" s="219"/>
      <c r="F1766" s="219"/>
      <c r="G1766" s="219"/>
      <c r="H1766" s="220"/>
      <c r="I1766" s="219"/>
      <c r="J1766" s="219"/>
      <c r="K1766" s="219"/>
      <c r="L1766" s="221"/>
    </row>
    <row r="1767" spans="1:12" ht="14.4">
      <c r="A1767" s="59"/>
      <c r="D1767" s="60" t="s">
        <v>3340</v>
      </c>
      <c r="E1767" s="60" t="s">
        <v>4</v>
      </c>
      <c r="G1767" s="68">
        <v>17.2</v>
      </c>
      <c r="L1767" s="69"/>
    </row>
    <row r="1768" spans="1:75" ht="13.5" customHeight="1">
      <c r="A1768" s="1" t="s">
        <v>3341</v>
      </c>
      <c r="B1768" s="2" t="s">
        <v>2629</v>
      </c>
      <c r="C1768" s="2" t="s">
        <v>3342</v>
      </c>
      <c r="D1768" s="147" t="s">
        <v>3343</v>
      </c>
      <c r="E1768" s="148"/>
      <c r="F1768" s="2" t="s">
        <v>174</v>
      </c>
      <c r="G1768" s="55">
        <v>3.25</v>
      </c>
      <c r="H1768" s="56">
        <v>0</v>
      </c>
      <c r="I1768" s="55">
        <f>G1768*H1768</f>
        <v>0</v>
      </c>
      <c r="J1768" s="55">
        <v>0.00052</v>
      </c>
      <c r="K1768" s="55">
        <f>G1768*J1768</f>
        <v>0.0016899999999999999</v>
      </c>
      <c r="L1768" s="57" t="s">
        <v>124</v>
      </c>
      <c r="Z1768" s="55">
        <f>IF(AQ1768="5",BJ1768,0)</f>
        <v>0</v>
      </c>
      <c r="AB1768" s="55">
        <f>IF(AQ1768="1",BH1768,0)</f>
        <v>0</v>
      </c>
      <c r="AC1768" s="55">
        <f>IF(AQ1768="1",BI1768,0)</f>
        <v>0</v>
      </c>
      <c r="AD1768" s="55">
        <f>IF(AQ1768="7",BH1768,0)</f>
        <v>0</v>
      </c>
      <c r="AE1768" s="55">
        <f>IF(AQ1768="7",BI1768,0)</f>
        <v>0</v>
      </c>
      <c r="AF1768" s="55">
        <f>IF(AQ1768="2",BH1768,0)</f>
        <v>0</v>
      </c>
      <c r="AG1768" s="55">
        <f>IF(AQ1768="2",BI1768,0)</f>
        <v>0</v>
      </c>
      <c r="AH1768" s="55">
        <f>IF(AQ1768="0",BJ1768,0)</f>
        <v>0</v>
      </c>
      <c r="AI1768" s="34" t="s">
        <v>2629</v>
      </c>
      <c r="AJ1768" s="55">
        <f>IF(AN1768=0,I1768,0)</f>
        <v>0</v>
      </c>
      <c r="AK1768" s="55">
        <f>IF(AN1768=12,I1768,0)</f>
        <v>0</v>
      </c>
      <c r="AL1768" s="55">
        <f>IF(AN1768=21,I1768,0)</f>
        <v>0</v>
      </c>
      <c r="AN1768" s="55">
        <v>21</v>
      </c>
      <c r="AO1768" s="55">
        <f>H1768*0.625712476</f>
        <v>0</v>
      </c>
      <c r="AP1768" s="55">
        <f>H1768*(1-0.625712476)</f>
        <v>0</v>
      </c>
      <c r="AQ1768" s="58" t="s">
        <v>125</v>
      </c>
      <c r="AV1768" s="55">
        <f>AW1768+AX1768</f>
        <v>0</v>
      </c>
      <c r="AW1768" s="55">
        <f>G1768*AO1768</f>
        <v>0</v>
      </c>
      <c r="AX1768" s="55">
        <f>G1768*AP1768</f>
        <v>0</v>
      </c>
      <c r="AY1768" s="58" t="s">
        <v>1875</v>
      </c>
      <c r="AZ1768" s="58" t="s">
        <v>3185</v>
      </c>
      <c r="BA1768" s="34" t="s">
        <v>2634</v>
      </c>
      <c r="BC1768" s="55">
        <f>AW1768+AX1768</f>
        <v>0</v>
      </c>
      <c r="BD1768" s="55">
        <f>H1768/(100-BE1768)*100</f>
        <v>0</v>
      </c>
      <c r="BE1768" s="55">
        <v>0</v>
      </c>
      <c r="BF1768" s="55">
        <f>K1768</f>
        <v>0.0016899999999999999</v>
      </c>
      <c r="BH1768" s="55">
        <f>G1768*AO1768</f>
        <v>0</v>
      </c>
      <c r="BI1768" s="55">
        <f>G1768*AP1768</f>
        <v>0</v>
      </c>
      <c r="BJ1768" s="55">
        <f>G1768*H1768</f>
        <v>0</v>
      </c>
      <c r="BK1768" s="55"/>
      <c r="BL1768" s="55">
        <v>764</v>
      </c>
      <c r="BW1768" s="55">
        <v>21</v>
      </c>
    </row>
    <row r="1769" spans="1:12" ht="13.5" customHeight="1">
      <c r="A1769" s="59"/>
      <c r="D1769" s="218" t="s">
        <v>3344</v>
      </c>
      <c r="E1769" s="219"/>
      <c r="F1769" s="219"/>
      <c r="G1769" s="219"/>
      <c r="H1769" s="220"/>
      <c r="I1769" s="219"/>
      <c r="J1769" s="219"/>
      <c r="K1769" s="219"/>
      <c r="L1769" s="221"/>
    </row>
    <row r="1770" spans="1:12" ht="14.4">
      <c r="A1770" s="59"/>
      <c r="D1770" s="60" t="s">
        <v>3345</v>
      </c>
      <c r="E1770" s="60" t="s">
        <v>4</v>
      </c>
      <c r="G1770" s="68">
        <v>3.25</v>
      </c>
      <c r="L1770" s="69"/>
    </row>
    <row r="1771" spans="1:75" ht="27" customHeight="1">
      <c r="A1771" s="1" t="s">
        <v>3346</v>
      </c>
      <c r="B1771" s="2" t="s">
        <v>2629</v>
      </c>
      <c r="C1771" s="2" t="s">
        <v>3347</v>
      </c>
      <c r="D1771" s="147" t="s">
        <v>3348</v>
      </c>
      <c r="E1771" s="148"/>
      <c r="F1771" s="2" t="s">
        <v>174</v>
      </c>
      <c r="G1771" s="55">
        <v>3.25</v>
      </c>
      <c r="H1771" s="56">
        <v>0</v>
      </c>
      <c r="I1771" s="55">
        <f>G1771*H1771</f>
        <v>0</v>
      </c>
      <c r="J1771" s="55">
        <v>0.00027</v>
      </c>
      <c r="K1771" s="55">
        <f>G1771*J1771</f>
        <v>0.0008775</v>
      </c>
      <c r="L1771" s="57" t="s">
        <v>124</v>
      </c>
      <c r="Z1771" s="55">
        <f>IF(AQ1771="5",BJ1771,0)</f>
        <v>0</v>
      </c>
      <c r="AB1771" s="55">
        <f>IF(AQ1771="1",BH1771,0)</f>
        <v>0</v>
      </c>
      <c r="AC1771" s="55">
        <f>IF(AQ1771="1",BI1771,0)</f>
        <v>0</v>
      </c>
      <c r="AD1771" s="55">
        <f>IF(AQ1771="7",BH1771,0)</f>
        <v>0</v>
      </c>
      <c r="AE1771" s="55">
        <f>IF(AQ1771="7",BI1771,0)</f>
        <v>0</v>
      </c>
      <c r="AF1771" s="55">
        <f>IF(AQ1771="2",BH1771,0)</f>
        <v>0</v>
      </c>
      <c r="AG1771" s="55">
        <f>IF(AQ1771="2",BI1771,0)</f>
        <v>0</v>
      </c>
      <c r="AH1771" s="55">
        <f>IF(AQ1771="0",BJ1771,0)</f>
        <v>0</v>
      </c>
      <c r="AI1771" s="34" t="s">
        <v>2629</v>
      </c>
      <c r="AJ1771" s="55">
        <f>IF(AN1771=0,I1771,0)</f>
        <v>0</v>
      </c>
      <c r="AK1771" s="55">
        <f>IF(AN1771=12,I1771,0)</f>
        <v>0</v>
      </c>
      <c r="AL1771" s="55">
        <f>IF(AN1771=21,I1771,0)</f>
        <v>0</v>
      </c>
      <c r="AN1771" s="55">
        <v>21</v>
      </c>
      <c r="AO1771" s="55">
        <f>H1771*0.747731692</f>
        <v>0</v>
      </c>
      <c r="AP1771" s="55">
        <f>H1771*(1-0.747731692)</f>
        <v>0</v>
      </c>
      <c r="AQ1771" s="58" t="s">
        <v>125</v>
      </c>
      <c r="AV1771" s="55">
        <f>AW1771+AX1771</f>
        <v>0</v>
      </c>
      <c r="AW1771" s="55">
        <f>G1771*AO1771</f>
        <v>0</v>
      </c>
      <c r="AX1771" s="55">
        <f>G1771*AP1771</f>
        <v>0</v>
      </c>
      <c r="AY1771" s="58" t="s">
        <v>1875</v>
      </c>
      <c r="AZ1771" s="58" t="s">
        <v>3185</v>
      </c>
      <c r="BA1771" s="34" t="s">
        <v>2634</v>
      </c>
      <c r="BC1771" s="55">
        <f>AW1771+AX1771</f>
        <v>0</v>
      </c>
      <c r="BD1771" s="55">
        <f>H1771/(100-BE1771)*100</f>
        <v>0</v>
      </c>
      <c r="BE1771" s="55">
        <v>0</v>
      </c>
      <c r="BF1771" s="55">
        <f>K1771</f>
        <v>0.0008775</v>
      </c>
      <c r="BH1771" s="55">
        <f>G1771*AO1771</f>
        <v>0</v>
      </c>
      <c r="BI1771" s="55">
        <f>G1771*AP1771</f>
        <v>0</v>
      </c>
      <c r="BJ1771" s="55">
        <f>G1771*H1771</f>
        <v>0</v>
      </c>
      <c r="BK1771" s="55"/>
      <c r="BL1771" s="55">
        <v>764</v>
      </c>
      <c r="BW1771" s="55">
        <v>21</v>
      </c>
    </row>
    <row r="1772" spans="1:12" ht="13.5" customHeight="1">
      <c r="A1772" s="59"/>
      <c r="D1772" s="218" t="s">
        <v>3349</v>
      </c>
      <c r="E1772" s="219"/>
      <c r="F1772" s="219"/>
      <c r="G1772" s="219"/>
      <c r="H1772" s="220"/>
      <c r="I1772" s="219"/>
      <c r="J1772" s="219"/>
      <c r="K1772" s="219"/>
      <c r="L1772" s="221"/>
    </row>
    <row r="1773" spans="1:12" ht="14.4">
      <c r="A1773" s="59"/>
      <c r="D1773" s="60" t="s">
        <v>3345</v>
      </c>
      <c r="E1773" s="60" t="s">
        <v>4</v>
      </c>
      <c r="G1773" s="68">
        <v>3.25</v>
      </c>
      <c r="L1773" s="69"/>
    </row>
    <row r="1774" spans="1:75" ht="27" customHeight="1">
      <c r="A1774" s="1" t="s">
        <v>3350</v>
      </c>
      <c r="B1774" s="2" t="s">
        <v>2629</v>
      </c>
      <c r="C1774" s="2" t="s">
        <v>3351</v>
      </c>
      <c r="D1774" s="147" t="s">
        <v>3352</v>
      </c>
      <c r="E1774" s="148"/>
      <c r="F1774" s="2" t="s">
        <v>174</v>
      </c>
      <c r="G1774" s="55">
        <v>3.25</v>
      </c>
      <c r="H1774" s="56">
        <v>0</v>
      </c>
      <c r="I1774" s="55">
        <f>G1774*H1774</f>
        <v>0</v>
      </c>
      <c r="J1774" s="55">
        <v>0.00052</v>
      </c>
      <c r="K1774" s="55">
        <f>G1774*J1774</f>
        <v>0.0016899999999999999</v>
      </c>
      <c r="L1774" s="57" t="s">
        <v>124</v>
      </c>
      <c r="Z1774" s="55">
        <f>IF(AQ1774="5",BJ1774,0)</f>
        <v>0</v>
      </c>
      <c r="AB1774" s="55">
        <f>IF(AQ1774="1",BH1774,0)</f>
        <v>0</v>
      </c>
      <c r="AC1774" s="55">
        <f>IF(AQ1774="1",BI1774,0)</f>
        <v>0</v>
      </c>
      <c r="AD1774" s="55">
        <f>IF(AQ1774="7",BH1774,0)</f>
        <v>0</v>
      </c>
      <c r="AE1774" s="55">
        <f>IF(AQ1774="7",BI1774,0)</f>
        <v>0</v>
      </c>
      <c r="AF1774" s="55">
        <f>IF(AQ1774="2",BH1774,0)</f>
        <v>0</v>
      </c>
      <c r="AG1774" s="55">
        <f>IF(AQ1774="2",BI1774,0)</f>
        <v>0</v>
      </c>
      <c r="AH1774" s="55">
        <f>IF(AQ1774="0",BJ1774,0)</f>
        <v>0</v>
      </c>
      <c r="AI1774" s="34" t="s">
        <v>2629</v>
      </c>
      <c r="AJ1774" s="55">
        <f>IF(AN1774=0,I1774,0)</f>
        <v>0</v>
      </c>
      <c r="AK1774" s="55">
        <f>IF(AN1774=12,I1774,0)</f>
        <v>0</v>
      </c>
      <c r="AL1774" s="55">
        <f>IF(AN1774=21,I1774,0)</f>
        <v>0</v>
      </c>
      <c r="AN1774" s="55">
        <v>21</v>
      </c>
      <c r="AO1774" s="55">
        <f>H1774*0.766218354</f>
        <v>0</v>
      </c>
      <c r="AP1774" s="55">
        <f>H1774*(1-0.766218354)</f>
        <v>0</v>
      </c>
      <c r="AQ1774" s="58" t="s">
        <v>125</v>
      </c>
      <c r="AV1774" s="55">
        <f>AW1774+AX1774</f>
        <v>0</v>
      </c>
      <c r="AW1774" s="55">
        <f>G1774*AO1774</f>
        <v>0</v>
      </c>
      <c r="AX1774" s="55">
        <f>G1774*AP1774</f>
        <v>0</v>
      </c>
      <c r="AY1774" s="58" t="s">
        <v>1875</v>
      </c>
      <c r="AZ1774" s="58" t="s">
        <v>3185</v>
      </c>
      <c r="BA1774" s="34" t="s">
        <v>2634</v>
      </c>
      <c r="BC1774" s="55">
        <f>AW1774+AX1774</f>
        <v>0</v>
      </c>
      <c r="BD1774" s="55">
        <f>H1774/(100-BE1774)*100</f>
        <v>0</v>
      </c>
      <c r="BE1774" s="55">
        <v>0</v>
      </c>
      <c r="BF1774" s="55">
        <f>K1774</f>
        <v>0.0016899999999999999</v>
      </c>
      <c r="BH1774" s="55">
        <f>G1774*AO1774</f>
        <v>0</v>
      </c>
      <c r="BI1774" s="55">
        <f>G1774*AP1774</f>
        <v>0</v>
      </c>
      <c r="BJ1774" s="55">
        <f>G1774*H1774</f>
        <v>0</v>
      </c>
      <c r="BK1774" s="55"/>
      <c r="BL1774" s="55">
        <v>764</v>
      </c>
      <c r="BW1774" s="55">
        <v>21</v>
      </c>
    </row>
    <row r="1775" spans="1:12" ht="13.5" customHeight="1">
      <c r="A1775" s="59"/>
      <c r="D1775" s="218" t="s">
        <v>3353</v>
      </c>
      <c r="E1775" s="219"/>
      <c r="F1775" s="219"/>
      <c r="G1775" s="219"/>
      <c r="H1775" s="220"/>
      <c r="I1775" s="219"/>
      <c r="J1775" s="219"/>
      <c r="K1775" s="219"/>
      <c r="L1775" s="221"/>
    </row>
    <row r="1776" spans="1:12" ht="14.4">
      <c r="A1776" s="59"/>
      <c r="D1776" s="60" t="s">
        <v>3345</v>
      </c>
      <c r="E1776" s="60" t="s">
        <v>4</v>
      </c>
      <c r="G1776" s="68">
        <v>3.25</v>
      </c>
      <c r="L1776" s="69"/>
    </row>
    <row r="1777" spans="1:75" ht="13.5" customHeight="1">
      <c r="A1777" s="1" t="s">
        <v>3354</v>
      </c>
      <c r="B1777" s="2" t="s">
        <v>2629</v>
      </c>
      <c r="C1777" s="2" t="s">
        <v>3355</v>
      </c>
      <c r="D1777" s="147" t="s">
        <v>3356</v>
      </c>
      <c r="E1777" s="148"/>
      <c r="F1777" s="2" t="s">
        <v>174</v>
      </c>
      <c r="G1777" s="55">
        <v>13.95</v>
      </c>
      <c r="H1777" s="56">
        <v>0</v>
      </c>
      <c r="I1777" s="55">
        <f>G1777*H1777</f>
        <v>0</v>
      </c>
      <c r="J1777" s="55">
        <v>0.00052</v>
      </c>
      <c r="K1777" s="55">
        <f>G1777*J1777</f>
        <v>0.007253999999999999</v>
      </c>
      <c r="L1777" s="57" t="s">
        <v>124</v>
      </c>
      <c r="Z1777" s="55">
        <f>IF(AQ1777="5",BJ1777,0)</f>
        <v>0</v>
      </c>
      <c r="AB1777" s="55">
        <f>IF(AQ1777="1",BH1777,0)</f>
        <v>0</v>
      </c>
      <c r="AC1777" s="55">
        <f>IF(AQ1777="1",BI1777,0)</f>
        <v>0</v>
      </c>
      <c r="AD1777" s="55">
        <f>IF(AQ1777="7",BH1777,0)</f>
        <v>0</v>
      </c>
      <c r="AE1777" s="55">
        <f>IF(AQ1777="7",BI1777,0)</f>
        <v>0</v>
      </c>
      <c r="AF1777" s="55">
        <f>IF(AQ1777="2",BH1777,0)</f>
        <v>0</v>
      </c>
      <c r="AG1777" s="55">
        <f>IF(AQ1777="2",BI1777,0)</f>
        <v>0</v>
      </c>
      <c r="AH1777" s="55">
        <f>IF(AQ1777="0",BJ1777,0)</f>
        <v>0</v>
      </c>
      <c r="AI1777" s="34" t="s">
        <v>2629</v>
      </c>
      <c r="AJ1777" s="55">
        <f>IF(AN1777=0,I1777,0)</f>
        <v>0</v>
      </c>
      <c r="AK1777" s="55">
        <f>IF(AN1777=12,I1777,0)</f>
        <v>0</v>
      </c>
      <c r="AL1777" s="55">
        <f>IF(AN1777=21,I1777,0)</f>
        <v>0</v>
      </c>
      <c r="AN1777" s="55">
        <v>21</v>
      </c>
      <c r="AO1777" s="55">
        <f>H1777*0.815747991</f>
        <v>0</v>
      </c>
      <c r="AP1777" s="55">
        <f>H1777*(1-0.815747991)</f>
        <v>0</v>
      </c>
      <c r="AQ1777" s="58" t="s">
        <v>125</v>
      </c>
      <c r="AV1777" s="55">
        <f>AW1777+AX1777</f>
        <v>0</v>
      </c>
      <c r="AW1777" s="55">
        <f>G1777*AO1777</f>
        <v>0</v>
      </c>
      <c r="AX1777" s="55">
        <f>G1777*AP1777</f>
        <v>0</v>
      </c>
      <c r="AY1777" s="58" t="s">
        <v>1875</v>
      </c>
      <c r="AZ1777" s="58" t="s">
        <v>3185</v>
      </c>
      <c r="BA1777" s="34" t="s">
        <v>2634</v>
      </c>
      <c r="BC1777" s="55">
        <f>AW1777+AX1777</f>
        <v>0</v>
      </c>
      <c r="BD1777" s="55">
        <f>H1777/(100-BE1777)*100</f>
        <v>0</v>
      </c>
      <c r="BE1777" s="55">
        <v>0</v>
      </c>
      <c r="BF1777" s="55">
        <f>K1777</f>
        <v>0.007253999999999999</v>
      </c>
      <c r="BH1777" s="55">
        <f>G1777*AO1777</f>
        <v>0</v>
      </c>
      <c r="BI1777" s="55">
        <f>G1777*AP1777</f>
        <v>0</v>
      </c>
      <c r="BJ1777" s="55">
        <f>G1777*H1777</f>
        <v>0</v>
      </c>
      <c r="BK1777" s="55"/>
      <c r="BL1777" s="55">
        <v>764</v>
      </c>
      <c r="BW1777" s="55">
        <v>21</v>
      </c>
    </row>
    <row r="1778" spans="1:12" ht="13.5" customHeight="1">
      <c r="A1778" s="59"/>
      <c r="D1778" s="218" t="s">
        <v>3357</v>
      </c>
      <c r="E1778" s="219"/>
      <c r="F1778" s="219"/>
      <c r="G1778" s="219"/>
      <c r="H1778" s="220"/>
      <c r="I1778" s="219"/>
      <c r="J1778" s="219"/>
      <c r="K1778" s="219"/>
      <c r="L1778" s="221"/>
    </row>
    <row r="1779" spans="1:12" ht="14.4">
      <c r="A1779" s="59"/>
      <c r="D1779" s="60" t="s">
        <v>3358</v>
      </c>
      <c r="E1779" s="60" t="s">
        <v>4</v>
      </c>
      <c r="G1779" s="68">
        <v>13.95</v>
      </c>
      <c r="L1779" s="69"/>
    </row>
    <row r="1780" spans="1:75" ht="13.5" customHeight="1">
      <c r="A1780" s="1" t="s">
        <v>3359</v>
      </c>
      <c r="B1780" s="2" t="s">
        <v>2629</v>
      </c>
      <c r="C1780" s="2" t="s">
        <v>3360</v>
      </c>
      <c r="D1780" s="147" t="s">
        <v>3361</v>
      </c>
      <c r="E1780" s="148"/>
      <c r="F1780" s="2" t="s">
        <v>174</v>
      </c>
      <c r="G1780" s="55">
        <v>1.8</v>
      </c>
      <c r="H1780" s="56">
        <v>0</v>
      </c>
      <c r="I1780" s="55">
        <f>G1780*H1780</f>
        <v>0</v>
      </c>
      <c r="J1780" s="55">
        <v>0.00056</v>
      </c>
      <c r="K1780" s="55">
        <f>G1780*J1780</f>
        <v>0.001008</v>
      </c>
      <c r="L1780" s="57" t="s">
        <v>124</v>
      </c>
      <c r="Z1780" s="55">
        <f>IF(AQ1780="5",BJ1780,0)</f>
        <v>0</v>
      </c>
      <c r="AB1780" s="55">
        <f>IF(AQ1780="1",BH1780,0)</f>
        <v>0</v>
      </c>
      <c r="AC1780" s="55">
        <f>IF(AQ1780="1",BI1780,0)</f>
        <v>0</v>
      </c>
      <c r="AD1780" s="55">
        <f>IF(AQ1780="7",BH1780,0)</f>
        <v>0</v>
      </c>
      <c r="AE1780" s="55">
        <f>IF(AQ1780="7",BI1780,0)</f>
        <v>0</v>
      </c>
      <c r="AF1780" s="55">
        <f>IF(AQ1780="2",BH1780,0)</f>
        <v>0</v>
      </c>
      <c r="AG1780" s="55">
        <f>IF(AQ1780="2",BI1780,0)</f>
        <v>0</v>
      </c>
      <c r="AH1780" s="55">
        <f>IF(AQ1780="0",BJ1780,0)</f>
        <v>0</v>
      </c>
      <c r="AI1780" s="34" t="s">
        <v>2629</v>
      </c>
      <c r="AJ1780" s="55">
        <f>IF(AN1780=0,I1780,0)</f>
        <v>0</v>
      </c>
      <c r="AK1780" s="55">
        <f>IF(AN1780=12,I1780,0)</f>
        <v>0</v>
      </c>
      <c r="AL1780" s="55">
        <f>IF(AN1780=21,I1780,0)</f>
        <v>0</v>
      </c>
      <c r="AN1780" s="55">
        <v>21</v>
      </c>
      <c r="AO1780" s="55">
        <f>H1780*0.911062907</f>
        <v>0</v>
      </c>
      <c r="AP1780" s="55">
        <f>H1780*(1-0.911062907)</f>
        <v>0</v>
      </c>
      <c r="AQ1780" s="58" t="s">
        <v>125</v>
      </c>
      <c r="AV1780" s="55">
        <f>AW1780+AX1780</f>
        <v>0</v>
      </c>
      <c r="AW1780" s="55">
        <f>G1780*AO1780</f>
        <v>0</v>
      </c>
      <c r="AX1780" s="55">
        <f>G1780*AP1780</f>
        <v>0</v>
      </c>
      <c r="AY1780" s="58" t="s">
        <v>1875</v>
      </c>
      <c r="AZ1780" s="58" t="s">
        <v>3185</v>
      </c>
      <c r="BA1780" s="34" t="s">
        <v>2634</v>
      </c>
      <c r="BC1780" s="55">
        <f>AW1780+AX1780</f>
        <v>0</v>
      </c>
      <c r="BD1780" s="55">
        <f>H1780/(100-BE1780)*100</f>
        <v>0</v>
      </c>
      <c r="BE1780" s="55">
        <v>0</v>
      </c>
      <c r="BF1780" s="55">
        <f>K1780</f>
        <v>0.001008</v>
      </c>
      <c r="BH1780" s="55">
        <f>G1780*AO1780</f>
        <v>0</v>
      </c>
      <c r="BI1780" s="55">
        <f>G1780*AP1780</f>
        <v>0</v>
      </c>
      <c r="BJ1780" s="55">
        <f>G1780*H1780</f>
        <v>0</v>
      </c>
      <c r="BK1780" s="55"/>
      <c r="BL1780" s="55">
        <v>764</v>
      </c>
      <c r="BW1780" s="55">
        <v>21</v>
      </c>
    </row>
    <row r="1781" spans="1:12" ht="13.5" customHeight="1">
      <c r="A1781" s="59"/>
      <c r="D1781" s="218" t="s">
        <v>3362</v>
      </c>
      <c r="E1781" s="219"/>
      <c r="F1781" s="219"/>
      <c r="G1781" s="219"/>
      <c r="H1781" s="220"/>
      <c r="I1781" s="219"/>
      <c r="J1781" s="219"/>
      <c r="K1781" s="219"/>
      <c r="L1781" s="221"/>
    </row>
    <row r="1782" spans="1:12" ht="14.4">
      <c r="A1782" s="59"/>
      <c r="D1782" s="60" t="s">
        <v>3363</v>
      </c>
      <c r="E1782" s="60" t="s">
        <v>4</v>
      </c>
      <c r="G1782" s="68">
        <v>1.8</v>
      </c>
      <c r="L1782" s="69"/>
    </row>
    <row r="1783" spans="1:75" ht="27" customHeight="1">
      <c r="A1783" s="1" t="s">
        <v>3364</v>
      </c>
      <c r="B1783" s="2" t="s">
        <v>2629</v>
      </c>
      <c r="C1783" s="2" t="s">
        <v>3365</v>
      </c>
      <c r="D1783" s="147" t="s">
        <v>3366</v>
      </c>
      <c r="E1783" s="148"/>
      <c r="F1783" s="2" t="s">
        <v>174</v>
      </c>
      <c r="G1783" s="55">
        <v>1.8</v>
      </c>
      <c r="H1783" s="56">
        <v>0</v>
      </c>
      <c r="I1783" s="55">
        <f>G1783*H1783</f>
        <v>0</v>
      </c>
      <c r="J1783" s="55">
        <v>0.00243</v>
      </c>
      <c r="K1783" s="55">
        <f>G1783*J1783</f>
        <v>0.004374</v>
      </c>
      <c r="L1783" s="57" t="s">
        <v>124</v>
      </c>
      <c r="Z1783" s="55">
        <f>IF(AQ1783="5",BJ1783,0)</f>
        <v>0</v>
      </c>
      <c r="AB1783" s="55">
        <f>IF(AQ1783="1",BH1783,0)</f>
        <v>0</v>
      </c>
      <c r="AC1783" s="55">
        <f>IF(AQ1783="1",BI1783,0)</f>
        <v>0</v>
      </c>
      <c r="AD1783" s="55">
        <f>IF(AQ1783="7",BH1783,0)</f>
        <v>0</v>
      </c>
      <c r="AE1783" s="55">
        <f>IF(AQ1783="7",BI1783,0)</f>
        <v>0</v>
      </c>
      <c r="AF1783" s="55">
        <f>IF(AQ1783="2",BH1783,0)</f>
        <v>0</v>
      </c>
      <c r="AG1783" s="55">
        <f>IF(AQ1783="2",BI1783,0)</f>
        <v>0</v>
      </c>
      <c r="AH1783" s="55">
        <f>IF(AQ1783="0",BJ1783,0)</f>
        <v>0</v>
      </c>
      <c r="AI1783" s="34" t="s">
        <v>2629</v>
      </c>
      <c r="AJ1783" s="55">
        <f>IF(AN1783=0,I1783,0)</f>
        <v>0</v>
      </c>
      <c r="AK1783" s="55">
        <f>IF(AN1783=12,I1783,0)</f>
        <v>0</v>
      </c>
      <c r="AL1783" s="55">
        <f>IF(AN1783=21,I1783,0)</f>
        <v>0</v>
      </c>
      <c r="AN1783" s="55">
        <v>21</v>
      </c>
      <c r="AO1783" s="55">
        <f>H1783*0.324395111</f>
        <v>0</v>
      </c>
      <c r="AP1783" s="55">
        <f>H1783*(1-0.324395111)</f>
        <v>0</v>
      </c>
      <c r="AQ1783" s="58" t="s">
        <v>125</v>
      </c>
      <c r="AV1783" s="55">
        <f>AW1783+AX1783</f>
        <v>0</v>
      </c>
      <c r="AW1783" s="55">
        <f>G1783*AO1783</f>
        <v>0</v>
      </c>
      <c r="AX1783" s="55">
        <f>G1783*AP1783</f>
        <v>0</v>
      </c>
      <c r="AY1783" s="58" t="s">
        <v>1875</v>
      </c>
      <c r="AZ1783" s="58" t="s">
        <v>3185</v>
      </c>
      <c r="BA1783" s="34" t="s">
        <v>2634</v>
      </c>
      <c r="BC1783" s="55">
        <f>AW1783+AX1783</f>
        <v>0</v>
      </c>
      <c r="BD1783" s="55">
        <f>H1783/(100-BE1783)*100</f>
        <v>0</v>
      </c>
      <c r="BE1783" s="55">
        <v>0</v>
      </c>
      <c r="BF1783" s="55">
        <f>K1783</f>
        <v>0.004374</v>
      </c>
      <c r="BH1783" s="55">
        <f>G1783*AO1783</f>
        <v>0</v>
      </c>
      <c r="BI1783" s="55">
        <f>G1783*AP1783</f>
        <v>0</v>
      </c>
      <c r="BJ1783" s="55">
        <f>G1783*H1783</f>
        <v>0</v>
      </c>
      <c r="BK1783" s="55"/>
      <c r="BL1783" s="55">
        <v>764</v>
      </c>
      <c r="BW1783" s="55">
        <v>21</v>
      </c>
    </row>
    <row r="1784" spans="1:12" ht="13.5" customHeight="1">
      <c r="A1784" s="59"/>
      <c r="D1784" s="218" t="s">
        <v>3367</v>
      </c>
      <c r="E1784" s="219"/>
      <c r="F1784" s="219"/>
      <c r="G1784" s="219"/>
      <c r="H1784" s="220"/>
      <c r="I1784" s="219"/>
      <c r="J1784" s="219"/>
      <c r="K1784" s="219"/>
      <c r="L1784" s="221"/>
    </row>
    <row r="1785" spans="1:12" ht="14.4">
      <c r="A1785" s="59"/>
      <c r="D1785" s="60" t="s">
        <v>3363</v>
      </c>
      <c r="E1785" s="60" t="s">
        <v>4</v>
      </c>
      <c r="G1785" s="68">
        <v>1.8</v>
      </c>
      <c r="L1785" s="69"/>
    </row>
    <row r="1786" spans="1:75" ht="13.5" customHeight="1">
      <c r="A1786" s="1" t="s">
        <v>3368</v>
      </c>
      <c r="B1786" s="2" t="s">
        <v>2629</v>
      </c>
      <c r="C1786" s="2" t="s">
        <v>3369</v>
      </c>
      <c r="D1786" s="147" t="s">
        <v>3370</v>
      </c>
      <c r="E1786" s="148"/>
      <c r="F1786" s="2" t="s">
        <v>174</v>
      </c>
      <c r="G1786" s="55">
        <v>1.8</v>
      </c>
      <c r="H1786" s="56">
        <v>0</v>
      </c>
      <c r="I1786" s="55">
        <f>G1786*H1786</f>
        <v>0</v>
      </c>
      <c r="J1786" s="55">
        <v>0.00052</v>
      </c>
      <c r="K1786" s="55">
        <f>G1786*J1786</f>
        <v>0.000936</v>
      </c>
      <c r="L1786" s="57" t="s">
        <v>124</v>
      </c>
      <c r="Z1786" s="55">
        <f>IF(AQ1786="5",BJ1786,0)</f>
        <v>0</v>
      </c>
      <c r="AB1786" s="55">
        <f>IF(AQ1786="1",BH1786,0)</f>
        <v>0</v>
      </c>
      <c r="AC1786" s="55">
        <f>IF(AQ1786="1",BI1786,0)</f>
        <v>0</v>
      </c>
      <c r="AD1786" s="55">
        <f>IF(AQ1786="7",BH1786,0)</f>
        <v>0</v>
      </c>
      <c r="AE1786" s="55">
        <f>IF(AQ1786="7",BI1786,0)</f>
        <v>0</v>
      </c>
      <c r="AF1786" s="55">
        <f>IF(AQ1786="2",BH1786,0)</f>
        <v>0</v>
      </c>
      <c r="AG1786" s="55">
        <f>IF(AQ1786="2",BI1786,0)</f>
        <v>0</v>
      </c>
      <c r="AH1786" s="55">
        <f>IF(AQ1786="0",BJ1786,0)</f>
        <v>0</v>
      </c>
      <c r="AI1786" s="34" t="s">
        <v>2629</v>
      </c>
      <c r="AJ1786" s="55">
        <f>IF(AN1786=0,I1786,0)</f>
        <v>0</v>
      </c>
      <c r="AK1786" s="55">
        <f>IF(AN1786=12,I1786,0)</f>
        <v>0</v>
      </c>
      <c r="AL1786" s="55">
        <f>IF(AN1786=21,I1786,0)</f>
        <v>0</v>
      </c>
      <c r="AN1786" s="55">
        <v>21</v>
      </c>
      <c r="AO1786" s="55">
        <f>H1786*0.518823529</f>
        <v>0</v>
      </c>
      <c r="AP1786" s="55">
        <f>H1786*(1-0.518823529)</f>
        <v>0</v>
      </c>
      <c r="AQ1786" s="58" t="s">
        <v>125</v>
      </c>
      <c r="AV1786" s="55">
        <f>AW1786+AX1786</f>
        <v>0</v>
      </c>
      <c r="AW1786" s="55">
        <f>G1786*AO1786</f>
        <v>0</v>
      </c>
      <c r="AX1786" s="55">
        <f>G1786*AP1786</f>
        <v>0</v>
      </c>
      <c r="AY1786" s="58" t="s">
        <v>1875</v>
      </c>
      <c r="AZ1786" s="58" t="s">
        <v>3185</v>
      </c>
      <c r="BA1786" s="34" t="s">
        <v>2634</v>
      </c>
      <c r="BC1786" s="55">
        <f>AW1786+AX1786</f>
        <v>0</v>
      </c>
      <c r="BD1786" s="55">
        <f>H1786/(100-BE1786)*100</f>
        <v>0</v>
      </c>
      <c r="BE1786" s="55">
        <v>0</v>
      </c>
      <c r="BF1786" s="55">
        <f>K1786</f>
        <v>0.000936</v>
      </c>
      <c r="BH1786" s="55">
        <f>G1786*AO1786</f>
        <v>0</v>
      </c>
      <c r="BI1786" s="55">
        <f>G1786*AP1786</f>
        <v>0</v>
      </c>
      <c r="BJ1786" s="55">
        <f>G1786*H1786</f>
        <v>0</v>
      </c>
      <c r="BK1786" s="55"/>
      <c r="BL1786" s="55">
        <v>764</v>
      </c>
      <c r="BW1786" s="55">
        <v>21</v>
      </c>
    </row>
    <row r="1787" spans="1:12" ht="13.5" customHeight="1">
      <c r="A1787" s="59"/>
      <c r="D1787" s="218" t="s">
        <v>3371</v>
      </c>
      <c r="E1787" s="219"/>
      <c r="F1787" s="219"/>
      <c r="G1787" s="219"/>
      <c r="H1787" s="220"/>
      <c r="I1787" s="219"/>
      <c r="J1787" s="219"/>
      <c r="K1787" s="219"/>
      <c r="L1787" s="221"/>
    </row>
    <row r="1788" spans="1:12" ht="14.4">
      <c r="A1788" s="59"/>
      <c r="D1788" s="60" t="s">
        <v>3363</v>
      </c>
      <c r="E1788" s="60" t="s">
        <v>4</v>
      </c>
      <c r="G1788" s="68">
        <v>1.8</v>
      </c>
      <c r="L1788" s="69"/>
    </row>
    <row r="1789" spans="1:75" ht="27" customHeight="1">
      <c r="A1789" s="1" t="s">
        <v>3372</v>
      </c>
      <c r="B1789" s="2" t="s">
        <v>2629</v>
      </c>
      <c r="C1789" s="2" t="s">
        <v>3373</v>
      </c>
      <c r="D1789" s="147" t="s">
        <v>3374</v>
      </c>
      <c r="E1789" s="148"/>
      <c r="F1789" s="2" t="s">
        <v>174</v>
      </c>
      <c r="G1789" s="55">
        <v>1.8</v>
      </c>
      <c r="H1789" s="56">
        <v>0</v>
      </c>
      <c r="I1789" s="55">
        <f>G1789*H1789</f>
        <v>0</v>
      </c>
      <c r="J1789" s="55">
        <v>0.00027</v>
      </c>
      <c r="K1789" s="55">
        <f>G1789*J1789</f>
        <v>0.000486</v>
      </c>
      <c r="L1789" s="57" t="s">
        <v>124</v>
      </c>
      <c r="Z1789" s="55">
        <f>IF(AQ1789="5",BJ1789,0)</f>
        <v>0</v>
      </c>
      <c r="AB1789" s="55">
        <f>IF(AQ1789="1",BH1789,0)</f>
        <v>0</v>
      </c>
      <c r="AC1789" s="55">
        <f>IF(AQ1789="1",BI1789,0)</f>
        <v>0</v>
      </c>
      <c r="AD1789" s="55">
        <f>IF(AQ1789="7",BH1789,0)</f>
        <v>0</v>
      </c>
      <c r="AE1789" s="55">
        <f>IF(AQ1789="7",BI1789,0)</f>
        <v>0</v>
      </c>
      <c r="AF1789" s="55">
        <f>IF(AQ1789="2",BH1789,0)</f>
        <v>0</v>
      </c>
      <c r="AG1789" s="55">
        <f>IF(AQ1789="2",BI1789,0)</f>
        <v>0</v>
      </c>
      <c r="AH1789" s="55">
        <f>IF(AQ1789="0",BJ1789,0)</f>
        <v>0</v>
      </c>
      <c r="AI1789" s="34" t="s">
        <v>2629</v>
      </c>
      <c r="AJ1789" s="55">
        <f>IF(AN1789=0,I1789,0)</f>
        <v>0</v>
      </c>
      <c r="AK1789" s="55">
        <f>IF(AN1789=12,I1789,0)</f>
        <v>0</v>
      </c>
      <c r="AL1789" s="55">
        <f>IF(AN1789=21,I1789,0)</f>
        <v>0</v>
      </c>
      <c r="AN1789" s="55">
        <v>21</v>
      </c>
      <c r="AO1789" s="55">
        <f>H1789*0.755530346</f>
        <v>0</v>
      </c>
      <c r="AP1789" s="55">
        <f>H1789*(1-0.755530346)</f>
        <v>0</v>
      </c>
      <c r="AQ1789" s="58" t="s">
        <v>125</v>
      </c>
      <c r="AV1789" s="55">
        <f>AW1789+AX1789</f>
        <v>0</v>
      </c>
      <c r="AW1789" s="55">
        <f>G1789*AO1789</f>
        <v>0</v>
      </c>
      <c r="AX1789" s="55">
        <f>G1789*AP1789</f>
        <v>0</v>
      </c>
      <c r="AY1789" s="58" t="s">
        <v>1875</v>
      </c>
      <c r="AZ1789" s="58" t="s">
        <v>3185</v>
      </c>
      <c r="BA1789" s="34" t="s">
        <v>2634</v>
      </c>
      <c r="BC1789" s="55">
        <f>AW1789+AX1789</f>
        <v>0</v>
      </c>
      <c r="BD1789" s="55">
        <f>H1789/(100-BE1789)*100</f>
        <v>0</v>
      </c>
      <c r="BE1789" s="55">
        <v>0</v>
      </c>
      <c r="BF1789" s="55">
        <f>K1789</f>
        <v>0.000486</v>
      </c>
      <c r="BH1789" s="55">
        <f>G1789*AO1789</f>
        <v>0</v>
      </c>
      <c r="BI1789" s="55">
        <f>G1789*AP1789</f>
        <v>0</v>
      </c>
      <c r="BJ1789" s="55">
        <f>G1789*H1789</f>
        <v>0</v>
      </c>
      <c r="BK1789" s="55"/>
      <c r="BL1789" s="55">
        <v>764</v>
      </c>
      <c r="BW1789" s="55">
        <v>21</v>
      </c>
    </row>
    <row r="1790" spans="1:12" ht="13.5" customHeight="1">
      <c r="A1790" s="59"/>
      <c r="D1790" s="218" t="s">
        <v>3375</v>
      </c>
      <c r="E1790" s="219"/>
      <c r="F1790" s="219"/>
      <c r="G1790" s="219"/>
      <c r="H1790" s="220"/>
      <c r="I1790" s="219"/>
      <c r="J1790" s="219"/>
      <c r="K1790" s="219"/>
      <c r="L1790" s="221"/>
    </row>
    <row r="1791" spans="1:12" ht="14.4">
      <c r="A1791" s="59"/>
      <c r="D1791" s="60" t="s">
        <v>3363</v>
      </c>
      <c r="E1791" s="60" t="s">
        <v>4</v>
      </c>
      <c r="G1791" s="68">
        <v>1.8</v>
      </c>
      <c r="L1791" s="69"/>
    </row>
    <row r="1792" spans="1:75" ht="27" customHeight="1">
      <c r="A1792" s="1" t="s">
        <v>3376</v>
      </c>
      <c r="B1792" s="2" t="s">
        <v>2629</v>
      </c>
      <c r="C1792" s="2" t="s">
        <v>3377</v>
      </c>
      <c r="D1792" s="147" t="s">
        <v>3378</v>
      </c>
      <c r="E1792" s="148"/>
      <c r="F1792" s="2" t="s">
        <v>174</v>
      </c>
      <c r="G1792" s="55">
        <v>16.6</v>
      </c>
      <c r="H1792" s="56">
        <v>0</v>
      </c>
      <c r="I1792" s="55">
        <f>G1792*H1792</f>
        <v>0</v>
      </c>
      <c r="J1792" s="55">
        <v>0.00052</v>
      </c>
      <c r="K1792" s="55">
        <f>G1792*J1792</f>
        <v>0.008632</v>
      </c>
      <c r="L1792" s="57" t="s">
        <v>124</v>
      </c>
      <c r="Z1792" s="55">
        <f>IF(AQ1792="5",BJ1792,0)</f>
        <v>0</v>
      </c>
      <c r="AB1792" s="55">
        <f>IF(AQ1792="1",BH1792,0)</f>
        <v>0</v>
      </c>
      <c r="AC1792" s="55">
        <f>IF(AQ1792="1",BI1792,0)</f>
        <v>0</v>
      </c>
      <c r="AD1792" s="55">
        <f>IF(AQ1792="7",BH1792,0)</f>
        <v>0</v>
      </c>
      <c r="AE1792" s="55">
        <f>IF(AQ1792="7",BI1792,0)</f>
        <v>0</v>
      </c>
      <c r="AF1792" s="55">
        <f>IF(AQ1792="2",BH1792,0)</f>
        <v>0</v>
      </c>
      <c r="AG1792" s="55">
        <f>IF(AQ1792="2",BI1792,0)</f>
        <v>0</v>
      </c>
      <c r="AH1792" s="55">
        <f>IF(AQ1792="0",BJ1792,0)</f>
        <v>0</v>
      </c>
      <c r="AI1792" s="34" t="s">
        <v>2629</v>
      </c>
      <c r="AJ1792" s="55">
        <f>IF(AN1792=0,I1792,0)</f>
        <v>0</v>
      </c>
      <c r="AK1792" s="55">
        <f>IF(AN1792=12,I1792,0)</f>
        <v>0</v>
      </c>
      <c r="AL1792" s="55">
        <f>IF(AN1792=21,I1792,0)</f>
        <v>0</v>
      </c>
      <c r="AN1792" s="55">
        <v>21</v>
      </c>
      <c r="AO1792" s="55">
        <f>H1792*0.671699263</f>
        <v>0</v>
      </c>
      <c r="AP1792" s="55">
        <f>H1792*(1-0.671699263)</f>
        <v>0</v>
      </c>
      <c r="AQ1792" s="58" t="s">
        <v>125</v>
      </c>
      <c r="AV1792" s="55">
        <f>AW1792+AX1792</f>
        <v>0</v>
      </c>
      <c r="AW1792" s="55">
        <f>G1792*AO1792</f>
        <v>0</v>
      </c>
      <c r="AX1792" s="55">
        <f>G1792*AP1792</f>
        <v>0</v>
      </c>
      <c r="AY1792" s="58" t="s">
        <v>1875</v>
      </c>
      <c r="AZ1792" s="58" t="s">
        <v>3185</v>
      </c>
      <c r="BA1792" s="34" t="s">
        <v>2634</v>
      </c>
      <c r="BC1792" s="55">
        <f>AW1792+AX1792</f>
        <v>0</v>
      </c>
      <c r="BD1792" s="55">
        <f>H1792/(100-BE1792)*100</f>
        <v>0</v>
      </c>
      <c r="BE1792" s="55">
        <v>0</v>
      </c>
      <c r="BF1792" s="55">
        <f>K1792</f>
        <v>0.008632</v>
      </c>
      <c r="BH1792" s="55">
        <f>G1792*AO1792</f>
        <v>0</v>
      </c>
      <c r="BI1792" s="55">
        <f>G1792*AP1792</f>
        <v>0</v>
      </c>
      <c r="BJ1792" s="55">
        <f>G1792*H1792</f>
        <v>0</v>
      </c>
      <c r="BK1792" s="55"/>
      <c r="BL1792" s="55">
        <v>764</v>
      </c>
      <c r="BW1792" s="55">
        <v>21</v>
      </c>
    </row>
    <row r="1793" spans="1:12" ht="13.5" customHeight="1">
      <c r="A1793" s="59"/>
      <c r="D1793" s="218" t="s">
        <v>3379</v>
      </c>
      <c r="E1793" s="219"/>
      <c r="F1793" s="219"/>
      <c r="G1793" s="219"/>
      <c r="H1793" s="220"/>
      <c r="I1793" s="219"/>
      <c r="J1793" s="219"/>
      <c r="K1793" s="219"/>
      <c r="L1793" s="221"/>
    </row>
    <row r="1794" spans="1:12" ht="14.4">
      <c r="A1794" s="59"/>
      <c r="D1794" s="60" t="s">
        <v>3380</v>
      </c>
      <c r="E1794" s="60" t="s">
        <v>4</v>
      </c>
      <c r="G1794" s="68">
        <v>16.6</v>
      </c>
      <c r="L1794" s="69"/>
    </row>
    <row r="1795" spans="1:75" ht="27" customHeight="1">
      <c r="A1795" s="1" t="s">
        <v>3381</v>
      </c>
      <c r="B1795" s="2" t="s">
        <v>2629</v>
      </c>
      <c r="C1795" s="2" t="s">
        <v>3382</v>
      </c>
      <c r="D1795" s="147" t="s">
        <v>3383</v>
      </c>
      <c r="E1795" s="148"/>
      <c r="F1795" s="2" t="s">
        <v>174</v>
      </c>
      <c r="G1795" s="55">
        <v>9.05</v>
      </c>
      <c r="H1795" s="56">
        <v>0</v>
      </c>
      <c r="I1795" s="55">
        <f>G1795*H1795</f>
        <v>0</v>
      </c>
      <c r="J1795" s="55">
        <v>0.00052</v>
      </c>
      <c r="K1795" s="55">
        <f>G1795*J1795</f>
        <v>0.004706</v>
      </c>
      <c r="L1795" s="57" t="s">
        <v>124</v>
      </c>
      <c r="Z1795" s="55">
        <f>IF(AQ1795="5",BJ1795,0)</f>
        <v>0</v>
      </c>
      <c r="AB1795" s="55">
        <f>IF(AQ1795="1",BH1795,0)</f>
        <v>0</v>
      </c>
      <c r="AC1795" s="55">
        <f>IF(AQ1795="1",BI1795,0)</f>
        <v>0</v>
      </c>
      <c r="AD1795" s="55">
        <f>IF(AQ1795="7",BH1795,0)</f>
        <v>0</v>
      </c>
      <c r="AE1795" s="55">
        <f>IF(AQ1795="7",BI1795,0)</f>
        <v>0</v>
      </c>
      <c r="AF1795" s="55">
        <f>IF(AQ1795="2",BH1795,0)</f>
        <v>0</v>
      </c>
      <c r="AG1795" s="55">
        <f>IF(AQ1795="2",BI1795,0)</f>
        <v>0</v>
      </c>
      <c r="AH1795" s="55">
        <f>IF(AQ1795="0",BJ1795,0)</f>
        <v>0</v>
      </c>
      <c r="AI1795" s="34" t="s">
        <v>2629</v>
      </c>
      <c r="AJ1795" s="55">
        <f>IF(AN1795=0,I1795,0)</f>
        <v>0</v>
      </c>
      <c r="AK1795" s="55">
        <f>IF(AN1795=12,I1795,0)</f>
        <v>0</v>
      </c>
      <c r="AL1795" s="55">
        <f>IF(AN1795=21,I1795,0)</f>
        <v>0</v>
      </c>
      <c r="AN1795" s="55">
        <v>21</v>
      </c>
      <c r="AO1795" s="55">
        <f>H1795*0.798392433</f>
        <v>0</v>
      </c>
      <c r="AP1795" s="55">
        <f>H1795*(1-0.798392433)</f>
        <v>0</v>
      </c>
      <c r="AQ1795" s="58" t="s">
        <v>125</v>
      </c>
      <c r="AV1795" s="55">
        <f>AW1795+AX1795</f>
        <v>0</v>
      </c>
      <c r="AW1795" s="55">
        <f>G1795*AO1795</f>
        <v>0</v>
      </c>
      <c r="AX1795" s="55">
        <f>G1795*AP1795</f>
        <v>0</v>
      </c>
      <c r="AY1795" s="58" t="s">
        <v>1875</v>
      </c>
      <c r="AZ1795" s="58" t="s">
        <v>3185</v>
      </c>
      <c r="BA1795" s="34" t="s">
        <v>2634</v>
      </c>
      <c r="BC1795" s="55">
        <f>AW1795+AX1795</f>
        <v>0</v>
      </c>
      <c r="BD1795" s="55">
        <f>H1795/(100-BE1795)*100</f>
        <v>0</v>
      </c>
      <c r="BE1795" s="55">
        <v>0</v>
      </c>
      <c r="BF1795" s="55">
        <f>K1795</f>
        <v>0.004706</v>
      </c>
      <c r="BH1795" s="55">
        <f>G1795*AO1795</f>
        <v>0</v>
      </c>
      <c r="BI1795" s="55">
        <f>G1795*AP1795</f>
        <v>0</v>
      </c>
      <c r="BJ1795" s="55">
        <f>G1795*H1795</f>
        <v>0</v>
      </c>
      <c r="BK1795" s="55"/>
      <c r="BL1795" s="55">
        <v>764</v>
      </c>
      <c r="BW1795" s="55">
        <v>21</v>
      </c>
    </row>
    <row r="1796" spans="1:12" ht="13.5" customHeight="1">
      <c r="A1796" s="59"/>
      <c r="D1796" s="218" t="s">
        <v>3384</v>
      </c>
      <c r="E1796" s="219"/>
      <c r="F1796" s="219"/>
      <c r="G1796" s="219"/>
      <c r="H1796" s="220"/>
      <c r="I1796" s="219"/>
      <c r="J1796" s="219"/>
      <c r="K1796" s="219"/>
      <c r="L1796" s="221"/>
    </row>
    <row r="1797" spans="1:12" ht="14.4">
      <c r="A1797" s="59"/>
      <c r="D1797" s="60" t="s">
        <v>3385</v>
      </c>
      <c r="E1797" s="60" t="s">
        <v>4</v>
      </c>
      <c r="G1797" s="68">
        <v>9.05</v>
      </c>
      <c r="L1797" s="69"/>
    </row>
    <row r="1798" spans="1:75" ht="27" customHeight="1">
      <c r="A1798" s="1" t="s">
        <v>3386</v>
      </c>
      <c r="B1798" s="2" t="s">
        <v>2629</v>
      </c>
      <c r="C1798" s="2" t="s">
        <v>3387</v>
      </c>
      <c r="D1798" s="147" t="s">
        <v>3388</v>
      </c>
      <c r="E1798" s="148"/>
      <c r="F1798" s="2" t="s">
        <v>174</v>
      </c>
      <c r="G1798" s="55">
        <v>67.25</v>
      </c>
      <c r="H1798" s="56">
        <v>0</v>
      </c>
      <c r="I1798" s="55">
        <f>G1798*H1798</f>
        <v>0</v>
      </c>
      <c r="J1798" s="55">
        <v>0.00052</v>
      </c>
      <c r="K1798" s="55">
        <f>G1798*J1798</f>
        <v>0.034969999999999994</v>
      </c>
      <c r="L1798" s="57" t="s">
        <v>124</v>
      </c>
      <c r="Z1798" s="55">
        <f>IF(AQ1798="5",BJ1798,0)</f>
        <v>0</v>
      </c>
      <c r="AB1798" s="55">
        <f>IF(AQ1798="1",BH1798,0)</f>
        <v>0</v>
      </c>
      <c r="AC1798" s="55">
        <f>IF(AQ1798="1",BI1798,0)</f>
        <v>0</v>
      </c>
      <c r="AD1798" s="55">
        <f>IF(AQ1798="7",BH1798,0)</f>
        <v>0</v>
      </c>
      <c r="AE1798" s="55">
        <f>IF(AQ1798="7",BI1798,0)</f>
        <v>0</v>
      </c>
      <c r="AF1798" s="55">
        <f>IF(AQ1798="2",BH1798,0)</f>
        <v>0</v>
      </c>
      <c r="AG1798" s="55">
        <f>IF(AQ1798="2",BI1798,0)</f>
        <v>0</v>
      </c>
      <c r="AH1798" s="55">
        <f>IF(AQ1798="0",BJ1798,0)</f>
        <v>0</v>
      </c>
      <c r="AI1798" s="34" t="s">
        <v>2629</v>
      </c>
      <c r="AJ1798" s="55">
        <f>IF(AN1798=0,I1798,0)</f>
        <v>0</v>
      </c>
      <c r="AK1798" s="55">
        <f>IF(AN1798=12,I1798,0)</f>
        <v>0</v>
      </c>
      <c r="AL1798" s="55">
        <f>IF(AN1798=21,I1798,0)</f>
        <v>0</v>
      </c>
      <c r="AN1798" s="55">
        <v>21</v>
      </c>
      <c r="AO1798" s="55">
        <f>H1798*0.489013239</f>
        <v>0</v>
      </c>
      <c r="AP1798" s="55">
        <f>H1798*(1-0.489013239)</f>
        <v>0</v>
      </c>
      <c r="AQ1798" s="58" t="s">
        <v>125</v>
      </c>
      <c r="AV1798" s="55">
        <f>AW1798+AX1798</f>
        <v>0</v>
      </c>
      <c r="AW1798" s="55">
        <f>G1798*AO1798</f>
        <v>0</v>
      </c>
      <c r="AX1798" s="55">
        <f>G1798*AP1798</f>
        <v>0</v>
      </c>
      <c r="AY1798" s="58" t="s">
        <v>1875</v>
      </c>
      <c r="AZ1798" s="58" t="s">
        <v>3185</v>
      </c>
      <c r="BA1798" s="34" t="s">
        <v>2634</v>
      </c>
      <c r="BC1798" s="55">
        <f>AW1798+AX1798</f>
        <v>0</v>
      </c>
      <c r="BD1798" s="55">
        <f>H1798/(100-BE1798)*100</f>
        <v>0</v>
      </c>
      <c r="BE1798" s="55">
        <v>0</v>
      </c>
      <c r="BF1798" s="55">
        <f>K1798</f>
        <v>0.034969999999999994</v>
      </c>
      <c r="BH1798" s="55">
        <f>G1798*AO1798</f>
        <v>0</v>
      </c>
      <c r="BI1798" s="55">
        <f>G1798*AP1798</f>
        <v>0</v>
      </c>
      <c r="BJ1798" s="55">
        <f>G1798*H1798</f>
        <v>0</v>
      </c>
      <c r="BK1798" s="55"/>
      <c r="BL1798" s="55">
        <v>764</v>
      </c>
      <c r="BW1798" s="55">
        <v>21</v>
      </c>
    </row>
    <row r="1799" spans="1:12" ht="13.5" customHeight="1">
      <c r="A1799" s="59"/>
      <c r="D1799" s="218" t="s">
        <v>3389</v>
      </c>
      <c r="E1799" s="219"/>
      <c r="F1799" s="219"/>
      <c r="G1799" s="219"/>
      <c r="H1799" s="220"/>
      <c r="I1799" s="219"/>
      <c r="J1799" s="219"/>
      <c r="K1799" s="219"/>
      <c r="L1799" s="221"/>
    </row>
    <row r="1800" spans="1:12" ht="14.4">
      <c r="A1800" s="59"/>
      <c r="D1800" s="60" t="s">
        <v>3390</v>
      </c>
      <c r="E1800" s="60" t="s">
        <v>4</v>
      </c>
      <c r="G1800" s="68">
        <v>67.25</v>
      </c>
      <c r="L1800" s="69"/>
    </row>
    <row r="1801" spans="1:75" ht="27" customHeight="1">
      <c r="A1801" s="1" t="s">
        <v>3391</v>
      </c>
      <c r="B1801" s="2" t="s">
        <v>2629</v>
      </c>
      <c r="C1801" s="2" t="s">
        <v>3392</v>
      </c>
      <c r="D1801" s="147" t="s">
        <v>3393</v>
      </c>
      <c r="E1801" s="148"/>
      <c r="F1801" s="2" t="s">
        <v>174</v>
      </c>
      <c r="G1801" s="55">
        <v>67.25</v>
      </c>
      <c r="H1801" s="56">
        <v>0</v>
      </c>
      <c r="I1801" s="55">
        <f>G1801*H1801</f>
        <v>0</v>
      </c>
      <c r="J1801" s="55">
        <v>0.00052</v>
      </c>
      <c r="K1801" s="55">
        <f>G1801*J1801</f>
        <v>0.034969999999999994</v>
      </c>
      <c r="L1801" s="57" t="s">
        <v>124</v>
      </c>
      <c r="Z1801" s="55">
        <f>IF(AQ1801="5",BJ1801,0)</f>
        <v>0</v>
      </c>
      <c r="AB1801" s="55">
        <f>IF(AQ1801="1",BH1801,0)</f>
        <v>0</v>
      </c>
      <c r="AC1801" s="55">
        <f>IF(AQ1801="1",BI1801,0)</f>
        <v>0</v>
      </c>
      <c r="AD1801" s="55">
        <f>IF(AQ1801="7",BH1801,0)</f>
        <v>0</v>
      </c>
      <c r="AE1801" s="55">
        <f>IF(AQ1801="7",BI1801,0)</f>
        <v>0</v>
      </c>
      <c r="AF1801" s="55">
        <f>IF(AQ1801="2",BH1801,0)</f>
        <v>0</v>
      </c>
      <c r="AG1801" s="55">
        <f>IF(AQ1801="2",BI1801,0)</f>
        <v>0</v>
      </c>
      <c r="AH1801" s="55">
        <f>IF(AQ1801="0",BJ1801,0)</f>
        <v>0</v>
      </c>
      <c r="AI1801" s="34" t="s">
        <v>2629</v>
      </c>
      <c r="AJ1801" s="55">
        <f>IF(AN1801=0,I1801,0)</f>
        <v>0</v>
      </c>
      <c r="AK1801" s="55">
        <f>IF(AN1801=12,I1801,0)</f>
        <v>0</v>
      </c>
      <c r="AL1801" s="55">
        <f>IF(AN1801=21,I1801,0)</f>
        <v>0</v>
      </c>
      <c r="AN1801" s="55">
        <v>21</v>
      </c>
      <c r="AO1801" s="55">
        <f>H1801*0.664427209</f>
        <v>0</v>
      </c>
      <c r="AP1801" s="55">
        <f>H1801*(1-0.664427209)</f>
        <v>0</v>
      </c>
      <c r="AQ1801" s="58" t="s">
        <v>125</v>
      </c>
      <c r="AV1801" s="55">
        <f>AW1801+AX1801</f>
        <v>0</v>
      </c>
      <c r="AW1801" s="55">
        <f>G1801*AO1801</f>
        <v>0</v>
      </c>
      <c r="AX1801" s="55">
        <f>G1801*AP1801</f>
        <v>0</v>
      </c>
      <c r="AY1801" s="58" t="s">
        <v>1875</v>
      </c>
      <c r="AZ1801" s="58" t="s">
        <v>3185</v>
      </c>
      <c r="BA1801" s="34" t="s">
        <v>2634</v>
      </c>
      <c r="BC1801" s="55">
        <f>AW1801+AX1801</f>
        <v>0</v>
      </c>
      <c r="BD1801" s="55">
        <f>H1801/(100-BE1801)*100</f>
        <v>0</v>
      </c>
      <c r="BE1801" s="55">
        <v>0</v>
      </c>
      <c r="BF1801" s="55">
        <f>K1801</f>
        <v>0.034969999999999994</v>
      </c>
      <c r="BH1801" s="55">
        <f>G1801*AO1801</f>
        <v>0</v>
      </c>
      <c r="BI1801" s="55">
        <f>G1801*AP1801</f>
        <v>0</v>
      </c>
      <c r="BJ1801" s="55">
        <f>G1801*H1801</f>
        <v>0</v>
      </c>
      <c r="BK1801" s="55"/>
      <c r="BL1801" s="55">
        <v>764</v>
      </c>
      <c r="BW1801" s="55">
        <v>21</v>
      </c>
    </row>
    <row r="1802" spans="1:12" ht="13.5" customHeight="1">
      <c r="A1802" s="59"/>
      <c r="D1802" s="218" t="s">
        <v>3394</v>
      </c>
      <c r="E1802" s="219"/>
      <c r="F1802" s="219"/>
      <c r="G1802" s="219"/>
      <c r="H1802" s="220"/>
      <c r="I1802" s="219"/>
      <c r="J1802" s="219"/>
      <c r="K1802" s="219"/>
      <c r="L1802" s="221"/>
    </row>
    <row r="1803" spans="1:12" ht="14.4">
      <c r="A1803" s="59"/>
      <c r="D1803" s="60" t="s">
        <v>3390</v>
      </c>
      <c r="E1803" s="60" t="s">
        <v>4</v>
      </c>
      <c r="G1803" s="68">
        <v>67.25</v>
      </c>
      <c r="L1803" s="69"/>
    </row>
    <row r="1804" spans="1:75" ht="27" customHeight="1">
      <c r="A1804" s="1" t="s">
        <v>3395</v>
      </c>
      <c r="B1804" s="2" t="s">
        <v>2629</v>
      </c>
      <c r="C1804" s="2" t="s">
        <v>3396</v>
      </c>
      <c r="D1804" s="147" t="s">
        <v>3397</v>
      </c>
      <c r="E1804" s="148"/>
      <c r="F1804" s="2" t="s">
        <v>174</v>
      </c>
      <c r="G1804" s="55">
        <v>42.15</v>
      </c>
      <c r="H1804" s="56">
        <v>0</v>
      </c>
      <c r="I1804" s="55">
        <f>G1804*H1804</f>
        <v>0</v>
      </c>
      <c r="J1804" s="55">
        <v>0.00052</v>
      </c>
      <c r="K1804" s="55">
        <f>G1804*J1804</f>
        <v>0.021917999999999997</v>
      </c>
      <c r="L1804" s="57" t="s">
        <v>124</v>
      </c>
      <c r="Z1804" s="55">
        <f>IF(AQ1804="5",BJ1804,0)</f>
        <v>0</v>
      </c>
      <c r="AB1804" s="55">
        <f>IF(AQ1804="1",BH1804,0)</f>
        <v>0</v>
      </c>
      <c r="AC1804" s="55">
        <f>IF(AQ1804="1",BI1804,0)</f>
        <v>0</v>
      </c>
      <c r="AD1804" s="55">
        <f>IF(AQ1804="7",BH1804,0)</f>
        <v>0</v>
      </c>
      <c r="AE1804" s="55">
        <f>IF(AQ1804="7",BI1804,0)</f>
        <v>0</v>
      </c>
      <c r="AF1804" s="55">
        <f>IF(AQ1804="2",BH1804,0)</f>
        <v>0</v>
      </c>
      <c r="AG1804" s="55">
        <f>IF(AQ1804="2",BI1804,0)</f>
        <v>0</v>
      </c>
      <c r="AH1804" s="55">
        <f>IF(AQ1804="0",BJ1804,0)</f>
        <v>0</v>
      </c>
      <c r="AI1804" s="34" t="s">
        <v>2629</v>
      </c>
      <c r="AJ1804" s="55">
        <f>IF(AN1804=0,I1804,0)</f>
        <v>0</v>
      </c>
      <c r="AK1804" s="55">
        <f>IF(AN1804=12,I1804,0)</f>
        <v>0</v>
      </c>
      <c r="AL1804" s="55">
        <f>IF(AN1804=21,I1804,0)</f>
        <v>0</v>
      </c>
      <c r="AN1804" s="55">
        <v>21</v>
      </c>
      <c r="AO1804" s="55">
        <f>H1804*0.806123069</f>
        <v>0</v>
      </c>
      <c r="AP1804" s="55">
        <f>H1804*(1-0.806123069)</f>
        <v>0</v>
      </c>
      <c r="AQ1804" s="58" t="s">
        <v>125</v>
      </c>
      <c r="AV1804" s="55">
        <f>AW1804+AX1804</f>
        <v>0</v>
      </c>
      <c r="AW1804" s="55">
        <f>G1804*AO1804</f>
        <v>0</v>
      </c>
      <c r="AX1804" s="55">
        <f>G1804*AP1804</f>
        <v>0</v>
      </c>
      <c r="AY1804" s="58" t="s">
        <v>1875</v>
      </c>
      <c r="AZ1804" s="58" t="s">
        <v>3185</v>
      </c>
      <c r="BA1804" s="34" t="s">
        <v>2634</v>
      </c>
      <c r="BC1804" s="55">
        <f>AW1804+AX1804</f>
        <v>0</v>
      </c>
      <c r="BD1804" s="55">
        <f>H1804/(100-BE1804)*100</f>
        <v>0</v>
      </c>
      <c r="BE1804" s="55">
        <v>0</v>
      </c>
      <c r="BF1804" s="55">
        <f>K1804</f>
        <v>0.021917999999999997</v>
      </c>
      <c r="BH1804" s="55">
        <f>G1804*AO1804</f>
        <v>0</v>
      </c>
      <c r="BI1804" s="55">
        <f>G1804*AP1804</f>
        <v>0</v>
      </c>
      <c r="BJ1804" s="55">
        <f>G1804*H1804</f>
        <v>0</v>
      </c>
      <c r="BK1804" s="55"/>
      <c r="BL1804" s="55">
        <v>764</v>
      </c>
      <c r="BW1804" s="55">
        <v>21</v>
      </c>
    </row>
    <row r="1805" spans="1:12" ht="13.5" customHeight="1">
      <c r="A1805" s="59"/>
      <c r="D1805" s="218" t="s">
        <v>3398</v>
      </c>
      <c r="E1805" s="219"/>
      <c r="F1805" s="219"/>
      <c r="G1805" s="219"/>
      <c r="H1805" s="220"/>
      <c r="I1805" s="219"/>
      <c r="J1805" s="219"/>
      <c r="K1805" s="219"/>
      <c r="L1805" s="221"/>
    </row>
    <row r="1806" spans="1:12" ht="14.4">
      <c r="A1806" s="59"/>
      <c r="D1806" s="60" t="s">
        <v>3399</v>
      </c>
      <c r="E1806" s="60" t="s">
        <v>4</v>
      </c>
      <c r="G1806" s="68">
        <v>42.15</v>
      </c>
      <c r="L1806" s="69"/>
    </row>
    <row r="1807" spans="1:75" ht="13.5" customHeight="1">
      <c r="A1807" s="1" t="s">
        <v>3400</v>
      </c>
      <c r="B1807" s="2" t="s">
        <v>2629</v>
      </c>
      <c r="C1807" s="2" t="s">
        <v>3401</v>
      </c>
      <c r="D1807" s="147" t="s">
        <v>3402</v>
      </c>
      <c r="E1807" s="148"/>
      <c r="F1807" s="2" t="s">
        <v>174</v>
      </c>
      <c r="G1807" s="55">
        <v>13.5</v>
      </c>
      <c r="H1807" s="56">
        <v>0</v>
      </c>
      <c r="I1807" s="55">
        <f>G1807*H1807</f>
        <v>0</v>
      </c>
      <c r="J1807" s="55">
        <v>0.00056</v>
      </c>
      <c r="K1807" s="55">
        <f>G1807*J1807</f>
        <v>0.007559999999999999</v>
      </c>
      <c r="L1807" s="57" t="s">
        <v>124</v>
      </c>
      <c r="Z1807" s="55">
        <f>IF(AQ1807="5",BJ1807,0)</f>
        <v>0</v>
      </c>
      <c r="AB1807" s="55">
        <f>IF(AQ1807="1",BH1807,0)</f>
        <v>0</v>
      </c>
      <c r="AC1807" s="55">
        <f>IF(AQ1807="1",BI1807,0)</f>
        <v>0</v>
      </c>
      <c r="AD1807" s="55">
        <f>IF(AQ1807="7",BH1807,0)</f>
        <v>0</v>
      </c>
      <c r="AE1807" s="55">
        <f>IF(AQ1807="7",BI1807,0)</f>
        <v>0</v>
      </c>
      <c r="AF1807" s="55">
        <f>IF(AQ1807="2",BH1807,0)</f>
        <v>0</v>
      </c>
      <c r="AG1807" s="55">
        <f>IF(AQ1807="2",BI1807,0)</f>
        <v>0</v>
      </c>
      <c r="AH1807" s="55">
        <f>IF(AQ1807="0",BJ1807,0)</f>
        <v>0</v>
      </c>
      <c r="AI1807" s="34" t="s">
        <v>2629</v>
      </c>
      <c r="AJ1807" s="55">
        <f>IF(AN1807=0,I1807,0)</f>
        <v>0</v>
      </c>
      <c r="AK1807" s="55">
        <f>IF(AN1807=12,I1807,0)</f>
        <v>0</v>
      </c>
      <c r="AL1807" s="55">
        <f>IF(AN1807=21,I1807,0)</f>
        <v>0</v>
      </c>
      <c r="AN1807" s="55">
        <v>21</v>
      </c>
      <c r="AO1807" s="55">
        <f>H1807*0.87361869</f>
        <v>0</v>
      </c>
      <c r="AP1807" s="55">
        <f>H1807*(1-0.87361869)</f>
        <v>0</v>
      </c>
      <c r="AQ1807" s="58" t="s">
        <v>125</v>
      </c>
      <c r="AV1807" s="55">
        <f>AW1807+AX1807</f>
        <v>0</v>
      </c>
      <c r="AW1807" s="55">
        <f>G1807*AO1807</f>
        <v>0</v>
      </c>
      <c r="AX1807" s="55">
        <f>G1807*AP1807</f>
        <v>0</v>
      </c>
      <c r="AY1807" s="58" t="s">
        <v>1875</v>
      </c>
      <c r="AZ1807" s="58" t="s">
        <v>3185</v>
      </c>
      <c r="BA1807" s="34" t="s">
        <v>2634</v>
      </c>
      <c r="BC1807" s="55">
        <f>AW1807+AX1807</f>
        <v>0</v>
      </c>
      <c r="BD1807" s="55">
        <f>H1807/(100-BE1807)*100</f>
        <v>0</v>
      </c>
      <c r="BE1807" s="55">
        <v>0</v>
      </c>
      <c r="BF1807" s="55">
        <f>K1807</f>
        <v>0.007559999999999999</v>
      </c>
      <c r="BH1807" s="55">
        <f>G1807*AO1807</f>
        <v>0</v>
      </c>
      <c r="BI1807" s="55">
        <f>G1807*AP1807</f>
        <v>0</v>
      </c>
      <c r="BJ1807" s="55">
        <f>G1807*H1807</f>
        <v>0</v>
      </c>
      <c r="BK1807" s="55"/>
      <c r="BL1807" s="55">
        <v>764</v>
      </c>
      <c r="BW1807" s="55">
        <v>21</v>
      </c>
    </row>
    <row r="1808" spans="1:12" ht="13.5" customHeight="1">
      <c r="A1808" s="59"/>
      <c r="D1808" s="218" t="s">
        <v>3403</v>
      </c>
      <c r="E1808" s="219"/>
      <c r="F1808" s="219"/>
      <c r="G1808" s="219"/>
      <c r="H1808" s="220"/>
      <c r="I1808" s="219"/>
      <c r="J1808" s="219"/>
      <c r="K1808" s="219"/>
      <c r="L1808" s="221"/>
    </row>
    <row r="1809" spans="1:12" ht="14.4">
      <c r="A1809" s="59"/>
      <c r="D1809" s="60" t="s">
        <v>3404</v>
      </c>
      <c r="E1809" s="60" t="s">
        <v>4</v>
      </c>
      <c r="G1809" s="68">
        <v>13.5</v>
      </c>
      <c r="L1809" s="69"/>
    </row>
    <row r="1810" spans="1:75" ht="13.5" customHeight="1">
      <c r="A1810" s="1" t="s">
        <v>3405</v>
      </c>
      <c r="B1810" s="2" t="s">
        <v>2629</v>
      </c>
      <c r="C1810" s="2" t="s">
        <v>3406</v>
      </c>
      <c r="D1810" s="147" t="s">
        <v>3407</v>
      </c>
      <c r="E1810" s="148"/>
      <c r="F1810" s="2" t="s">
        <v>174</v>
      </c>
      <c r="G1810" s="55">
        <v>13.5</v>
      </c>
      <c r="H1810" s="56">
        <v>0</v>
      </c>
      <c r="I1810" s="55">
        <f>G1810*H1810</f>
        <v>0</v>
      </c>
      <c r="J1810" s="55">
        <v>0.00052</v>
      </c>
      <c r="K1810" s="55">
        <f>G1810*J1810</f>
        <v>0.007019999999999999</v>
      </c>
      <c r="L1810" s="57" t="s">
        <v>124</v>
      </c>
      <c r="Z1810" s="55">
        <f>IF(AQ1810="5",BJ1810,0)</f>
        <v>0</v>
      </c>
      <c r="AB1810" s="55">
        <f>IF(AQ1810="1",BH1810,0)</f>
        <v>0</v>
      </c>
      <c r="AC1810" s="55">
        <f>IF(AQ1810="1",BI1810,0)</f>
        <v>0</v>
      </c>
      <c r="AD1810" s="55">
        <f>IF(AQ1810="7",BH1810,0)</f>
        <v>0</v>
      </c>
      <c r="AE1810" s="55">
        <f>IF(AQ1810="7",BI1810,0)</f>
        <v>0</v>
      </c>
      <c r="AF1810" s="55">
        <f>IF(AQ1810="2",BH1810,0)</f>
        <v>0</v>
      </c>
      <c r="AG1810" s="55">
        <f>IF(AQ1810="2",BI1810,0)</f>
        <v>0</v>
      </c>
      <c r="AH1810" s="55">
        <f>IF(AQ1810="0",BJ1810,0)</f>
        <v>0</v>
      </c>
      <c r="AI1810" s="34" t="s">
        <v>2629</v>
      </c>
      <c r="AJ1810" s="55">
        <f>IF(AN1810=0,I1810,0)</f>
        <v>0</v>
      </c>
      <c r="AK1810" s="55">
        <f>IF(AN1810=12,I1810,0)</f>
        <v>0</v>
      </c>
      <c r="AL1810" s="55">
        <f>IF(AN1810=21,I1810,0)</f>
        <v>0</v>
      </c>
      <c r="AN1810" s="55">
        <v>21</v>
      </c>
      <c r="AO1810" s="55">
        <f>H1810*0.703786837</f>
        <v>0</v>
      </c>
      <c r="AP1810" s="55">
        <f>H1810*(1-0.703786837)</f>
        <v>0</v>
      </c>
      <c r="AQ1810" s="58" t="s">
        <v>125</v>
      </c>
      <c r="AV1810" s="55">
        <f>AW1810+AX1810</f>
        <v>0</v>
      </c>
      <c r="AW1810" s="55">
        <f>G1810*AO1810</f>
        <v>0</v>
      </c>
      <c r="AX1810" s="55">
        <f>G1810*AP1810</f>
        <v>0</v>
      </c>
      <c r="AY1810" s="58" t="s">
        <v>1875</v>
      </c>
      <c r="AZ1810" s="58" t="s">
        <v>3185</v>
      </c>
      <c r="BA1810" s="34" t="s">
        <v>2634</v>
      </c>
      <c r="BC1810" s="55">
        <f>AW1810+AX1810</f>
        <v>0</v>
      </c>
      <c r="BD1810" s="55">
        <f>H1810/(100-BE1810)*100</f>
        <v>0</v>
      </c>
      <c r="BE1810" s="55">
        <v>0</v>
      </c>
      <c r="BF1810" s="55">
        <f>K1810</f>
        <v>0.007019999999999999</v>
      </c>
      <c r="BH1810" s="55">
        <f>G1810*AO1810</f>
        <v>0</v>
      </c>
      <c r="BI1810" s="55">
        <f>G1810*AP1810</f>
        <v>0</v>
      </c>
      <c r="BJ1810" s="55">
        <f>G1810*H1810</f>
        <v>0</v>
      </c>
      <c r="BK1810" s="55"/>
      <c r="BL1810" s="55">
        <v>764</v>
      </c>
      <c r="BW1810" s="55">
        <v>21</v>
      </c>
    </row>
    <row r="1811" spans="1:12" ht="13.5" customHeight="1">
      <c r="A1811" s="59"/>
      <c r="D1811" s="218" t="s">
        <v>3408</v>
      </c>
      <c r="E1811" s="219"/>
      <c r="F1811" s="219"/>
      <c r="G1811" s="219"/>
      <c r="H1811" s="220"/>
      <c r="I1811" s="219"/>
      <c r="J1811" s="219"/>
      <c r="K1811" s="219"/>
      <c r="L1811" s="221"/>
    </row>
    <row r="1812" spans="1:12" ht="14.4">
      <c r="A1812" s="59"/>
      <c r="D1812" s="60" t="s">
        <v>3404</v>
      </c>
      <c r="E1812" s="60" t="s">
        <v>4</v>
      </c>
      <c r="G1812" s="68">
        <v>13.5</v>
      </c>
      <c r="L1812" s="69"/>
    </row>
    <row r="1813" spans="1:75" ht="27" customHeight="1">
      <c r="A1813" s="1" t="s">
        <v>3409</v>
      </c>
      <c r="B1813" s="2" t="s">
        <v>2629</v>
      </c>
      <c r="C1813" s="2" t="s">
        <v>3410</v>
      </c>
      <c r="D1813" s="147" t="s">
        <v>3411</v>
      </c>
      <c r="E1813" s="148"/>
      <c r="F1813" s="2" t="s">
        <v>174</v>
      </c>
      <c r="G1813" s="55">
        <v>8.95</v>
      </c>
      <c r="H1813" s="56">
        <v>0</v>
      </c>
      <c r="I1813" s="55">
        <f>G1813*H1813</f>
        <v>0</v>
      </c>
      <c r="J1813" s="55">
        <v>0.00052</v>
      </c>
      <c r="K1813" s="55">
        <f>G1813*J1813</f>
        <v>0.004653999999999999</v>
      </c>
      <c r="L1813" s="57" t="s">
        <v>124</v>
      </c>
      <c r="Z1813" s="55">
        <f>IF(AQ1813="5",BJ1813,0)</f>
        <v>0</v>
      </c>
      <c r="AB1813" s="55">
        <f>IF(AQ1813="1",BH1813,0)</f>
        <v>0</v>
      </c>
      <c r="AC1813" s="55">
        <f>IF(AQ1813="1",BI1813,0)</f>
        <v>0</v>
      </c>
      <c r="AD1813" s="55">
        <f>IF(AQ1813="7",BH1813,0)</f>
        <v>0</v>
      </c>
      <c r="AE1813" s="55">
        <f>IF(AQ1813="7",BI1813,0)</f>
        <v>0</v>
      </c>
      <c r="AF1813" s="55">
        <f>IF(AQ1813="2",BH1813,0)</f>
        <v>0</v>
      </c>
      <c r="AG1813" s="55">
        <f>IF(AQ1813="2",BI1813,0)</f>
        <v>0</v>
      </c>
      <c r="AH1813" s="55">
        <f>IF(AQ1813="0",BJ1813,0)</f>
        <v>0</v>
      </c>
      <c r="AI1813" s="34" t="s">
        <v>2629</v>
      </c>
      <c r="AJ1813" s="55">
        <f>IF(AN1813=0,I1813,0)</f>
        <v>0</v>
      </c>
      <c r="AK1813" s="55">
        <f>IF(AN1813=12,I1813,0)</f>
        <v>0</v>
      </c>
      <c r="AL1813" s="55">
        <f>IF(AN1813=21,I1813,0)</f>
        <v>0</v>
      </c>
      <c r="AN1813" s="55">
        <v>21</v>
      </c>
      <c r="AO1813" s="55">
        <f>H1813*0.714946395</f>
        <v>0</v>
      </c>
      <c r="AP1813" s="55">
        <f>H1813*(1-0.714946395)</f>
        <v>0</v>
      </c>
      <c r="AQ1813" s="58" t="s">
        <v>125</v>
      </c>
      <c r="AV1813" s="55">
        <f>AW1813+AX1813</f>
        <v>0</v>
      </c>
      <c r="AW1813" s="55">
        <f>G1813*AO1813</f>
        <v>0</v>
      </c>
      <c r="AX1813" s="55">
        <f>G1813*AP1813</f>
        <v>0</v>
      </c>
      <c r="AY1813" s="58" t="s">
        <v>1875</v>
      </c>
      <c r="AZ1813" s="58" t="s">
        <v>3185</v>
      </c>
      <c r="BA1813" s="34" t="s">
        <v>2634</v>
      </c>
      <c r="BC1813" s="55">
        <f>AW1813+AX1813</f>
        <v>0</v>
      </c>
      <c r="BD1813" s="55">
        <f>H1813/(100-BE1813)*100</f>
        <v>0</v>
      </c>
      <c r="BE1813" s="55">
        <v>0</v>
      </c>
      <c r="BF1813" s="55">
        <f>K1813</f>
        <v>0.004653999999999999</v>
      </c>
      <c r="BH1813" s="55">
        <f>G1813*AO1813</f>
        <v>0</v>
      </c>
      <c r="BI1813" s="55">
        <f>G1813*AP1813</f>
        <v>0</v>
      </c>
      <c r="BJ1813" s="55">
        <f>G1813*H1813</f>
        <v>0</v>
      </c>
      <c r="BK1813" s="55"/>
      <c r="BL1813" s="55">
        <v>764</v>
      </c>
      <c r="BW1813" s="55">
        <v>21</v>
      </c>
    </row>
    <row r="1814" spans="1:12" ht="13.5" customHeight="1">
      <c r="A1814" s="59"/>
      <c r="D1814" s="218" t="s">
        <v>3412</v>
      </c>
      <c r="E1814" s="219"/>
      <c r="F1814" s="219"/>
      <c r="G1814" s="219"/>
      <c r="H1814" s="220"/>
      <c r="I1814" s="219"/>
      <c r="J1814" s="219"/>
      <c r="K1814" s="219"/>
      <c r="L1814" s="221"/>
    </row>
    <row r="1815" spans="1:12" ht="14.4">
      <c r="A1815" s="59"/>
      <c r="D1815" s="60" t="s">
        <v>3413</v>
      </c>
      <c r="E1815" s="60" t="s">
        <v>4</v>
      </c>
      <c r="G1815" s="68">
        <v>8.95</v>
      </c>
      <c r="L1815" s="69"/>
    </row>
    <row r="1816" spans="1:75" ht="27" customHeight="1">
      <c r="A1816" s="1" t="s">
        <v>3414</v>
      </c>
      <c r="B1816" s="2" t="s">
        <v>2629</v>
      </c>
      <c r="C1816" s="2" t="s">
        <v>3415</v>
      </c>
      <c r="D1816" s="147" t="s">
        <v>3416</v>
      </c>
      <c r="E1816" s="148"/>
      <c r="F1816" s="2" t="s">
        <v>174</v>
      </c>
      <c r="G1816" s="55">
        <v>8.95</v>
      </c>
      <c r="H1816" s="56">
        <v>0</v>
      </c>
      <c r="I1816" s="55">
        <f>G1816*H1816</f>
        <v>0</v>
      </c>
      <c r="J1816" s="55">
        <v>0.00052</v>
      </c>
      <c r="K1816" s="55">
        <f>G1816*J1816</f>
        <v>0.004653999999999999</v>
      </c>
      <c r="L1816" s="57" t="s">
        <v>124</v>
      </c>
      <c r="Z1816" s="55">
        <f>IF(AQ1816="5",BJ1816,0)</f>
        <v>0</v>
      </c>
      <c r="AB1816" s="55">
        <f>IF(AQ1816="1",BH1816,0)</f>
        <v>0</v>
      </c>
      <c r="AC1816" s="55">
        <f>IF(AQ1816="1",BI1816,0)</f>
        <v>0</v>
      </c>
      <c r="AD1816" s="55">
        <f>IF(AQ1816="7",BH1816,0)</f>
        <v>0</v>
      </c>
      <c r="AE1816" s="55">
        <f>IF(AQ1816="7",BI1816,0)</f>
        <v>0</v>
      </c>
      <c r="AF1816" s="55">
        <f>IF(AQ1816="2",BH1816,0)</f>
        <v>0</v>
      </c>
      <c r="AG1816" s="55">
        <f>IF(AQ1816="2",BI1816,0)</f>
        <v>0</v>
      </c>
      <c r="AH1816" s="55">
        <f>IF(AQ1816="0",BJ1816,0)</f>
        <v>0</v>
      </c>
      <c r="AI1816" s="34" t="s">
        <v>2629</v>
      </c>
      <c r="AJ1816" s="55">
        <f>IF(AN1816=0,I1816,0)</f>
        <v>0</v>
      </c>
      <c r="AK1816" s="55">
        <f>IF(AN1816=12,I1816,0)</f>
        <v>0</v>
      </c>
      <c r="AL1816" s="55">
        <f>IF(AN1816=21,I1816,0)</f>
        <v>0</v>
      </c>
      <c r="AN1816" s="55">
        <v>21</v>
      </c>
      <c r="AO1816" s="55">
        <f>H1816*0.513629842</f>
        <v>0</v>
      </c>
      <c r="AP1816" s="55">
        <f>H1816*(1-0.513629842)</f>
        <v>0</v>
      </c>
      <c r="AQ1816" s="58" t="s">
        <v>125</v>
      </c>
      <c r="AV1816" s="55">
        <f>AW1816+AX1816</f>
        <v>0</v>
      </c>
      <c r="AW1816" s="55">
        <f>G1816*AO1816</f>
        <v>0</v>
      </c>
      <c r="AX1816" s="55">
        <f>G1816*AP1816</f>
        <v>0</v>
      </c>
      <c r="AY1816" s="58" t="s">
        <v>1875</v>
      </c>
      <c r="AZ1816" s="58" t="s">
        <v>3185</v>
      </c>
      <c r="BA1816" s="34" t="s">
        <v>2634</v>
      </c>
      <c r="BC1816" s="55">
        <f>AW1816+AX1816</f>
        <v>0</v>
      </c>
      <c r="BD1816" s="55">
        <f>H1816/(100-BE1816)*100</f>
        <v>0</v>
      </c>
      <c r="BE1816" s="55">
        <v>0</v>
      </c>
      <c r="BF1816" s="55">
        <f>K1816</f>
        <v>0.004653999999999999</v>
      </c>
      <c r="BH1816" s="55">
        <f>G1816*AO1816</f>
        <v>0</v>
      </c>
      <c r="BI1816" s="55">
        <f>G1816*AP1816</f>
        <v>0</v>
      </c>
      <c r="BJ1816" s="55">
        <f>G1816*H1816</f>
        <v>0</v>
      </c>
      <c r="BK1816" s="55"/>
      <c r="BL1816" s="55">
        <v>764</v>
      </c>
      <c r="BW1816" s="55">
        <v>21</v>
      </c>
    </row>
    <row r="1817" spans="1:12" ht="13.5" customHeight="1">
      <c r="A1817" s="59"/>
      <c r="D1817" s="218" t="s">
        <v>3417</v>
      </c>
      <c r="E1817" s="219"/>
      <c r="F1817" s="219"/>
      <c r="G1817" s="219"/>
      <c r="H1817" s="220"/>
      <c r="I1817" s="219"/>
      <c r="J1817" s="219"/>
      <c r="K1817" s="219"/>
      <c r="L1817" s="221"/>
    </row>
    <row r="1818" spans="1:12" ht="14.4">
      <c r="A1818" s="59"/>
      <c r="D1818" s="60" t="s">
        <v>3413</v>
      </c>
      <c r="E1818" s="60" t="s">
        <v>4</v>
      </c>
      <c r="G1818" s="68">
        <v>8.95</v>
      </c>
      <c r="L1818" s="69"/>
    </row>
    <row r="1819" spans="1:75" ht="27" customHeight="1">
      <c r="A1819" s="1" t="s">
        <v>3418</v>
      </c>
      <c r="B1819" s="2" t="s">
        <v>2629</v>
      </c>
      <c r="C1819" s="2" t="s">
        <v>3419</v>
      </c>
      <c r="D1819" s="147" t="s">
        <v>3420</v>
      </c>
      <c r="E1819" s="148"/>
      <c r="F1819" s="2" t="s">
        <v>174</v>
      </c>
      <c r="G1819" s="55">
        <v>10.9</v>
      </c>
      <c r="H1819" s="56">
        <v>0</v>
      </c>
      <c r="I1819" s="55">
        <f>G1819*H1819</f>
        <v>0</v>
      </c>
      <c r="J1819" s="55">
        <v>0.00052</v>
      </c>
      <c r="K1819" s="55">
        <f>G1819*J1819</f>
        <v>0.005667999999999999</v>
      </c>
      <c r="L1819" s="57" t="s">
        <v>124</v>
      </c>
      <c r="Z1819" s="55">
        <f>IF(AQ1819="5",BJ1819,0)</f>
        <v>0</v>
      </c>
      <c r="AB1819" s="55">
        <f>IF(AQ1819="1",BH1819,0)</f>
        <v>0</v>
      </c>
      <c r="AC1819" s="55">
        <f>IF(AQ1819="1",BI1819,0)</f>
        <v>0</v>
      </c>
      <c r="AD1819" s="55">
        <f>IF(AQ1819="7",BH1819,0)</f>
        <v>0</v>
      </c>
      <c r="AE1819" s="55">
        <f>IF(AQ1819="7",BI1819,0)</f>
        <v>0</v>
      </c>
      <c r="AF1819" s="55">
        <f>IF(AQ1819="2",BH1819,0)</f>
        <v>0</v>
      </c>
      <c r="AG1819" s="55">
        <f>IF(AQ1819="2",BI1819,0)</f>
        <v>0</v>
      </c>
      <c r="AH1819" s="55">
        <f>IF(AQ1819="0",BJ1819,0)</f>
        <v>0</v>
      </c>
      <c r="AI1819" s="34" t="s">
        <v>2629</v>
      </c>
      <c r="AJ1819" s="55">
        <f>IF(AN1819=0,I1819,0)</f>
        <v>0</v>
      </c>
      <c r="AK1819" s="55">
        <f>IF(AN1819=12,I1819,0)</f>
        <v>0</v>
      </c>
      <c r="AL1819" s="55">
        <f>IF(AN1819=21,I1819,0)</f>
        <v>0</v>
      </c>
      <c r="AN1819" s="55">
        <v>21</v>
      </c>
      <c r="AO1819" s="55">
        <f>H1819*0.743854207</f>
        <v>0</v>
      </c>
      <c r="AP1819" s="55">
        <f>H1819*(1-0.743854207)</f>
        <v>0</v>
      </c>
      <c r="AQ1819" s="58" t="s">
        <v>125</v>
      </c>
      <c r="AV1819" s="55">
        <f>AW1819+AX1819</f>
        <v>0</v>
      </c>
      <c r="AW1819" s="55">
        <f>G1819*AO1819</f>
        <v>0</v>
      </c>
      <c r="AX1819" s="55">
        <f>G1819*AP1819</f>
        <v>0</v>
      </c>
      <c r="AY1819" s="58" t="s">
        <v>1875</v>
      </c>
      <c r="AZ1819" s="58" t="s">
        <v>3185</v>
      </c>
      <c r="BA1819" s="34" t="s">
        <v>2634</v>
      </c>
      <c r="BC1819" s="55">
        <f>AW1819+AX1819</f>
        <v>0</v>
      </c>
      <c r="BD1819" s="55">
        <f>H1819/(100-BE1819)*100</f>
        <v>0</v>
      </c>
      <c r="BE1819" s="55">
        <v>0</v>
      </c>
      <c r="BF1819" s="55">
        <f>K1819</f>
        <v>0.005667999999999999</v>
      </c>
      <c r="BH1819" s="55">
        <f>G1819*AO1819</f>
        <v>0</v>
      </c>
      <c r="BI1819" s="55">
        <f>G1819*AP1819</f>
        <v>0</v>
      </c>
      <c r="BJ1819" s="55">
        <f>G1819*H1819</f>
        <v>0</v>
      </c>
      <c r="BK1819" s="55"/>
      <c r="BL1819" s="55">
        <v>764</v>
      </c>
      <c r="BW1819" s="55">
        <v>21</v>
      </c>
    </row>
    <row r="1820" spans="1:12" ht="13.5" customHeight="1">
      <c r="A1820" s="59"/>
      <c r="D1820" s="218" t="s">
        <v>3421</v>
      </c>
      <c r="E1820" s="219"/>
      <c r="F1820" s="219"/>
      <c r="G1820" s="219"/>
      <c r="H1820" s="220"/>
      <c r="I1820" s="219"/>
      <c r="J1820" s="219"/>
      <c r="K1820" s="219"/>
      <c r="L1820" s="221"/>
    </row>
    <row r="1821" spans="1:12" ht="14.4">
      <c r="A1821" s="59"/>
      <c r="D1821" s="60" t="s">
        <v>3422</v>
      </c>
      <c r="E1821" s="60" t="s">
        <v>4</v>
      </c>
      <c r="G1821" s="68">
        <v>10.9</v>
      </c>
      <c r="L1821" s="69"/>
    </row>
    <row r="1822" spans="1:75" ht="27" customHeight="1">
      <c r="A1822" s="1" t="s">
        <v>3423</v>
      </c>
      <c r="B1822" s="2" t="s">
        <v>2629</v>
      </c>
      <c r="C1822" s="2" t="s">
        <v>3424</v>
      </c>
      <c r="D1822" s="147" t="s">
        <v>3425</v>
      </c>
      <c r="E1822" s="148"/>
      <c r="F1822" s="2" t="s">
        <v>174</v>
      </c>
      <c r="G1822" s="55">
        <v>10.9</v>
      </c>
      <c r="H1822" s="56">
        <v>0</v>
      </c>
      <c r="I1822" s="55">
        <f>G1822*H1822</f>
        <v>0</v>
      </c>
      <c r="J1822" s="55">
        <v>0.00052</v>
      </c>
      <c r="K1822" s="55">
        <f>G1822*J1822</f>
        <v>0.005667999999999999</v>
      </c>
      <c r="L1822" s="57" t="s">
        <v>124</v>
      </c>
      <c r="Z1822" s="55">
        <f>IF(AQ1822="5",BJ1822,0)</f>
        <v>0</v>
      </c>
      <c r="AB1822" s="55">
        <f>IF(AQ1822="1",BH1822,0)</f>
        <v>0</v>
      </c>
      <c r="AC1822" s="55">
        <f>IF(AQ1822="1",BI1822,0)</f>
        <v>0</v>
      </c>
      <c r="AD1822" s="55">
        <f>IF(AQ1822="7",BH1822,0)</f>
        <v>0</v>
      </c>
      <c r="AE1822" s="55">
        <f>IF(AQ1822="7",BI1822,0)</f>
        <v>0</v>
      </c>
      <c r="AF1822" s="55">
        <f>IF(AQ1822="2",BH1822,0)</f>
        <v>0</v>
      </c>
      <c r="AG1822" s="55">
        <f>IF(AQ1822="2",BI1822,0)</f>
        <v>0</v>
      </c>
      <c r="AH1822" s="55">
        <f>IF(AQ1822="0",BJ1822,0)</f>
        <v>0</v>
      </c>
      <c r="AI1822" s="34" t="s">
        <v>2629</v>
      </c>
      <c r="AJ1822" s="55">
        <f>IF(AN1822=0,I1822,0)</f>
        <v>0</v>
      </c>
      <c r="AK1822" s="55">
        <f>IF(AN1822=12,I1822,0)</f>
        <v>0</v>
      </c>
      <c r="AL1822" s="55">
        <f>IF(AN1822=21,I1822,0)</f>
        <v>0</v>
      </c>
      <c r="AN1822" s="55">
        <v>21</v>
      </c>
      <c r="AO1822" s="55">
        <f>H1822*0.556346541</f>
        <v>0</v>
      </c>
      <c r="AP1822" s="55">
        <f>H1822*(1-0.556346541)</f>
        <v>0</v>
      </c>
      <c r="AQ1822" s="58" t="s">
        <v>125</v>
      </c>
      <c r="AV1822" s="55">
        <f>AW1822+AX1822</f>
        <v>0</v>
      </c>
      <c r="AW1822" s="55">
        <f>G1822*AO1822</f>
        <v>0</v>
      </c>
      <c r="AX1822" s="55">
        <f>G1822*AP1822</f>
        <v>0</v>
      </c>
      <c r="AY1822" s="58" t="s">
        <v>1875</v>
      </c>
      <c r="AZ1822" s="58" t="s">
        <v>3185</v>
      </c>
      <c r="BA1822" s="34" t="s">
        <v>2634</v>
      </c>
      <c r="BC1822" s="55">
        <f>AW1822+AX1822</f>
        <v>0</v>
      </c>
      <c r="BD1822" s="55">
        <f>H1822/(100-BE1822)*100</f>
        <v>0</v>
      </c>
      <c r="BE1822" s="55">
        <v>0</v>
      </c>
      <c r="BF1822" s="55">
        <f>K1822</f>
        <v>0.005667999999999999</v>
      </c>
      <c r="BH1822" s="55">
        <f>G1822*AO1822</f>
        <v>0</v>
      </c>
      <c r="BI1822" s="55">
        <f>G1822*AP1822</f>
        <v>0</v>
      </c>
      <c r="BJ1822" s="55">
        <f>G1822*H1822</f>
        <v>0</v>
      </c>
      <c r="BK1822" s="55"/>
      <c r="BL1822" s="55">
        <v>764</v>
      </c>
      <c r="BW1822" s="55">
        <v>21</v>
      </c>
    </row>
    <row r="1823" spans="1:12" ht="13.5" customHeight="1">
      <c r="A1823" s="59"/>
      <c r="D1823" s="218" t="s">
        <v>3426</v>
      </c>
      <c r="E1823" s="219"/>
      <c r="F1823" s="219"/>
      <c r="G1823" s="219"/>
      <c r="H1823" s="220"/>
      <c r="I1823" s="219"/>
      <c r="J1823" s="219"/>
      <c r="K1823" s="219"/>
      <c r="L1823" s="221"/>
    </row>
    <row r="1824" spans="1:12" ht="14.4">
      <c r="A1824" s="59"/>
      <c r="D1824" s="60" t="s">
        <v>3422</v>
      </c>
      <c r="E1824" s="60" t="s">
        <v>4</v>
      </c>
      <c r="G1824" s="68">
        <v>10.9</v>
      </c>
      <c r="L1824" s="69"/>
    </row>
    <row r="1825" spans="1:75" ht="27" customHeight="1">
      <c r="A1825" s="1" t="s">
        <v>3427</v>
      </c>
      <c r="B1825" s="2" t="s">
        <v>2629</v>
      </c>
      <c r="C1825" s="2" t="s">
        <v>3428</v>
      </c>
      <c r="D1825" s="147" t="s">
        <v>3429</v>
      </c>
      <c r="E1825" s="148"/>
      <c r="F1825" s="2" t="s">
        <v>174</v>
      </c>
      <c r="G1825" s="55">
        <v>12.8</v>
      </c>
      <c r="H1825" s="56">
        <v>0</v>
      </c>
      <c r="I1825" s="55">
        <f>G1825*H1825</f>
        <v>0</v>
      </c>
      <c r="J1825" s="55">
        <v>0.00243</v>
      </c>
      <c r="K1825" s="55">
        <f>G1825*J1825</f>
        <v>0.031104</v>
      </c>
      <c r="L1825" s="57" t="s">
        <v>124</v>
      </c>
      <c r="Z1825" s="55">
        <f>IF(AQ1825="5",BJ1825,0)</f>
        <v>0</v>
      </c>
      <c r="AB1825" s="55">
        <f>IF(AQ1825="1",BH1825,0)</f>
        <v>0</v>
      </c>
      <c r="AC1825" s="55">
        <f>IF(AQ1825="1",BI1825,0)</f>
        <v>0</v>
      </c>
      <c r="AD1825" s="55">
        <f>IF(AQ1825="7",BH1825,0)</f>
        <v>0</v>
      </c>
      <c r="AE1825" s="55">
        <f>IF(AQ1825="7",BI1825,0)</f>
        <v>0</v>
      </c>
      <c r="AF1825" s="55">
        <f>IF(AQ1825="2",BH1825,0)</f>
        <v>0</v>
      </c>
      <c r="AG1825" s="55">
        <f>IF(AQ1825="2",BI1825,0)</f>
        <v>0</v>
      </c>
      <c r="AH1825" s="55">
        <f>IF(AQ1825="0",BJ1825,0)</f>
        <v>0</v>
      </c>
      <c r="AI1825" s="34" t="s">
        <v>2629</v>
      </c>
      <c r="AJ1825" s="55">
        <f>IF(AN1825=0,I1825,0)</f>
        <v>0</v>
      </c>
      <c r="AK1825" s="55">
        <f>IF(AN1825=12,I1825,0)</f>
        <v>0</v>
      </c>
      <c r="AL1825" s="55">
        <f>IF(AN1825=21,I1825,0)</f>
        <v>0</v>
      </c>
      <c r="AN1825" s="55">
        <v>21</v>
      </c>
      <c r="AO1825" s="55">
        <f>H1825*0.160414987</f>
        <v>0</v>
      </c>
      <c r="AP1825" s="55">
        <f>H1825*(1-0.160414987)</f>
        <v>0</v>
      </c>
      <c r="AQ1825" s="58" t="s">
        <v>125</v>
      </c>
      <c r="AV1825" s="55">
        <f>AW1825+AX1825</f>
        <v>0</v>
      </c>
      <c r="AW1825" s="55">
        <f>G1825*AO1825</f>
        <v>0</v>
      </c>
      <c r="AX1825" s="55">
        <f>G1825*AP1825</f>
        <v>0</v>
      </c>
      <c r="AY1825" s="58" t="s">
        <v>1875</v>
      </c>
      <c r="AZ1825" s="58" t="s">
        <v>3185</v>
      </c>
      <c r="BA1825" s="34" t="s">
        <v>2634</v>
      </c>
      <c r="BC1825" s="55">
        <f>AW1825+AX1825</f>
        <v>0</v>
      </c>
      <c r="BD1825" s="55">
        <f>H1825/(100-BE1825)*100</f>
        <v>0</v>
      </c>
      <c r="BE1825" s="55">
        <v>0</v>
      </c>
      <c r="BF1825" s="55">
        <f>K1825</f>
        <v>0.031104</v>
      </c>
      <c r="BH1825" s="55">
        <f>G1825*AO1825</f>
        <v>0</v>
      </c>
      <c r="BI1825" s="55">
        <f>G1825*AP1825</f>
        <v>0</v>
      </c>
      <c r="BJ1825" s="55">
        <f>G1825*H1825</f>
        <v>0</v>
      </c>
      <c r="BK1825" s="55"/>
      <c r="BL1825" s="55">
        <v>764</v>
      </c>
      <c r="BW1825" s="55">
        <v>21</v>
      </c>
    </row>
    <row r="1826" spans="1:12" ht="13.5" customHeight="1">
      <c r="A1826" s="59"/>
      <c r="D1826" s="218" t="s">
        <v>3430</v>
      </c>
      <c r="E1826" s="219"/>
      <c r="F1826" s="219"/>
      <c r="G1826" s="219"/>
      <c r="H1826" s="220"/>
      <c r="I1826" s="219"/>
      <c r="J1826" s="219"/>
      <c r="K1826" s="219"/>
      <c r="L1826" s="221"/>
    </row>
    <row r="1827" spans="1:12" ht="14.4">
      <c r="A1827" s="59"/>
      <c r="D1827" s="60" t="s">
        <v>3431</v>
      </c>
      <c r="E1827" s="60" t="s">
        <v>4</v>
      </c>
      <c r="G1827" s="68">
        <v>12.8</v>
      </c>
      <c r="L1827" s="69"/>
    </row>
    <row r="1828" spans="1:75" ht="13.5" customHeight="1">
      <c r="A1828" s="1" t="s">
        <v>3432</v>
      </c>
      <c r="B1828" s="2" t="s">
        <v>2629</v>
      </c>
      <c r="C1828" s="2" t="s">
        <v>3433</v>
      </c>
      <c r="D1828" s="147" t="s">
        <v>3434</v>
      </c>
      <c r="E1828" s="148"/>
      <c r="F1828" s="2" t="s">
        <v>729</v>
      </c>
      <c r="G1828" s="55">
        <v>6.88</v>
      </c>
      <c r="H1828" s="56">
        <v>0</v>
      </c>
      <c r="I1828" s="55">
        <f>G1828*H1828</f>
        <v>0</v>
      </c>
      <c r="J1828" s="55">
        <v>0.00224</v>
      </c>
      <c r="K1828" s="55">
        <f>G1828*J1828</f>
        <v>0.015411199999999998</v>
      </c>
      <c r="L1828" s="57" t="s">
        <v>785</v>
      </c>
      <c r="Z1828" s="55">
        <f>IF(AQ1828="5",BJ1828,0)</f>
        <v>0</v>
      </c>
      <c r="AB1828" s="55">
        <f>IF(AQ1828="1",BH1828,0)</f>
        <v>0</v>
      </c>
      <c r="AC1828" s="55">
        <f>IF(AQ1828="1",BI1828,0)</f>
        <v>0</v>
      </c>
      <c r="AD1828" s="55">
        <f>IF(AQ1828="7",BH1828,0)</f>
        <v>0</v>
      </c>
      <c r="AE1828" s="55">
        <f>IF(AQ1828="7",BI1828,0)</f>
        <v>0</v>
      </c>
      <c r="AF1828" s="55">
        <f>IF(AQ1828="2",BH1828,0)</f>
        <v>0</v>
      </c>
      <c r="AG1828" s="55">
        <f>IF(AQ1828="2",BI1828,0)</f>
        <v>0</v>
      </c>
      <c r="AH1828" s="55">
        <f>IF(AQ1828="0",BJ1828,0)</f>
        <v>0</v>
      </c>
      <c r="AI1828" s="34" t="s">
        <v>2629</v>
      </c>
      <c r="AJ1828" s="55">
        <f>IF(AN1828=0,I1828,0)</f>
        <v>0</v>
      </c>
      <c r="AK1828" s="55">
        <f>IF(AN1828=12,I1828,0)</f>
        <v>0</v>
      </c>
      <c r="AL1828" s="55">
        <f>IF(AN1828=21,I1828,0)</f>
        <v>0</v>
      </c>
      <c r="AN1828" s="55">
        <v>21</v>
      </c>
      <c r="AO1828" s="55">
        <f>H1828*0.395347269</f>
        <v>0</v>
      </c>
      <c r="AP1828" s="55">
        <f>H1828*(1-0.395347269)</f>
        <v>0</v>
      </c>
      <c r="AQ1828" s="58" t="s">
        <v>125</v>
      </c>
      <c r="AV1828" s="55">
        <f>AW1828+AX1828</f>
        <v>0</v>
      </c>
      <c r="AW1828" s="55">
        <f>G1828*AO1828</f>
        <v>0</v>
      </c>
      <c r="AX1828" s="55">
        <f>G1828*AP1828</f>
        <v>0</v>
      </c>
      <c r="AY1828" s="58" t="s">
        <v>1875</v>
      </c>
      <c r="AZ1828" s="58" t="s">
        <v>3185</v>
      </c>
      <c r="BA1828" s="34" t="s">
        <v>2634</v>
      </c>
      <c r="BC1828" s="55">
        <f>AW1828+AX1828</f>
        <v>0</v>
      </c>
      <c r="BD1828" s="55">
        <f>H1828/(100-BE1828)*100</f>
        <v>0</v>
      </c>
      <c r="BE1828" s="55">
        <v>0</v>
      </c>
      <c r="BF1828" s="55">
        <f>K1828</f>
        <v>0.015411199999999998</v>
      </c>
      <c r="BH1828" s="55">
        <f>G1828*AO1828</f>
        <v>0</v>
      </c>
      <c r="BI1828" s="55">
        <f>G1828*AP1828</f>
        <v>0</v>
      </c>
      <c r="BJ1828" s="55">
        <f>G1828*H1828</f>
        <v>0</v>
      </c>
      <c r="BK1828" s="55"/>
      <c r="BL1828" s="55">
        <v>764</v>
      </c>
      <c r="BW1828" s="55">
        <v>21</v>
      </c>
    </row>
    <row r="1829" spans="1:12" ht="13.5" customHeight="1">
      <c r="A1829" s="59"/>
      <c r="D1829" s="218" t="s">
        <v>3408</v>
      </c>
      <c r="E1829" s="219"/>
      <c r="F1829" s="219"/>
      <c r="G1829" s="219"/>
      <c r="H1829" s="220"/>
      <c r="I1829" s="219"/>
      <c r="J1829" s="219"/>
      <c r="K1829" s="219"/>
      <c r="L1829" s="221"/>
    </row>
    <row r="1830" spans="1:12" ht="14.4">
      <c r="A1830" s="59"/>
      <c r="D1830" s="60" t="s">
        <v>3435</v>
      </c>
      <c r="E1830" s="60" t="s">
        <v>4</v>
      </c>
      <c r="G1830" s="68">
        <v>6.88</v>
      </c>
      <c r="L1830" s="69"/>
    </row>
    <row r="1831" spans="1:75" ht="13.5" customHeight="1">
      <c r="A1831" s="1" t="s">
        <v>3436</v>
      </c>
      <c r="B1831" s="2" t="s">
        <v>2629</v>
      </c>
      <c r="C1831" s="2" t="s">
        <v>3437</v>
      </c>
      <c r="D1831" s="147" t="s">
        <v>3438</v>
      </c>
      <c r="E1831" s="148"/>
      <c r="F1831" s="2" t="s">
        <v>374</v>
      </c>
      <c r="G1831" s="55">
        <v>171</v>
      </c>
      <c r="H1831" s="56">
        <v>0</v>
      </c>
      <c r="I1831" s="55">
        <f>G1831*H1831</f>
        <v>0</v>
      </c>
      <c r="J1831" s="55">
        <v>5E-05</v>
      </c>
      <c r="K1831" s="55">
        <f>G1831*J1831</f>
        <v>0.00855</v>
      </c>
      <c r="L1831" s="57" t="s">
        <v>124</v>
      </c>
      <c r="Z1831" s="55">
        <f>IF(AQ1831="5",BJ1831,0)</f>
        <v>0</v>
      </c>
      <c r="AB1831" s="55">
        <f>IF(AQ1831="1",BH1831,0)</f>
        <v>0</v>
      </c>
      <c r="AC1831" s="55">
        <f>IF(AQ1831="1",BI1831,0)</f>
        <v>0</v>
      </c>
      <c r="AD1831" s="55">
        <f>IF(AQ1831="7",BH1831,0)</f>
        <v>0</v>
      </c>
      <c r="AE1831" s="55">
        <f>IF(AQ1831="7",BI1831,0)</f>
        <v>0</v>
      </c>
      <c r="AF1831" s="55">
        <f>IF(AQ1831="2",BH1831,0)</f>
        <v>0</v>
      </c>
      <c r="AG1831" s="55">
        <f>IF(AQ1831="2",BI1831,0)</f>
        <v>0</v>
      </c>
      <c r="AH1831" s="55">
        <f>IF(AQ1831="0",BJ1831,0)</f>
        <v>0</v>
      </c>
      <c r="AI1831" s="34" t="s">
        <v>2629</v>
      </c>
      <c r="AJ1831" s="55">
        <f>IF(AN1831=0,I1831,0)</f>
        <v>0</v>
      </c>
      <c r="AK1831" s="55">
        <f>IF(AN1831=12,I1831,0)</f>
        <v>0</v>
      </c>
      <c r="AL1831" s="55">
        <f>IF(AN1831=21,I1831,0)</f>
        <v>0</v>
      </c>
      <c r="AN1831" s="55">
        <v>21</v>
      </c>
      <c r="AO1831" s="55">
        <f>H1831*0.724374449</f>
        <v>0</v>
      </c>
      <c r="AP1831" s="55">
        <f>H1831*(1-0.724374449)</f>
        <v>0</v>
      </c>
      <c r="AQ1831" s="58" t="s">
        <v>125</v>
      </c>
      <c r="AV1831" s="55">
        <f>AW1831+AX1831</f>
        <v>0</v>
      </c>
      <c r="AW1831" s="55">
        <f>G1831*AO1831</f>
        <v>0</v>
      </c>
      <c r="AX1831" s="55">
        <f>G1831*AP1831</f>
        <v>0</v>
      </c>
      <c r="AY1831" s="58" t="s">
        <v>1875</v>
      </c>
      <c r="AZ1831" s="58" t="s">
        <v>3185</v>
      </c>
      <c r="BA1831" s="34" t="s">
        <v>2634</v>
      </c>
      <c r="BC1831" s="55">
        <f>AW1831+AX1831</f>
        <v>0</v>
      </c>
      <c r="BD1831" s="55">
        <f>H1831/(100-BE1831)*100</f>
        <v>0</v>
      </c>
      <c r="BE1831" s="55">
        <v>0</v>
      </c>
      <c r="BF1831" s="55">
        <f>K1831</f>
        <v>0.00855</v>
      </c>
      <c r="BH1831" s="55">
        <f>G1831*AO1831</f>
        <v>0</v>
      </c>
      <c r="BI1831" s="55">
        <f>G1831*AP1831</f>
        <v>0</v>
      </c>
      <c r="BJ1831" s="55">
        <f>G1831*H1831</f>
        <v>0</v>
      </c>
      <c r="BK1831" s="55"/>
      <c r="BL1831" s="55">
        <v>764</v>
      </c>
      <c r="BW1831" s="55">
        <v>21</v>
      </c>
    </row>
    <row r="1832" spans="1:12" ht="13.5" customHeight="1">
      <c r="A1832" s="59"/>
      <c r="D1832" s="218" t="s">
        <v>3439</v>
      </c>
      <c r="E1832" s="219"/>
      <c r="F1832" s="219"/>
      <c r="G1832" s="219"/>
      <c r="H1832" s="220"/>
      <c r="I1832" s="219"/>
      <c r="J1832" s="219"/>
      <c r="K1832" s="219"/>
      <c r="L1832" s="221"/>
    </row>
    <row r="1833" spans="1:12" ht="14.4">
      <c r="A1833" s="59"/>
      <c r="D1833" s="60" t="s">
        <v>663</v>
      </c>
      <c r="E1833" s="60" t="s">
        <v>4</v>
      </c>
      <c r="G1833" s="68">
        <v>171</v>
      </c>
      <c r="L1833" s="69"/>
    </row>
    <row r="1834" spans="1:75" ht="13.5" customHeight="1">
      <c r="A1834" s="1" t="s">
        <v>3440</v>
      </c>
      <c r="B1834" s="2" t="s">
        <v>2629</v>
      </c>
      <c r="C1834" s="2" t="s">
        <v>3441</v>
      </c>
      <c r="D1834" s="147" t="s">
        <v>3442</v>
      </c>
      <c r="E1834" s="148"/>
      <c r="F1834" s="2" t="s">
        <v>374</v>
      </c>
      <c r="G1834" s="55">
        <v>29</v>
      </c>
      <c r="H1834" s="56">
        <v>0</v>
      </c>
      <c r="I1834" s="55">
        <f>G1834*H1834</f>
        <v>0</v>
      </c>
      <c r="J1834" s="55">
        <v>5E-05</v>
      </c>
      <c r="K1834" s="55">
        <f>G1834*J1834</f>
        <v>0.0014500000000000001</v>
      </c>
      <c r="L1834" s="57" t="s">
        <v>124</v>
      </c>
      <c r="Z1834" s="55">
        <f>IF(AQ1834="5",BJ1834,0)</f>
        <v>0</v>
      </c>
      <c r="AB1834" s="55">
        <f>IF(AQ1834="1",BH1834,0)</f>
        <v>0</v>
      </c>
      <c r="AC1834" s="55">
        <f>IF(AQ1834="1",BI1834,0)</f>
        <v>0</v>
      </c>
      <c r="AD1834" s="55">
        <f>IF(AQ1834="7",BH1834,0)</f>
        <v>0</v>
      </c>
      <c r="AE1834" s="55">
        <f>IF(AQ1834="7",BI1834,0)</f>
        <v>0</v>
      </c>
      <c r="AF1834" s="55">
        <f>IF(AQ1834="2",BH1834,0)</f>
        <v>0</v>
      </c>
      <c r="AG1834" s="55">
        <f>IF(AQ1834="2",BI1834,0)</f>
        <v>0</v>
      </c>
      <c r="AH1834" s="55">
        <f>IF(AQ1834="0",BJ1834,0)</f>
        <v>0</v>
      </c>
      <c r="AI1834" s="34" t="s">
        <v>2629</v>
      </c>
      <c r="AJ1834" s="55">
        <f>IF(AN1834=0,I1834,0)</f>
        <v>0</v>
      </c>
      <c r="AK1834" s="55">
        <f>IF(AN1834=12,I1834,0)</f>
        <v>0</v>
      </c>
      <c r="AL1834" s="55">
        <f>IF(AN1834=21,I1834,0)</f>
        <v>0</v>
      </c>
      <c r="AN1834" s="55">
        <v>21</v>
      </c>
      <c r="AO1834" s="55">
        <f>H1834*0.676171844</f>
        <v>0</v>
      </c>
      <c r="AP1834" s="55">
        <f>H1834*(1-0.676171844)</f>
        <v>0</v>
      </c>
      <c r="AQ1834" s="58" t="s">
        <v>125</v>
      </c>
      <c r="AV1834" s="55">
        <f>AW1834+AX1834</f>
        <v>0</v>
      </c>
      <c r="AW1834" s="55">
        <f>G1834*AO1834</f>
        <v>0</v>
      </c>
      <c r="AX1834" s="55">
        <f>G1834*AP1834</f>
        <v>0</v>
      </c>
      <c r="AY1834" s="58" t="s">
        <v>1875</v>
      </c>
      <c r="AZ1834" s="58" t="s">
        <v>3185</v>
      </c>
      <c r="BA1834" s="34" t="s">
        <v>2634</v>
      </c>
      <c r="BC1834" s="55">
        <f>AW1834+AX1834</f>
        <v>0</v>
      </c>
      <c r="BD1834" s="55">
        <f>H1834/(100-BE1834)*100</f>
        <v>0</v>
      </c>
      <c r="BE1834" s="55">
        <v>0</v>
      </c>
      <c r="BF1834" s="55">
        <f>K1834</f>
        <v>0.0014500000000000001</v>
      </c>
      <c r="BH1834" s="55">
        <f>G1834*AO1834</f>
        <v>0</v>
      </c>
      <c r="BI1834" s="55">
        <f>G1834*AP1834</f>
        <v>0</v>
      </c>
      <c r="BJ1834" s="55">
        <f>G1834*H1834</f>
        <v>0</v>
      </c>
      <c r="BK1834" s="55"/>
      <c r="BL1834" s="55">
        <v>764</v>
      </c>
      <c r="BW1834" s="55">
        <v>21</v>
      </c>
    </row>
    <row r="1835" spans="1:12" ht="13.5" customHeight="1">
      <c r="A1835" s="59"/>
      <c r="D1835" s="218" t="s">
        <v>3439</v>
      </c>
      <c r="E1835" s="219"/>
      <c r="F1835" s="219"/>
      <c r="G1835" s="219"/>
      <c r="H1835" s="220"/>
      <c r="I1835" s="219"/>
      <c r="J1835" s="219"/>
      <c r="K1835" s="219"/>
      <c r="L1835" s="221"/>
    </row>
    <row r="1836" spans="1:12" ht="14.4">
      <c r="A1836" s="59"/>
      <c r="D1836" s="60" t="s">
        <v>211</v>
      </c>
      <c r="E1836" s="60" t="s">
        <v>4</v>
      </c>
      <c r="G1836" s="68">
        <v>29</v>
      </c>
      <c r="L1836" s="69"/>
    </row>
    <row r="1837" spans="1:75" ht="13.5" customHeight="1">
      <c r="A1837" s="1" t="s">
        <v>3443</v>
      </c>
      <c r="B1837" s="2" t="s">
        <v>2629</v>
      </c>
      <c r="C1837" s="2" t="s">
        <v>3444</v>
      </c>
      <c r="D1837" s="147" t="s">
        <v>3445</v>
      </c>
      <c r="E1837" s="148"/>
      <c r="F1837" s="2" t="s">
        <v>374</v>
      </c>
      <c r="G1837" s="55">
        <v>4</v>
      </c>
      <c r="H1837" s="56">
        <v>0</v>
      </c>
      <c r="I1837" s="55">
        <f>G1837*H1837</f>
        <v>0</v>
      </c>
      <c r="J1837" s="55">
        <v>5E-05</v>
      </c>
      <c r="K1837" s="55">
        <f>G1837*J1837</f>
        <v>0.0002</v>
      </c>
      <c r="L1837" s="57" t="s">
        <v>124</v>
      </c>
      <c r="Z1837" s="55">
        <f>IF(AQ1837="5",BJ1837,0)</f>
        <v>0</v>
      </c>
      <c r="AB1837" s="55">
        <f>IF(AQ1837="1",BH1837,0)</f>
        <v>0</v>
      </c>
      <c r="AC1837" s="55">
        <f>IF(AQ1837="1",BI1837,0)</f>
        <v>0</v>
      </c>
      <c r="AD1837" s="55">
        <f>IF(AQ1837="7",BH1837,0)</f>
        <v>0</v>
      </c>
      <c r="AE1837" s="55">
        <f>IF(AQ1837="7",BI1837,0)</f>
        <v>0</v>
      </c>
      <c r="AF1837" s="55">
        <f>IF(AQ1837="2",BH1837,0)</f>
        <v>0</v>
      </c>
      <c r="AG1837" s="55">
        <f>IF(AQ1837="2",BI1837,0)</f>
        <v>0</v>
      </c>
      <c r="AH1837" s="55">
        <f>IF(AQ1837="0",BJ1837,0)</f>
        <v>0</v>
      </c>
      <c r="AI1837" s="34" t="s">
        <v>2629</v>
      </c>
      <c r="AJ1837" s="55">
        <f>IF(AN1837=0,I1837,0)</f>
        <v>0</v>
      </c>
      <c r="AK1837" s="55">
        <f>IF(AN1837=12,I1837,0)</f>
        <v>0</v>
      </c>
      <c r="AL1837" s="55">
        <f>IF(AN1837=21,I1837,0)</f>
        <v>0</v>
      </c>
      <c r="AN1837" s="55">
        <v>21</v>
      </c>
      <c r="AO1837" s="55">
        <f>H1837*0.684763076</f>
        <v>0</v>
      </c>
      <c r="AP1837" s="55">
        <f>H1837*(1-0.684763076)</f>
        <v>0</v>
      </c>
      <c r="AQ1837" s="58" t="s">
        <v>125</v>
      </c>
      <c r="AV1837" s="55">
        <f>AW1837+AX1837</f>
        <v>0</v>
      </c>
      <c r="AW1837" s="55">
        <f>G1837*AO1837</f>
        <v>0</v>
      </c>
      <c r="AX1837" s="55">
        <f>G1837*AP1837</f>
        <v>0</v>
      </c>
      <c r="AY1837" s="58" t="s">
        <v>1875</v>
      </c>
      <c r="AZ1837" s="58" t="s">
        <v>3185</v>
      </c>
      <c r="BA1837" s="34" t="s">
        <v>2634</v>
      </c>
      <c r="BC1837" s="55">
        <f>AW1837+AX1837</f>
        <v>0</v>
      </c>
      <c r="BD1837" s="55">
        <f>H1837/(100-BE1837)*100</f>
        <v>0</v>
      </c>
      <c r="BE1837" s="55">
        <v>0</v>
      </c>
      <c r="BF1837" s="55">
        <f>K1837</f>
        <v>0.0002</v>
      </c>
      <c r="BH1837" s="55">
        <f>G1837*AO1837</f>
        <v>0</v>
      </c>
      <c r="BI1837" s="55">
        <f>G1837*AP1837</f>
        <v>0</v>
      </c>
      <c r="BJ1837" s="55">
        <f>G1837*H1837</f>
        <v>0</v>
      </c>
      <c r="BK1837" s="55"/>
      <c r="BL1837" s="55">
        <v>764</v>
      </c>
      <c r="BW1837" s="55">
        <v>21</v>
      </c>
    </row>
    <row r="1838" spans="1:12" ht="13.5" customHeight="1">
      <c r="A1838" s="59"/>
      <c r="D1838" s="218" t="s">
        <v>3439</v>
      </c>
      <c r="E1838" s="219"/>
      <c r="F1838" s="219"/>
      <c r="G1838" s="219"/>
      <c r="H1838" s="220"/>
      <c r="I1838" s="219"/>
      <c r="J1838" s="219"/>
      <c r="K1838" s="219"/>
      <c r="L1838" s="221"/>
    </row>
    <row r="1839" spans="1:12" ht="14.4">
      <c r="A1839" s="59"/>
      <c r="D1839" s="60" t="s">
        <v>136</v>
      </c>
      <c r="E1839" s="60" t="s">
        <v>4</v>
      </c>
      <c r="G1839" s="68">
        <v>4</v>
      </c>
      <c r="L1839" s="69"/>
    </row>
    <row r="1840" spans="1:75" ht="13.5" customHeight="1">
      <c r="A1840" s="1" t="s">
        <v>3446</v>
      </c>
      <c r="B1840" s="2" t="s">
        <v>2629</v>
      </c>
      <c r="C1840" s="2" t="s">
        <v>3447</v>
      </c>
      <c r="D1840" s="147" t="s">
        <v>3448</v>
      </c>
      <c r="E1840" s="148"/>
      <c r="F1840" s="2" t="s">
        <v>374</v>
      </c>
      <c r="G1840" s="55">
        <v>10</v>
      </c>
      <c r="H1840" s="56">
        <v>0</v>
      </c>
      <c r="I1840" s="55">
        <f>G1840*H1840</f>
        <v>0</v>
      </c>
      <c r="J1840" s="55">
        <v>5E-05</v>
      </c>
      <c r="K1840" s="55">
        <f>G1840*J1840</f>
        <v>0.0005</v>
      </c>
      <c r="L1840" s="57" t="s">
        <v>124</v>
      </c>
      <c r="Z1840" s="55">
        <f>IF(AQ1840="5",BJ1840,0)</f>
        <v>0</v>
      </c>
      <c r="AB1840" s="55">
        <f>IF(AQ1840="1",BH1840,0)</f>
        <v>0</v>
      </c>
      <c r="AC1840" s="55">
        <f>IF(AQ1840="1",BI1840,0)</f>
        <v>0</v>
      </c>
      <c r="AD1840" s="55">
        <f>IF(AQ1840="7",BH1840,0)</f>
        <v>0</v>
      </c>
      <c r="AE1840" s="55">
        <f>IF(AQ1840="7",BI1840,0)</f>
        <v>0</v>
      </c>
      <c r="AF1840" s="55">
        <f>IF(AQ1840="2",BH1840,0)</f>
        <v>0</v>
      </c>
      <c r="AG1840" s="55">
        <f>IF(AQ1840="2",BI1840,0)</f>
        <v>0</v>
      </c>
      <c r="AH1840" s="55">
        <f>IF(AQ1840="0",BJ1840,0)</f>
        <v>0</v>
      </c>
      <c r="AI1840" s="34" t="s">
        <v>2629</v>
      </c>
      <c r="AJ1840" s="55">
        <f>IF(AN1840=0,I1840,0)</f>
        <v>0</v>
      </c>
      <c r="AK1840" s="55">
        <f>IF(AN1840=12,I1840,0)</f>
        <v>0</v>
      </c>
      <c r="AL1840" s="55">
        <f>IF(AN1840=21,I1840,0)</f>
        <v>0</v>
      </c>
      <c r="AN1840" s="55">
        <v>21</v>
      </c>
      <c r="AO1840" s="55">
        <f>H1840*0.656130071</f>
        <v>0</v>
      </c>
      <c r="AP1840" s="55">
        <f>H1840*(1-0.656130071)</f>
        <v>0</v>
      </c>
      <c r="AQ1840" s="58" t="s">
        <v>125</v>
      </c>
      <c r="AV1840" s="55">
        <f>AW1840+AX1840</f>
        <v>0</v>
      </c>
      <c r="AW1840" s="55">
        <f>G1840*AO1840</f>
        <v>0</v>
      </c>
      <c r="AX1840" s="55">
        <f>G1840*AP1840</f>
        <v>0</v>
      </c>
      <c r="AY1840" s="58" t="s">
        <v>1875</v>
      </c>
      <c r="AZ1840" s="58" t="s">
        <v>3185</v>
      </c>
      <c r="BA1840" s="34" t="s">
        <v>2634</v>
      </c>
      <c r="BC1840" s="55">
        <f>AW1840+AX1840</f>
        <v>0</v>
      </c>
      <c r="BD1840" s="55">
        <f>H1840/(100-BE1840)*100</f>
        <v>0</v>
      </c>
      <c r="BE1840" s="55">
        <v>0</v>
      </c>
      <c r="BF1840" s="55">
        <f>K1840</f>
        <v>0.0005</v>
      </c>
      <c r="BH1840" s="55">
        <f>G1840*AO1840</f>
        <v>0</v>
      </c>
      <c r="BI1840" s="55">
        <f>G1840*AP1840</f>
        <v>0</v>
      </c>
      <c r="BJ1840" s="55">
        <f>G1840*H1840</f>
        <v>0</v>
      </c>
      <c r="BK1840" s="55"/>
      <c r="BL1840" s="55">
        <v>764</v>
      </c>
      <c r="BW1840" s="55">
        <v>21</v>
      </c>
    </row>
    <row r="1841" spans="1:12" ht="13.5" customHeight="1">
      <c r="A1841" s="59"/>
      <c r="D1841" s="218" t="s">
        <v>3439</v>
      </c>
      <c r="E1841" s="219"/>
      <c r="F1841" s="219"/>
      <c r="G1841" s="219"/>
      <c r="H1841" s="220"/>
      <c r="I1841" s="219"/>
      <c r="J1841" s="219"/>
      <c r="K1841" s="219"/>
      <c r="L1841" s="221"/>
    </row>
    <row r="1842" spans="1:12" ht="14.4">
      <c r="A1842" s="59"/>
      <c r="D1842" s="60" t="s">
        <v>153</v>
      </c>
      <c r="E1842" s="60" t="s">
        <v>4</v>
      </c>
      <c r="G1842" s="68">
        <v>10</v>
      </c>
      <c r="L1842" s="69"/>
    </row>
    <row r="1843" spans="1:75" ht="13.5" customHeight="1">
      <c r="A1843" s="1" t="s">
        <v>3449</v>
      </c>
      <c r="B1843" s="2" t="s">
        <v>2629</v>
      </c>
      <c r="C1843" s="2" t="s">
        <v>3450</v>
      </c>
      <c r="D1843" s="147" t="s">
        <v>3451</v>
      </c>
      <c r="E1843" s="148"/>
      <c r="F1843" s="2" t="s">
        <v>374</v>
      </c>
      <c r="G1843" s="55">
        <v>8</v>
      </c>
      <c r="H1843" s="56">
        <v>0</v>
      </c>
      <c r="I1843" s="55">
        <f>G1843*H1843</f>
        <v>0</v>
      </c>
      <c r="J1843" s="55">
        <v>0.00041</v>
      </c>
      <c r="K1843" s="55">
        <f>G1843*J1843</f>
        <v>0.00328</v>
      </c>
      <c r="L1843" s="57" t="s">
        <v>785</v>
      </c>
      <c r="Z1843" s="55">
        <f>IF(AQ1843="5",BJ1843,0)</f>
        <v>0</v>
      </c>
      <c r="AB1843" s="55">
        <f>IF(AQ1843="1",BH1843,0)</f>
        <v>0</v>
      </c>
      <c r="AC1843" s="55">
        <f>IF(AQ1843="1",BI1843,0)</f>
        <v>0</v>
      </c>
      <c r="AD1843" s="55">
        <f>IF(AQ1843="7",BH1843,0)</f>
        <v>0</v>
      </c>
      <c r="AE1843" s="55">
        <f>IF(AQ1843="7",BI1843,0)</f>
        <v>0</v>
      </c>
      <c r="AF1843" s="55">
        <f>IF(AQ1843="2",BH1843,0)</f>
        <v>0</v>
      </c>
      <c r="AG1843" s="55">
        <f>IF(AQ1843="2",BI1843,0)</f>
        <v>0</v>
      </c>
      <c r="AH1843" s="55">
        <f>IF(AQ1843="0",BJ1843,0)</f>
        <v>0</v>
      </c>
      <c r="AI1843" s="34" t="s">
        <v>2629</v>
      </c>
      <c r="AJ1843" s="55">
        <f>IF(AN1843=0,I1843,0)</f>
        <v>0</v>
      </c>
      <c r="AK1843" s="55">
        <f>IF(AN1843=12,I1843,0)</f>
        <v>0</v>
      </c>
      <c r="AL1843" s="55">
        <f>IF(AN1843=21,I1843,0)</f>
        <v>0</v>
      </c>
      <c r="AN1843" s="55">
        <v>21</v>
      </c>
      <c r="AO1843" s="55">
        <f>H1843*0.807356955</f>
        <v>0</v>
      </c>
      <c r="AP1843" s="55">
        <f>H1843*(1-0.807356955)</f>
        <v>0</v>
      </c>
      <c r="AQ1843" s="58" t="s">
        <v>125</v>
      </c>
      <c r="AV1843" s="55">
        <f>AW1843+AX1843</f>
        <v>0</v>
      </c>
      <c r="AW1843" s="55">
        <f>G1843*AO1843</f>
        <v>0</v>
      </c>
      <c r="AX1843" s="55">
        <f>G1843*AP1843</f>
        <v>0</v>
      </c>
      <c r="AY1843" s="58" t="s">
        <v>1875</v>
      </c>
      <c r="AZ1843" s="58" t="s">
        <v>3185</v>
      </c>
      <c r="BA1843" s="34" t="s">
        <v>2634</v>
      </c>
      <c r="BC1843" s="55">
        <f>AW1843+AX1843</f>
        <v>0</v>
      </c>
      <c r="BD1843" s="55">
        <f>H1843/(100-BE1843)*100</f>
        <v>0</v>
      </c>
      <c r="BE1843" s="55">
        <v>0</v>
      </c>
      <c r="BF1843" s="55">
        <f>K1843</f>
        <v>0.00328</v>
      </c>
      <c r="BH1843" s="55">
        <f>G1843*AO1843</f>
        <v>0</v>
      </c>
      <c r="BI1843" s="55">
        <f>G1843*AP1843</f>
        <v>0</v>
      </c>
      <c r="BJ1843" s="55">
        <f>G1843*H1843</f>
        <v>0</v>
      </c>
      <c r="BK1843" s="55"/>
      <c r="BL1843" s="55">
        <v>764</v>
      </c>
      <c r="BW1843" s="55">
        <v>21</v>
      </c>
    </row>
    <row r="1844" spans="1:12" ht="13.5" customHeight="1">
      <c r="A1844" s="59"/>
      <c r="D1844" s="218" t="s">
        <v>3452</v>
      </c>
      <c r="E1844" s="219"/>
      <c r="F1844" s="219"/>
      <c r="G1844" s="219"/>
      <c r="H1844" s="220"/>
      <c r="I1844" s="219"/>
      <c r="J1844" s="219"/>
      <c r="K1844" s="219"/>
      <c r="L1844" s="221"/>
    </row>
    <row r="1845" spans="1:12" ht="14.4">
      <c r="A1845" s="59"/>
      <c r="D1845" s="60" t="s">
        <v>147</v>
      </c>
      <c r="E1845" s="60" t="s">
        <v>4</v>
      </c>
      <c r="G1845" s="68">
        <v>8</v>
      </c>
      <c r="L1845" s="69"/>
    </row>
    <row r="1846" spans="1:75" ht="27" customHeight="1">
      <c r="A1846" s="1" t="s">
        <v>3453</v>
      </c>
      <c r="B1846" s="2" t="s">
        <v>2629</v>
      </c>
      <c r="C1846" s="2" t="s">
        <v>3454</v>
      </c>
      <c r="D1846" s="147" t="s">
        <v>3455</v>
      </c>
      <c r="E1846" s="148"/>
      <c r="F1846" s="2" t="s">
        <v>174</v>
      </c>
      <c r="G1846" s="55">
        <v>149.1</v>
      </c>
      <c r="H1846" s="56">
        <v>0</v>
      </c>
      <c r="I1846" s="55">
        <f>G1846*H1846</f>
        <v>0</v>
      </c>
      <c r="J1846" s="55">
        <v>0.00169</v>
      </c>
      <c r="K1846" s="55">
        <f>G1846*J1846</f>
        <v>0.251979</v>
      </c>
      <c r="L1846" s="57" t="s">
        <v>785</v>
      </c>
      <c r="Z1846" s="55">
        <f>IF(AQ1846="5",BJ1846,0)</f>
        <v>0</v>
      </c>
      <c r="AB1846" s="55">
        <f>IF(AQ1846="1",BH1846,0)</f>
        <v>0</v>
      </c>
      <c r="AC1846" s="55">
        <f>IF(AQ1846="1",BI1846,0)</f>
        <v>0</v>
      </c>
      <c r="AD1846" s="55">
        <f>IF(AQ1846="7",BH1846,0)</f>
        <v>0</v>
      </c>
      <c r="AE1846" s="55">
        <f>IF(AQ1846="7",BI1846,0)</f>
        <v>0</v>
      </c>
      <c r="AF1846" s="55">
        <f>IF(AQ1846="2",BH1846,0)</f>
        <v>0</v>
      </c>
      <c r="AG1846" s="55">
        <f>IF(AQ1846="2",BI1846,0)</f>
        <v>0</v>
      </c>
      <c r="AH1846" s="55">
        <f>IF(AQ1846="0",BJ1846,0)</f>
        <v>0</v>
      </c>
      <c r="AI1846" s="34" t="s">
        <v>2629</v>
      </c>
      <c r="AJ1846" s="55">
        <f>IF(AN1846=0,I1846,0)</f>
        <v>0</v>
      </c>
      <c r="AK1846" s="55">
        <f>IF(AN1846=12,I1846,0)</f>
        <v>0</v>
      </c>
      <c r="AL1846" s="55">
        <f>IF(AN1846=21,I1846,0)</f>
        <v>0</v>
      </c>
      <c r="AN1846" s="55">
        <v>21</v>
      </c>
      <c r="AO1846" s="55">
        <f>H1846*0.696043592</f>
        <v>0</v>
      </c>
      <c r="AP1846" s="55">
        <f>H1846*(1-0.696043592)</f>
        <v>0</v>
      </c>
      <c r="AQ1846" s="58" t="s">
        <v>125</v>
      </c>
      <c r="AV1846" s="55">
        <f>AW1846+AX1846</f>
        <v>0</v>
      </c>
      <c r="AW1846" s="55">
        <f>G1846*AO1846</f>
        <v>0</v>
      </c>
      <c r="AX1846" s="55">
        <f>G1846*AP1846</f>
        <v>0</v>
      </c>
      <c r="AY1846" s="58" t="s">
        <v>1875</v>
      </c>
      <c r="AZ1846" s="58" t="s">
        <v>3185</v>
      </c>
      <c r="BA1846" s="34" t="s">
        <v>2634</v>
      </c>
      <c r="BC1846" s="55">
        <f>AW1846+AX1846</f>
        <v>0</v>
      </c>
      <c r="BD1846" s="55">
        <f>H1846/(100-BE1846)*100</f>
        <v>0</v>
      </c>
      <c r="BE1846" s="55">
        <v>0</v>
      </c>
      <c r="BF1846" s="55">
        <f>K1846</f>
        <v>0.251979</v>
      </c>
      <c r="BH1846" s="55">
        <f>G1846*AO1846</f>
        <v>0</v>
      </c>
      <c r="BI1846" s="55">
        <f>G1846*AP1846</f>
        <v>0</v>
      </c>
      <c r="BJ1846" s="55">
        <f>G1846*H1846</f>
        <v>0</v>
      </c>
      <c r="BK1846" s="55"/>
      <c r="BL1846" s="55">
        <v>764</v>
      </c>
      <c r="BW1846" s="55">
        <v>21</v>
      </c>
    </row>
    <row r="1847" spans="1:12" ht="13.5" customHeight="1">
      <c r="A1847" s="59"/>
      <c r="D1847" s="218" t="s">
        <v>3456</v>
      </c>
      <c r="E1847" s="219"/>
      <c r="F1847" s="219"/>
      <c r="G1847" s="219"/>
      <c r="H1847" s="220"/>
      <c r="I1847" s="219"/>
      <c r="J1847" s="219"/>
      <c r="K1847" s="219"/>
      <c r="L1847" s="221"/>
    </row>
    <row r="1848" spans="1:12" ht="14.4">
      <c r="A1848" s="59"/>
      <c r="D1848" s="60" t="s">
        <v>3457</v>
      </c>
      <c r="E1848" s="60" t="s">
        <v>4</v>
      </c>
      <c r="G1848" s="68">
        <v>149.1</v>
      </c>
      <c r="L1848" s="69"/>
    </row>
    <row r="1849" spans="1:75" ht="27" customHeight="1">
      <c r="A1849" s="1" t="s">
        <v>3458</v>
      </c>
      <c r="B1849" s="2" t="s">
        <v>2629</v>
      </c>
      <c r="C1849" s="2" t="s">
        <v>3459</v>
      </c>
      <c r="D1849" s="147" t="s">
        <v>3460</v>
      </c>
      <c r="E1849" s="148"/>
      <c r="F1849" s="2" t="s">
        <v>174</v>
      </c>
      <c r="G1849" s="55">
        <v>121.7</v>
      </c>
      <c r="H1849" s="56">
        <v>0</v>
      </c>
      <c r="I1849" s="55">
        <f>G1849*H1849</f>
        <v>0</v>
      </c>
      <c r="J1849" s="55">
        <v>0.00297</v>
      </c>
      <c r="K1849" s="55">
        <f>G1849*J1849</f>
        <v>0.361449</v>
      </c>
      <c r="L1849" s="57" t="s">
        <v>785</v>
      </c>
      <c r="Z1849" s="55">
        <f>IF(AQ1849="5",BJ1849,0)</f>
        <v>0</v>
      </c>
      <c r="AB1849" s="55">
        <f>IF(AQ1849="1",BH1849,0)</f>
        <v>0</v>
      </c>
      <c r="AC1849" s="55">
        <f>IF(AQ1849="1",BI1849,0)</f>
        <v>0</v>
      </c>
      <c r="AD1849" s="55">
        <f>IF(AQ1849="7",BH1849,0)</f>
        <v>0</v>
      </c>
      <c r="AE1849" s="55">
        <f>IF(AQ1849="7",BI1849,0)</f>
        <v>0</v>
      </c>
      <c r="AF1849" s="55">
        <f>IF(AQ1849="2",BH1849,0)</f>
        <v>0</v>
      </c>
      <c r="AG1849" s="55">
        <f>IF(AQ1849="2",BI1849,0)</f>
        <v>0</v>
      </c>
      <c r="AH1849" s="55">
        <f>IF(AQ1849="0",BJ1849,0)</f>
        <v>0</v>
      </c>
      <c r="AI1849" s="34" t="s">
        <v>2629</v>
      </c>
      <c r="AJ1849" s="55">
        <f>IF(AN1849=0,I1849,0)</f>
        <v>0</v>
      </c>
      <c r="AK1849" s="55">
        <f>IF(AN1849=12,I1849,0)</f>
        <v>0</v>
      </c>
      <c r="AL1849" s="55">
        <f>IF(AN1849=21,I1849,0)</f>
        <v>0</v>
      </c>
      <c r="AN1849" s="55">
        <v>21</v>
      </c>
      <c r="AO1849" s="55">
        <f>H1849*0.767448957</f>
        <v>0</v>
      </c>
      <c r="AP1849" s="55">
        <f>H1849*(1-0.767448957)</f>
        <v>0</v>
      </c>
      <c r="AQ1849" s="58" t="s">
        <v>125</v>
      </c>
      <c r="AV1849" s="55">
        <f>AW1849+AX1849</f>
        <v>0</v>
      </c>
      <c r="AW1849" s="55">
        <f>G1849*AO1849</f>
        <v>0</v>
      </c>
      <c r="AX1849" s="55">
        <f>G1849*AP1849</f>
        <v>0</v>
      </c>
      <c r="AY1849" s="58" t="s">
        <v>1875</v>
      </c>
      <c r="AZ1849" s="58" t="s">
        <v>3185</v>
      </c>
      <c r="BA1849" s="34" t="s">
        <v>2634</v>
      </c>
      <c r="BC1849" s="55">
        <f>AW1849+AX1849</f>
        <v>0</v>
      </c>
      <c r="BD1849" s="55">
        <f>H1849/(100-BE1849)*100</f>
        <v>0</v>
      </c>
      <c r="BE1849" s="55">
        <v>0</v>
      </c>
      <c r="BF1849" s="55">
        <f>K1849</f>
        <v>0.361449</v>
      </c>
      <c r="BH1849" s="55">
        <f>G1849*AO1849</f>
        <v>0</v>
      </c>
      <c r="BI1849" s="55">
        <f>G1849*AP1849</f>
        <v>0</v>
      </c>
      <c r="BJ1849" s="55">
        <f>G1849*H1849</f>
        <v>0</v>
      </c>
      <c r="BK1849" s="55"/>
      <c r="BL1849" s="55">
        <v>764</v>
      </c>
      <c r="BW1849" s="55">
        <v>21</v>
      </c>
    </row>
    <row r="1850" spans="1:12" ht="13.5" customHeight="1">
      <c r="A1850" s="59"/>
      <c r="D1850" s="218" t="s">
        <v>3461</v>
      </c>
      <c r="E1850" s="219"/>
      <c r="F1850" s="219"/>
      <c r="G1850" s="219"/>
      <c r="H1850" s="220"/>
      <c r="I1850" s="219"/>
      <c r="J1850" s="219"/>
      <c r="K1850" s="219"/>
      <c r="L1850" s="221"/>
    </row>
    <row r="1851" spans="1:12" ht="14.4">
      <c r="A1851" s="59"/>
      <c r="D1851" s="60" t="s">
        <v>3462</v>
      </c>
      <c r="E1851" s="60" t="s">
        <v>3463</v>
      </c>
      <c r="G1851" s="68">
        <v>104.5</v>
      </c>
      <c r="L1851" s="69"/>
    </row>
    <row r="1852" spans="1:12" ht="14.4">
      <c r="A1852" s="59"/>
      <c r="D1852" s="60" t="s">
        <v>3464</v>
      </c>
      <c r="E1852" s="60" t="s">
        <v>3465</v>
      </c>
      <c r="G1852" s="68">
        <v>16.2</v>
      </c>
      <c r="L1852" s="69"/>
    </row>
    <row r="1853" spans="1:12" ht="14.4">
      <c r="A1853" s="59"/>
      <c r="D1853" s="60" t="s">
        <v>120</v>
      </c>
      <c r="E1853" s="60" t="s">
        <v>3466</v>
      </c>
      <c r="G1853" s="68">
        <v>1</v>
      </c>
      <c r="L1853" s="69"/>
    </row>
    <row r="1854" spans="1:75" ht="13.5" customHeight="1">
      <c r="A1854" s="1" t="s">
        <v>3467</v>
      </c>
      <c r="B1854" s="2" t="s">
        <v>2629</v>
      </c>
      <c r="C1854" s="2" t="s">
        <v>3468</v>
      </c>
      <c r="D1854" s="147" t="s">
        <v>3469</v>
      </c>
      <c r="E1854" s="148"/>
      <c r="F1854" s="2" t="s">
        <v>374</v>
      </c>
      <c r="G1854" s="55">
        <v>2</v>
      </c>
      <c r="H1854" s="56">
        <v>0</v>
      </c>
      <c r="I1854" s="55">
        <f>G1854*H1854</f>
        <v>0</v>
      </c>
      <c r="J1854" s="55">
        <v>0.00036</v>
      </c>
      <c r="K1854" s="55">
        <f>G1854*J1854</f>
        <v>0.00072</v>
      </c>
      <c r="L1854" s="57" t="s">
        <v>785</v>
      </c>
      <c r="Z1854" s="55">
        <f>IF(AQ1854="5",BJ1854,0)</f>
        <v>0</v>
      </c>
      <c r="AB1854" s="55">
        <f>IF(AQ1854="1",BH1854,0)</f>
        <v>0</v>
      </c>
      <c r="AC1854" s="55">
        <f>IF(AQ1854="1",BI1854,0)</f>
        <v>0</v>
      </c>
      <c r="AD1854" s="55">
        <f>IF(AQ1854="7",BH1854,0)</f>
        <v>0</v>
      </c>
      <c r="AE1854" s="55">
        <f>IF(AQ1854="7",BI1854,0)</f>
        <v>0</v>
      </c>
      <c r="AF1854" s="55">
        <f>IF(AQ1854="2",BH1854,0)</f>
        <v>0</v>
      </c>
      <c r="AG1854" s="55">
        <f>IF(AQ1854="2",BI1854,0)</f>
        <v>0</v>
      </c>
      <c r="AH1854" s="55">
        <f>IF(AQ1854="0",BJ1854,0)</f>
        <v>0</v>
      </c>
      <c r="AI1854" s="34" t="s">
        <v>2629</v>
      </c>
      <c r="AJ1854" s="55">
        <f>IF(AN1854=0,I1854,0)</f>
        <v>0</v>
      </c>
      <c r="AK1854" s="55">
        <f>IF(AN1854=12,I1854,0)</f>
        <v>0</v>
      </c>
      <c r="AL1854" s="55">
        <f>IF(AN1854=21,I1854,0)</f>
        <v>0</v>
      </c>
      <c r="AN1854" s="55">
        <v>21</v>
      </c>
      <c r="AO1854" s="55">
        <f>H1854*0.680046948</f>
        <v>0</v>
      </c>
      <c r="AP1854" s="55">
        <f>H1854*(1-0.680046948)</f>
        <v>0</v>
      </c>
      <c r="AQ1854" s="58" t="s">
        <v>125</v>
      </c>
      <c r="AV1854" s="55">
        <f>AW1854+AX1854</f>
        <v>0</v>
      </c>
      <c r="AW1854" s="55">
        <f>G1854*AO1854</f>
        <v>0</v>
      </c>
      <c r="AX1854" s="55">
        <f>G1854*AP1854</f>
        <v>0</v>
      </c>
      <c r="AY1854" s="58" t="s">
        <v>1875</v>
      </c>
      <c r="AZ1854" s="58" t="s">
        <v>3185</v>
      </c>
      <c r="BA1854" s="34" t="s">
        <v>2634</v>
      </c>
      <c r="BC1854" s="55">
        <f>AW1854+AX1854</f>
        <v>0</v>
      </c>
      <c r="BD1854" s="55">
        <f>H1854/(100-BE1854)*100</f>
        <v>0</v>
      </c>
      <c r="BE1854" s="55">
        <v>0</v>
      </c>
      <c r="BF1854" s="55">
        <f>K1854</f>
        <v>0.00072</v>
      </c>
      <c r="BH1854" s="55">
        <f>G1854*AO1854</f>
        <v>0</v>
      </c>
      <c r="BI1854" s="55">
        <f>G1854*AP1854</f>
        <v>0</v>
      </c>
      <c r="BJ1854" s="55">
        <f>G1854*H1854</f>
        <v>0</v>
      </c>
      <c r="BK1854" s="55"/>
      <c r="BL1854" s="55">
        <v>764</v>
      </c>
      <c r="BW1854" s="55">
        <v>21</v>
      </c>
    </row>
    <row r="1855" spans="1:12" ht="13.5" customHeight="1">
      <c r="A1855" s="59"/>
      <c r="D1855" s="218" t="s">
        <v>3470</v>
      </c>
      <c r="E1855" s="219"/>
      <c r="F1855" s="219"/>
      <c r="G1855" s="219"/>
      <c r="H1855" s="220"/>
      <c r="I1855" s="219"/>
      <c r="J1855" s="219"/>
      <c r="K1855" s="219"/>
      <c r="L1855" s="221"/>
    </row>
    <row r="1856" spans="1:12" ht="14.4">
      <c r="A1856" s="59"/>
      <c r="D1856" s="60" t="s">
        <v>130</v>
      </c>
      <c r="E1856" s="60" t="s">
        <v>4</v>
      </c>
      <c r="G1856" s="68">
        <v>2</v>
      </c>
      <c r="L1856" s="69"/>
    </row>
    <row r="1857" spans="1:75" ht="27" customHeight="1">
      <c r="A1857" s="1" t="s">
        <v>3471</v>
      </c>
      <c r="B1857" s="2" t="s">
        <v>2629</v>
      </c>
      <c r="C1857" s="2" t="s">
        <v>3472</v>
      </c>
      <c r="D1857" s="147" t="s">
        <v>3473</v>
      </c>
      <c r="E1857" s="148"/>
      <c r="F1857" s="2" t="s">
        <v>174</v>
      </c>
      <c r="G1857" s="55">
        <v>31.3</v>
      </c>
      <c r="H1857" s="56">
        <v>0</v>
      </c>
      <c r="I1857" s="55">
        <f>G1857*H1857</f>
        <v>0</v>
      </c>
      <c r="J1857" s="55">
        <v>0.00121</v>
      </c>
      <c r="K1857" s="55">
        <f>G1857*J1857</f>
        <v>0.037873</v>
      </c>
      <c r="L1857" s="57" t="s">
        <v>785</v>
      </c>
      <c r="Z1857" s="55">
        <f>IF(AQ1857="5",BJ1857,0)</f>
        <v>0</v>
      </c>
      <c r="AB1857" s="55">
        <f>IF(AQ1857="1",BH1857,0)</f>
        <v>0</v>
      </c>
      <c r="AC1857" s="55">
        <f>IF(AQ1857="1",BI1857,0)</f>
        <v>0</v>
      </c>
      <c r="AD1857" s="55">
        <f>IF(AQ1857="7",BH1857,0)</f>
        <v>0</v>
      </c>
      <c r="AE1857" s="55">
        <f>IF(AQ1857="7",BI1857,0)</f>
        <v>0</v>
      </c>
      <c r="AF1857" s="55">
        <f>IF(AQ1857="2",BH1857,0)</f>
        <v>0</v>
      </c>
      <c r="AG1857" s="55">
        <f>IF(AQ1857="2",BI1857,0)</f>
        <v>0</v>
      </c>
      <c r="AH1857" s="55">
        <f>IF(AQ1857="0",BJ1857,0)</f>
        <v>0</v>
      </c>
      <c r="AI1857" s="34" t="s">
        <v>2629</v>
      </c>
      <c r="AJ1857" s="55">
        <f>IF(AN1857=0,I1857,0)</f>
        <v>0</v>
      </c>
      <c r="AK1857" s="55">
        <f>IF(AN1857=12,I1857,0)</f>
        <v>0</v>
      </c>
      <c r="AL1857" s="55">
        <f>IF(AN1857=21,I1857,0)</f>
        <v>0</v>
      </c>
      <c r="AN1857" s="55">
        <v>21</v>
      </c>
      <c r="AO1857" s="55">
        <f>H1857*0.638270422</f>
        <v>0</v>
      </c>
      <c r="AP1857" s="55">
        <f>H1857*(1-0.638270422)</f>
        <v>0</v>
      </c>
      <c r="AQ1857" s="58" t="s">
        <v>125</v>
      </c>
      <c r="AV1857" s="55">
        <f>AW1857+AX1857</f>
        <v>0</v>
      </c>
      <c r="AW1857" s="55">
        <f>G1857*AO1857</f>
        <v>0</v>
      </c>
      <c r="AX1857" s="55">
        <f>G1857*AP1857</f>
        <v>0</v>
      </c>
      <c r="AY1857" s="58" t="s">
        <v>1875</v>
      </c>
      <c r="AZ1857" s="58" t="s">
        <v>3185</v>
      </c>
      <c r="BA1857" s="34" t="s">
        <v>2634</v>
      </c>
      <c r="BC1857" s="55">
        <f>AW1857+AX1857</f>
        <v>0</v>
      </c>
      <c r="BD1857" s="55">
        <f>H1857/(100-BE1857)*100</f>
        <v>0</v>
      </c>
      <c r="BE1857" s="55">
        <v>0</v>
      </c>
      <c r="BF1857" s="55">
        <f>K1857</f>
        <v>0.037873</v>
      </c>
      <c r="BH1857" s="55">
        <f>G1857*AO1857</f>
        <v>0</v>
      </c>
      <c r="BI1857" s="55">
        <f>G1857*AP1857</f>
        <v>0</v>
      </c>
      <c r="BJ1857" s="55">
        <f>G1857*H1857</f>
        <v>0</v>
      </c>
      <c r="BK1857" s="55"/>
      <c r="BL1857" s="55">
        <v>764</v>
      </c>
      <c r="BW1857" s="55">
        <v>21</v>
      </c>
    </row>
    <row r="1858" spans="1:12" ht="13.5" customHeight="1">
      <c r="A1858" s="59"/>
      <c r="D1858" s="218" t="s">
        <v>3474</v>
      </c>
      <c r="E1858" s="219"/>
      <c r="F1858" s="219"/>
      <c r="G1858" s="219"/>
      <c r="H1858" s="220"/>
      <c r="I1858" s="219"/>
      <c r="J1858" s="219"/>
      <c r="K1858" s="219"/>
      <c r="L1858" s="221"/>
    </row>
    <row r="1859" spans="1:12" ht="14.4">
      <c r="A1859" s="59"/>
      <c r="D1859" s="60" t="s">
        <v>3475</v>
      </c>
      <c r="E1859" s="60" t="s">
        <v>4</v>
      </c>
      <c r="G1859" s="68">
        <v>31.3</v>
      </c>
      <c r="L1859" s="69"/>
    </row>
    <row r="1860" spans="1:75" ht="27" customHeight="1">
      <c r="A1860" s="1" t="s">
        <v>3476</v>
      </c>
      <c r="B1860" s="2" t="s">
        <v>2629</v>
      </c>
      <c r="C1860" s="2" t="s">
        <v>3477</v>
      </c>
      <c r="D1860" s="147" t="s">
        <v>3478</v>
      </c>
      <c r="E1860" s="148"/>
      <c r="F1860" s="2" t="s">
        <v>174</v>
      </c>
      <c r="G1860" s="55">
        <v>7.9</v>
      </c>
      <c r="H1860" s="56">
        <v>0</v>
      </c>
      <c r="I1860" s="55">
        <f>G1860*H1860</f>
        <v>0</v>
      </c>
      <c r="J1860" s="55">
        <v>0.00267</v>
      </c>
      <c r="K1860" s="55">
        <f>G1860*J1860</f>
        <v>0.021093</v>
      </c>
      <c r="L1860" s="57" t="s">
        <v>785</v>
      </c>
      <c r="Z1860" s="55">
        <f>IF(AQ1860="5",BJ1860,0)</f>
        <v>0</v>
      </c>
      <c r="AB1860" s="55">
        <f>IF(AQ1860="1",BH1860,0)</f>
        <v>0</v>
      </c>
      <c r="AC1860" s="55">
        <f>IF(AQ1860="1",BI1860,0)</f>
        <v>0</v>
      </c>
      <c r="AD1860" s="55">
        <f>IF(AQ1860="7",BH1860,0)</f>
        <v>0</v>
      </c>
      <c r="AE1860" s="55">
        <f>IF(AQ1860="7",BI1860,0)</f>
        <v>0</v>
      </c>
      <c r="AF1860" s="55">
        <f>IF(AQ1860="2",BH1860,0)</f>
        <v>0</v>
      </c>
      <c r="AG1860" s="55">
        <f>IF(AQ1860="2",BI1860,0)</f>
        <v>0</v>
      </c>
      <c r="AH1860" s="55">
        <f>IF(AQ1860="0",BJ1860,0)</f>
        <v>0</v>
      </c>
      <c r="AI1860" s="34" t="s">
        <v>2629</v>
      </c>
      <c r="AJ1860" s="55">
        <f>IF(AN1860=0,I1860,0)</f>
        <v>0</v>
      </c>
      <c r="AK1860" s="55">
        <f>IF(AN1860=12,I1860,0)</f>
        <v>0</v>
      </c>
      <c r="AL1860" s="55">
        <f>IF(AN1860=21,I1860,0)</f>
        <v>0</v>
      </c>
      <c r="AN1860" s="55">
        <v>21</v>
      </c>
      <c r="AO1860" s="55">
        <f>H1860*0.871153358</f>
        <v>0</v>
      </c>
      <c r="AP1860" s="55">
        <f>H1860*(1-0.871153358)</f>
        <v>0</v>
      </c>
      <c r="AQ1860" s="58" t="s">
        <v>125</v>
      </c>
      <c r="AV1860" s="55">
        <f>AW1860+AX1860</f>
        <v>0</v>
      </c>
      <c r="AW1860" s="55">
        <f>G1860*AO1860</f>
        <v>0</v>
      </c>
      <c r="AX1860" s="55">
        <f>G1860*AP1860</f>
        <v>0</v>
      </c>
      <c r="AY1860" s="58" t="s">
        <v>1875</v>
      </c>
      <c r="AZ1860" s="58" t="s">
        <v>3185</v>
      </c>
      <c r="BA1860" s="34" t="s">
        <v>2634</v>
      </c>
      <c r="BC1860" s="55">
        <f>AW1860+AX1860</f>
        <v>0</v>
      </c>
      <c r="BD1860" s="55">
        <f>H1860/(100-BE1860)*100</f>
        <v>0</v>
      </c>
      <c r="BE1860" s="55">
        <v>0</v>
      </c>
      <c r="BF1860" s="55">
        <f>K1860</f>
        <v>0.021093</v>
      </c>
      <c r="BH1860" s="55">
        <f>G1860*AO1860</f>
        <v>0</v>
      </c>
      <c r="BI1860" s="55">
        <f>G1860*AP1860</f>
        <v>0</v>
      </c>
      <c r="BJ1860" s="55">
        <f>G1860*H1860</f>
        <v>0</v>
      </c>
      <c r="BK1860" s="55"/>
      <c r="BL1860" s="55">
        <v>764</v>
      </c>
      <c r="BW1860" s="55">
        <v>21</v>
      </c>
    </row>
    <row r="1861" spans="1:12" ht="13.5" customHeight="1">
      <c r="A1861" s="59"/>
      <c r="D1861" s="218" t="s">
        <v>3479</v>
      </c>
      <c r="E1861" s="219"/>
      <c r="F1861" s="219"/>
      <c r="G1861" s="219"/>
      <c r="H1861" s="220"/>
      <c r="I1861" s="219"/>
      <c r="J1861" s="219"/>
      <c r="K1861" s="219"/>
      <c r="L1861" s="221"/>
    </row>
    <row r="1862" spans="1:12" ht="14.4">
      <c r="A1862" s="59"/>
      <c r="D1862" s="60" t="s">
        <v>3480</v>
      </c>
      <c r="E1862" s="60" t="s">
        <v>3463</v>
      </c>
      <c r="G1862" s="68">
        <v>6.7</v>
      </c>
      <c r="L1862" s="69"/>
    </row>
    <row r="1863" spans="1:12" ht="14.4">
      <c r="A1863" s="59"/>
      <c r="D1863" s="60" t="s">
        <v>3481</v>
      </c>
      <c r="E1863" s="60" t="s">
        <v>3465</v>
      </c>
      <c r="G1863" s="68">
        <v>1.2</v>
      </c>
      <c r="L1863" s="69"/>
    </row>
    <row r="1864" spans="1:75" ht="13.5" customHeight="1">
      <c r="A1864" s="1" t="s">
        <v>3482</v>
      </c>
      <c r="B1864" s="2" t="s">
        <v>2629</v>
      </c>
      <c r="C1864" s="2" t="s">
        <v>3483</v>
      </c>
      <c r="D1864" s="147" t="s">
        <v>3484</v>
      </c>
      <c r="E1864" s="148"/>
      <c r="F1864" s="2" t="s">
        <v>374</v>
      </c>
      <c r="G1864" s="55">
        <v>6</v>
      </c>
      <c r="H1864" s="56">
        <v>0</v>
      </c>
      <c r="I1864" s="55">
        <f>G1864*H1864</f>
        <v>0</v>
      </c>
      <c r="J1864" s="55">
        <v>0</v>
      </c>
      <c r="K1864" s="55">
        <f>G1864*J1864</f>
        <v>0</v>
      </c>
      <c r="L1864" s="57" t="s">
        <v>785</v>
      </c>
      <c r="Z1864" s="55">
        <f>IF(AQ1864="5",BJ1864,0)</f>
        <v>0</v>
      </c>
      <c r="AB1864" s="55">
        <f>IF(AQ1864="1",BH1864,0)</f>
        <v>0</v>
      </c>
      <c r="AC1864" s="55">
        <f>IF(AQ1864="1",BI1864,0)</f>
        <v>0</v>
      </c>
      <c r="AD1864" s="55">
        <f>IF(AQ1864="7",BH1864,0)</f>
        <v>0</v>
      </c>
      <c r="AE1864" s="55">
        <f>IF(AQ1864="7",BI1864,0)</f>
        <v>0</v>
      </c>
      <c r="AF1864" s="55">
        <f>IF(AQ1864="2",BH1864,0)</f>
        <v>0</v>
      </c>
      <c r="AG1864" s="55">
        <f>IF(AQ1864="2",BI1864,0)</f>
        <v>0</v>
      </c>
      <c r="AH1864" s="55">
        <f>IF(AQ1864="0",BJ1864,0)</f>
        <v>0</v>
      </c>
      <c r="AI1864" s="34" t="s">
        <v>2629</v>
      </c>
      <c r="AJ1864" s="55">
        <f>IF(AN1864=0,I1864,0)</f>
        <v>0</v>
      </c>
      <c r="AK1864" s="55">
        <f>IF(AN1864=12,I1864,0)</f>
        <v>0</v>
      </c>
      <c r="AL1864" s="55">
        <f>IF(AN1864=21,I1864,0)</f>
        <v>0</v>
      </c>
      <c r="AN1864" s="55">
        <v>21</v>
      </c>
      <c r="AO1864" s="55">
        <f>H1864*0.957126681</f>
        <v>0</v>
      </c>
      <c r="AP1864" s="55">
        <f>H1864*(1-0.957126681)</f>
        <v>0</v>
      </c>
      <c r="AQ1864" s="58" t="s">
        <v>125</v>
      </c>
      <c r="AV1864" s="55">
        <f>AW1864+AX1864</f>
        <v>0</v>
      </c>
      <c r="AW1864" s="55">
        <f>G1864*AO1864</f>
        <v>0</v>
      </c>
      <c r="AX1864" s="55">
        <f>G1864*AP1864</f>
        <v>0</v>
      </c>
      <c r="AY1864" s="58" t="s">
        <v>1875</v>
      </c>
      <c r="AZ1864" s="58" t="s">
        <v>3185</v>
      </c>
      <c r="BA1864" s="34" t="s">
        <v>2634</v>
      </c>
      <c r="BC1864" s="55">
        <f>AW1864+AX1864</f>
        <v>0</v>
      </c>
      <c r="BD1864" s="55">
        <f>H1864/(100-BE1864)*100</f>
        <v>0</v>
      </c>
      <c r="BE1864" s="55">
        <v>0</v>
      </c>
      <c r="BF1864" s="55">
        <f>K1864</f>
        <v>0</v>
      </c>
      <c r="BH1864" s="55">
        <f>G1864*AO1864</f>
        <v>0</v>
      </c>
      <c r="BI1864" s="55">
        <f>G1864*AP1864</f>
        <v>0</v>
      </c>
      <c r="BJ1864" s="55">
        <f>G1864*H1864</f>
        <v>0</v>
      </c>
      <c r="BK1864" s="55"/>
      <c r="BL1864" s="55">
        <v>764</v>
      </c>
      <c r="BW1864" s="55">
        <v>21</v>
      </c>
    </row>
    <row r="1865" spans="1:12" ht="13.5" customHeight="1">
      <c r="A1865" s="59"/>
      <c r="D1865" s="218" t="s">
        <v>3485</v>
      </c>
      <c r="E1865" s="219"/>
      <c r="F1865" s="219"/>
      <c r="G1865" s="219"/>
      <c r="H1865" s="220"/>
      <c r="I1865" s="219"/>
      <c r="J1865" s="219"/>
      <c r="K1865" s="219"/>
      <c r="L1865" s="221"/>
    </row>
    <row r="1866" spans="1:12" ht="14.4">
      <c r="A1866" s="59"/>
      <c r="D1866" s="60" t="s">
        <v>142</v>
      </c>
      <c r="E1866" s="60" t="s">
        <v>4</v>
      </c>
      <c r="G1866" s="68">
        <v>6</v>
      </c>
      <c r="L1866" s="69"/>
    </row>
    <row r="1867" spans="1:75" ht="13.5" customHeight="1">
      <c r="A1867" s="1" t="s">
        <v>3486</v>
      </c>
      <c r="B1867" s="2" t="s">
        <v>2629</v>
      </c>
      <c r="C1867" s="2" t="s">
        <v>3487</v>
      </c>
      <c r="D1867" s="147" t="s">
        <v>3488</v>
      </c>
      <c r="E1867" s="148"/>
      <c r="F1867" s="2" t="s">
        <v>374</v>
      </c>
      <c r="G1867" s="55">
        <v>2</v>
      </c>
      <c r="H1867" s="56">
        <v>0</v>
      </c>
      <c r="I1867" s="55">
        <f>G1867*H1867</f>
        <v>0</v>
      </c>
      <c r="J1867" s="55">
        <v>0.00081</v>
      </c>
      <c r="K1867" s="55">
        <f>G1867*J1867</f>
        <v>0.00162</v>
      </c>
      <c r="L1867" s="57" t="s">
        <v>124</v>
      </c>
      <c r="Z1867" s="55">
        <f>IF(AQ1867="5",BJ1867,0)</f>
        <v>0</v>
      </c>
      <c r="AB1867" s="55">
        <f>IF(AQ1867="1",BH1867,0)</f>
        <v>0</v>
      </c>
      <c r="AC1867" s="55">
        <f>IF(AQ1867="1",BI1867,0)</f>
        <v>0</v>
      </c>
      <c r="AD1867" s="55">
        <f>IF(AQ1867="7",BH1867,0)</f>
        <v>0</v>
      </c>
      <c r="AE1867" s="55">
        <f>IF(AQ1867="7",BI1867,0)</f>
        <v>0</v>
      </c>
      <c r="AF1867" s="55">
        <f>IF(AQ1867="2",BH1867,0)</f>
        <v>0</v>
      </c>
      <c r="AG1867" s="55">
        <f>IF(AQ1867="2",BI1867,0)</f>
        <v>0</v>
      </c>
      <c r="AH1867" s="55">
        <f>IF(AQ1867="0",BJ1867,0)</f>
        <v>0</v>
      </c>
      <c r="AI1867" s="34" t="s">
        <v>2629</v>
      </c>
      <c r="AJ1867" s="55">
        <f>IF(AN1867=0,I1867,0)</f>
        <v>0</v>
      </c>
      <c r="AK1867" s="55">
        <f>IF(AN1867=12,I1867,0)</f>
        <v>0</v>
      </c>
      <c r="AL1867" s="55">
        <f>IF(AN1867=21,I1867,0)</f>
        <v>0</v>
      </c>
      <c r="AN1867" s="55">
        <v>21</v>
      </c>
      <c r="AO1867" s="55">
        <f>H1867*0.966292135</f>
        <v>0</v>
      </c>
      <c r="AP1867" s="55">
        <f>H1867*(1-0.966292135)</f>
        <v>0</v>
      </c>
      <c r="AQ1867" s="58" t="s">
        <v>125</v>
      </c>
      <c r="AV1867" s="55">
        <f>AW1867+AX1867</f>
        <v>0</v>
      </c>
      <c r="AW1867" s="55">
        <f>G1867*AO1867</f>
        <v>0</v>
      </c>
      <c r="AX1867" s="55">
        <f>G1867*AP1867</f>
        <v>0</v>
      </c>
      <c r="AY1867" s="58" t="s">
        <v>1875</v>
      </c>
      <c r="AZ1867" s="58" t="s">
        <v>3185</v>
      </c>
      <c r="BA1867" s="34" t="s">
        <v>2634</v>
      </c>
      <c r="BC1867" s="55">
        <f>AW1867+AX1867</f>
        <v>0</v>
      </c>
      <c r="BD1867" s="55">
        <f>H1867/(100-BE1867)*100</f>
        <v>0</v>
      </c>
      <c r="BE1867" s="55">
        <v>0</v>
      </c>
      <c r="BF1867" s="55">
        <f>K1867</f>
        <v>0.00162</v>
      </c>
      <c r="BH1867" s="55">
        <f>G1867*AO1867</f>
        <v>0</v>
      </c>
      <c r="BI1867" s="55">
        <f>G1867*AP1867</f>
        <v>0</v>
      </c>
      <c r="BJ1867" s="55">
        <f>G1867*H1867</f>
        <v>0</v>
      </c>
      <c r="BK1867" s="55"/>
      <c r="BL1867" s="55">
        <v>764</v>
      </c>
      <c r="BW1867" s="55">
        <v>21</v>
      </c>
    </row>
    <row r="1868" spans="1:12" ht="14.4">
      <c r="A1868" s="59"/>
      <c r="D1868" s="60" t="s">
        <v>130</v>
      </c>
      <c r="E1868" s="60" t="s">
        <v>4</v>
      </c>
      <c r="G1868" s="68">
        <v>2</v>
      </c>
      <c r="L1868" s="69"/>
    </row>
    <row r="1869" spans="1:75" ht="13.5" customHeight="1">
      <c r="A1869" s="1" t="s">
        <v>3489</v>
      </c>
      <c r="B1869" s="2" t="s">
        <v>2629</v>
      </c>
      <c r="C1869" s="2" t="s">
        <v>3490</v>
      </c>
      <c r="D1869" s="147" t="s">
        <v>3491</v>
      </c>
      <c r="E1869" s="148"/>
      <c r="F1869" s="2" t="s">
        <v>374</v>
      </c>
      <c r="G1869" s="55">
        <v>2</v>
      </c>
      <c r="H1869" s="56">
        <v>0</v>
      </c>
      <c r="I1869" s="55">
        <f>G1869*H1869</f>
        <v>0</v>
      </c>
      <c r="J1869" s="55">
        <v>0.00081</v>
      </c>
      <c r="K1869" s="55">
        <f>G1869*J1869</f>
        <v>0.00162</v>
      </c>
      <c r="L1869" s="57" t="s">
        <v>124</v>
      </c>
      <c r="Z1869" s="55">
        <f>IF(AQ1869="5",BJ1869,0)</f>
        <v>0</v>
      </c>
      <c r="AB1869" s="55">
        <f>IF(AQ1869="1",BH1869,0)</f>
        <v>0</v>
      </c>
      <c r="AC1869" s="55">
        <f>IF(AQ1869="1",BI1869,0)</f>
        <v>0</v>
      </c>
      <c r="AD1869" s="55">
        <f>IF(AQ1869="7",BH1869,0)</f>
        <v>0</v>
      </c>
      <c r="AE1869" s="55">
        <f>IF(AQ1869="7",BI1869,0)</f>
        <v>0</v>
      </c>
      <c r="AF1869" s="55">
        <f>IF(AQ1869="2",BH1869,0)</f>
        <v>0</v>
      </c>
      <c r="AG1869" s="55">
        <f>IF(AQ1869="2",BI1869,0)</f>
        <v>0</v>
      </c>
      <c r="AH1869" s="55">
        <f>IF(AQ1869="0",BJ1869,0)</f>
        <v>0</v>
      </c>
      <c r="AI1869" s="34" t="s">
        <v>2629</v>
      </c>
      <c r="AJ1869" s="55">
        <f>IF(AN1869=0,I1869,0)</f>
        <v>0</v>
      </c>
      <c r="AK1869" s="55">
        <f>IF(AN1869=12,I1869,0)</f>
        <v>0</v>
      </c>
      <c r="AL1869" s="55">
        <f>IF(AN1869=21,I1869,0)</f>
        <v>0</v>
      </c>
      <c r="AN1869" s="55">
        <v>21</v>
      </c>
      <c r="AO1869" s="55">
        <f>H1869*0.966292135</f>
        <v>0</v>
      </c>
      <c r="AP1869" s="55">
        <f>H1869*(1-0.966292135)</f>
        <v>0</v>
      </c>
      <c r="AQ1869" s="58" t="s">
        <v>125</v>
      </c>
      <c r="AV1869" s="55">
        <f>AW1869+AX1869</f>
        <v>0</v>
      </c>
      <c r="AW1869" s="55">
        <f>G1869*AO1869</f>
        <v>0</v>
      </c>
      <c r="AX1869" s="55">
        <f>G1869*AP1869</f>
        <v>0</v>
      </c>
      <c r="AY1869" s="58" t="s">
        <v>1875</v>
      </c>
      <c r="AZ1869" s="58" t="s">
        <v>3185</v>
      </c>
      <c r="BA1869" s="34" t="s">
        <v>2634</v>
      </c>
      <c r="BC1869" s="55">
        <f>AW1869+AX1869</f>
        <v>0</v>
      </c>
      <c r="BD1869" s="55">
        <f>H1869/(100-BE1869)*100</f>
        <v>0</v>
      </c>
      <c r="BE1869" s="55">
        <v>0</v>
      </c>
      <c r="BF1869" s="55">
        <f>K1869</f>
        <v>0.00162</v>
      </c>
      <c r="BH1869" s="55">
        <f>G1869*AO1869</f>
        <v>0</v>
      </c>
      <c r="BI1869" s="55">
        <f>G1869*AP1869</f>
        <v>0</v>
      </c>
      <c r="BJ1869" s="55">
        <f>G1869*H1869</f>
        <v>0</v>
      </c>
      <c r="BK1869" s="55"/>
      <c r="BL1869" s="55">
        <v>764</v>
      </c>
      <c r="BW1869" s="55">
        <v>21</v>
      </c>
    </row>
    <row r="1870" spans="1:12" ht="14.4">
      <c r="A1870" s="59"/>
      <c r="D1870" s="60" t="s">
        <v>130</v>
      </c>
      <c r="E1870" s="60" t="s">
        <v>4</v>
      </c>
      <c r="G1870" s="68">
        <v>2</v>
      </c>
      <c r="L1870" s="69"/>
    </row>
    <row r="1871" spans="1:75" ht="13.5" customHeight="1">
      <c r="A1871" s="1" t="s">
        <v>3492</v>
      </c>
      <c r="B1871" s="2" t="s">
        <v>2629</v>
      </c>
      <c r="C1871" s="2" t="s">
        <v>3493</v>
      </c>
      <c r="D1871" s="147" t="s">
        <v>3494</v>
      </c>
      <c r="E1871" s="148"/>
      <c r="F1871" s="2" t="s">
        <v>374</v>
      </c>
      <c r="G1871" s="55">
        <v>4</v>
      </c>
      <c r="H1871" s="56">
        <v>0</v>
      </c>
      <c r="I1871" s="55">
        <f>G1871*H1871</f>
        <v>0</v>
      </c>
      <c r="J1871" s="55">
        <v>0.00081</v>
      </c>
      <c r="K1871" s="55">
        <f>G1871*J1871</f>
        <v>0.00324</v>
      </c>
      <c r="L1871" s="57" t="s">
        <v>124</v>
      </c>
      <c r="Z1871" s="55">
        <f>IF(AQ1871="5",BJ1871,0)</f>
        <v>0</v>
      </c>
      <c r="AB1871" s="55">
        <f>IF(AQ1871="1",BH1871,0)</f>
        <v>0</v>
      </c>
      <c r="AC1871" s="55">
        <f>IF(AQ1871="1",BI1871,0)</f>
        <v>0</v>
      </c>
      <c r="AD1871" s="55">
        <f>IF(AQ1871="7",BH1871,0)</f>
        <v>0</v>
      </c>
      <c r="AE1871" s="55">
        <f>IF(AQ1871="7",BI1871,0)</f>
        <v>0</v>
      </c>
      <c r="AF1871" s="55">
        <f>IF(AQ1871="2",BH1871,0)</f>
        <v>0</v>
      </c>
      <c r="AG1871" s="55">
        <f>IF(AQ1871="2",BI1871,0)</f>
        <v>0</v>
      </c>
      <c r="AH1871" s="55">
        <f>IF(AQ1871="0",BJ1871,0)</f>
        <v>0</v>
      </c>
      <c r="AI1871" s="34" t="s">
        <v>2629</v>
      </c>
      <c r="AJ1871" s="55">
        <f>IF(AN1871=0,I1871,0)</f>
        <v>0</v>
      </c>
      <c r="AK1871" s="55">
        <f>IF(AN1871=12,I1871,0)</f>
        <v>0</v>
      </c>
      <c r="AL1871" s="55">
        <f>IF(AN1871=21,I1871,0)</f>
        <v>0</v>
      </c>
      <c r="AN1871" s="55">
        <v>21</v>
      </c>
      <c r="AO1871" s="55">
        <f>H1871*0.966292135</f>
        <v>0</v>
      </c>
      <c r="AP1871" s="55">
        <f>H1871*(1-0.966292135)</f>
        <v>0</v>
      </c>
      <c r="AQ1871" s="58" t="s">
        <v>125</v>
      </c>
      <c r="AV1871" s="55">
        <f>AW1871+AX1871</f>
        <v>0</v>
      </c>
      <c r="AW1871" s="55">
        <f>G1871*AO1871</f>
        <v>0</v>
      </c>
      <c r="AX1871" s="55">
        <f>G1871*AP1871</f>
        <v>0</v>
      </c>
      <c r="AY1871" s="58" t="s">
        <v>1875</v>
      </c>
      <c r="AZ1871" s="58" t="s">
        <v>3185</v>
      </c>
      <c r="BA1871" s="34" t="s">
        <v>2634</v>
      </c>
      <c r="BC1871" s="55">
        <f>AW1871+AX1871</f>
        <v>0</v>
      </c>
      <c r="BD1871" s="55">
        <f>H1871/(100-BE1871)*100</f>
        <v>0</v>
      </c>
      <c r="BE1871" s="55">
        <v>0</v>
      </c>
      <c r="BF1871" s="55">
        <f>K1871</f>
        <v>0.00324</v>
      </c>
      <c r="BH1871" s="55">
        <f>G1871*AO1871</f>
        <v>0</v>
      </c>
      <c r="BI1871" s="55">
        <f>G1871*AP1871</f>
        <v>0</v>
      </c>
      <c r="BJ1871" s="55">
        <f>G1871*H1871</f>
        <v>0</v>
      </c>
      <c r="BK1871" s="55"/>
      <c r="BL1871" s="55">
        <v>764</v>
      </c>
      <c r="BW1871" s="55">
        <v>21</v>
      </c>
    </row>
    <row r="1872" spans="1:12" ht="14.4">
      <c r="A1872" s="59"/>
      <c r="D1872" s="60" t="s">
        <v>136</v>
      </c>
      <c r="E1872" s="60" t="s">
        <v>4</v>
      </c>
      <c r="G1872" s="68">
        <v>4</v>
      </c>
      <c r="L1872" s="69"/>
    </row>
    <row r="1873" spans="1:75" ht="13.5" customHeight="1">
      <c r="A1873" s="1" t="s">
        <v>3495</v>
      </c>
      <c r="B1873" s="2" t="s">
        <v>2629</v>
      </c>
      <c r="C1873" s="2" t="s">
        <v>3496</v>
      </c>
      <c r="D1873" s="147" t="s">
        <v>3497</v>
      </c>
      <c r="E1873" s="148"/>
      <c r="F1873" s="2" t="s">
        <v>374</v>
      </c>
      <c r="G1873" s="55">
        <v>2</v>
      </c>
      <c r="H1873" s="56">
        <v>0</v>
      </c>
      <c r="I1873" s="55">
        <f>G1873*H1873</f>
        <v>0</v>
      </c>
      <c r="J1873" s="55">
        <v>0.00081</v>
      </c>
      <c r="K1873" s="55">
        <f>G1873*J1873</f>
        <v>0.00162</v>
      </c>
      <c r="L1873" s="57" t="s">
        <v>124</v>
      </c>
      <c r="Z1873" s="55">
        <f>IF(AQ1873="5",BJ1873,0)</f>
        <v>0</v>
      </c>
      <c r="AB1873" s="55">
        <f>IF(AQ1873="1",BH1873,0)</f>
        <v>0</v>
      </c>
      <c r="AC1873" s="55">
        <f>IF(AQ1873="1",BI1873,0)</f>
        <v>0</v>
      </c>
      <c r="AD1873" s="55">
        <f>IF(AQ1873="7",BH1873,0)</f>
        <v>0</v>
      </c>
      <c r="AE1873" s="55">
        <f>IF(AQ1873="7",BI1873,0)</f>
        <v>0</v>
      </c>
      <c r="AF1873" s="55">
        <f>IF(AQ1873="2",BH1873,0)</f>
        <v>0</v>
      </c>
      <c r="AG1873" s="55">
        <f>IF(AQ1873="2",BI1873,0)</f>
        <v>0</v>
      </c>
      <c r="AH1873" s="55">
        <f>IF(AQ1873="0",BJ1873,0)</f>
        <v>0</v>
      </c>
      <c r="AI1873" s="34" t="s">
        <v>2629</v>
      </c>
      <c r="AJ1873" s="55">
        <f>IF(AN1873=0,I1873,0)</f>
        <v>0</v>
      </c>
      <c r="AK1873" s="55">
        <f>IF(AN1873=12,I1873,0)</f>
        <v>0</v>
      </c>
      <c r="AL1873" s="55">
        <f>IF(AN1873=21,I1873,0)</f>
        <v>0</v>
      </c>
      <c r="AN1873" s="55">
        <v>21</v>
      </c>
      <c r="AO1873" s="55">
        <f>H1873*0.967032967</f>
        <v>0</v>
      </c>
      <c r="AP1873" s="55">
        <f>H1873*(1-0.967032967)</f>
        <v>0</v>
      </c>
      <c r="AQ1873" s="58" t="s">
        <v>125</v>
      </c>
      <c r="AV1873" s="55">
        <f>AW1873+AX1873</f>
        <v>0</v>
      </c>
      <c r="AW1873" s="55">
        <f>G1873*AO1873</f>
        <v>0</v>
      </c>
      <c r="AX1873" s="55">
        <f>G1873*AP1873</f>
        <v>0</v>
      </c>
      <c r="AY1873" s="58" t="s">
        <v>1875</v>
      </c>
      <c r="AZ1873" s="58" t="s">
        <v>3185</v>
      </c>
      <c r="BA1873" s="34" t="s">
        <v>2634</v>
      </c>
      <c r="BC1873" s="55">
        <f>AW1873+AX1873</f>
        <v>0</v>
      </c>
      <c r="BD1873" s="55">
        <f>H1873/(100-BE1873)*100</f>
        <v>0</v>
      </c>
      <c r="BE1873" s="55">
        <v>0</v>
      </c>
      <c r="BF1873" s="55">
        <f>K1873</f>
        <v>0.00162</v>
      </c>
      <c r="BH1873" s="55">
        <f>G1873*AO1873</f>
        <v>0</v>
      </c>
      <c r="BI1873" s="55">
        <f>G1873*AP1873</f>
        <v>0</v>
      </c>
      <c r="BJ1873" s="55">
        <f>G1873*H1873</f>
        <v>0</v>
      </c>
      <c r="BK1873" s="55"/>
      <c r="BL1873" s="55">
        <v>764</v>
      </c>
      <c r="BW1873" s="55">
        <v>21</v>
      </c>
    </row>
    <row r="1874" spans="1:12" ht="14.4">
      <c r="A1874" s="59"/>
      <c r="D1874" s="60" t="s">
        <v>130</v>
      </c>
      <c r="E1874" s="60" t="s">
        <v>4</v>
      </c>
      <c r="G1874" s="68">
        <v>2</v>
      </c>
      <c r="L1874" s="69"/>
    </row>
    <row r="1875" spans="1:75" ht="13.5" customHeight="1">
      <c r="A1875" s="1" t="s">
        <v>3498</v>
      </c>
      <c r="B1875" s="2" t="s">
        <v>2629</v>
      </c>
      <c r="C1875" s="2" t="s">
        <v>3499</v>
      </c>
      <c r="D1875" s="147" t="s">
        <v>3500</v>
      </c>
      <c r="E1875" s="148"/>
      <c r="F1875" s="2" t="s">
        <v>374</v>
      </c>
      <c r="G1875" s="55">
        <v>1</v>
      </c>
      <c r="H1875" s="56">
        <v>0</v>
      </c>
      <c r="I1875" s="55">
        <f>G1875*H1875</f>
        <v>0</v>
      </c>
      <c r="J1875" s="55">
        <v>0.00081</v>
      </c>
      <c r="K1875" s="55">
        <f>G1875*J1875</f>
        <v>0.00081</v>
      </c>
      <c r="L1875" s="57" t="s">
        <v>124</v>
      </c>
      <c r="Z1875" s="55">
        <f>IF(AQ1875="5",BJ1875,0)</f>
        <v>0</v>
      </c>
      <c r="AB1875" s="55">
        <f>IF(AQ1875="1",BH1875,0)</f>
        <v>0</v>
      </c>
      <c r="AC1875" s="55">
        <f>IF(AQ1875="1",BI1875,0)</f>
        <v>0</v>
      </c>
      <c r="AD1875" s="55">
        <f>IF(AQ1875="7",BH1875,0)</f>
        <v>0</v>
      </c>
      <c r="AE1875" s="55">
        <f>IF(AQ1875="7",BI1875,0)</f>
        <v>0</v>
      </c>
      <c r="AF1875" s="55">
        <f>IF(AQ1875="2",BH1875,0)</f>
        <v>0</v>
      </c>
      <c r="AG1875" s="55">
        <f>IF(AQ1875="2",BI1875,0)</f>
        <v>0</v>
      </c>
      <c r="AH1875" s="55">
        <f>IF(AQ1875="0",BJ1875,0)</f>
        <v>0</v>
      </c>
      <c r="AI1875" s="34" t="s">
        <v>2629</v>
      </c>
      <c r="AJ1875" s="55">
        <f>IF(AN1875=0,I1875,0)</f>
        <v>0</v>
      </c>
      <c r="AK1875" s="55">
        <f>IF(AN1875=12,I1875,0)</f>
        <v>0</v>
      </c>
      <c r="AL1875" s="55">
        <f>IF(AN1875=21,I1875,0)</f>
        <v>0</v>
      </c>
      <c r="AN1875" s="55">
        <v>21</v>
      </c>
      <c r="AO1875" s="55">
        <f>H1875*0.974789916</f>
        <v>0</v>
      </c>
      <c r="AP1875" s="55">
        <f>H1875*(1-0.974789916)</f>
        <v>0</v>
      </c>
      <c r="AQ1875" s="58" t="s">
        <v>125</v>
      </c>
      <c r="AV1875" s="55">
        <f>AW1875+AX1875</f>
        <v>0</v>
      </c>
      <c r="AW1875" s="55">
        <f>G1875*AO1875</f>
        <v>0</v>
      </c>
      <c r="AX1875" s="55">
        <f>G1875*AP1875</f>
        <v>0</v>
      </c>
      <c r="AY1875" s="58" t="s">
        <v>1875</v>
      </c>
      <c r="AZ1875" s="58" t="s">
        <v>3185</v>
      </c>
      <c r="BA1875" s="34" t="s">
        <v>2634</v>
      </c>
      <c r="BC1875" s="55">
        <f>AW1875+AX1875</f>
        <v>0</v>
      </c>
      <c r="BD1875" s="55">
        <f>H1875/(100-BE1875)*100</f>
        <v>0</v>
      </c>
      <c r="BE1875" s="55">
        <v>0</v>
      </c>
      <c r="BF1875" s="55">
        <f>K1875</f>
        <v>0.00081</v>
      </c>
      <c r="BH1875" s="55">
        <f>G1875*AO1875</f>
        <v>0</v>
      </c>
      <c r="BI1875" s="55">
        <f>G1875*AP1875</f>
        <v>0</v>
      </c>
      <c r="BJ1875" s="55">
        <f>G1875*H1875</f>
        <v>0</v>
      </c>
      <c r="BK1875" s="55"/>
      <c r="BL1875" s="55">
        <v>764</v>
      </c>
      <c r="BW1875" s="55">
        <v>21</v>
      </c>
    </row>
    <row r="1876" spans="1:12" ht="14.4">
      <c r="A1876" s="59"/>
      <c r="D1876" s="60" t="s">
        <v>120</v>
      </c>
      <c r="E1876" s="60" t="s">
        <v>4</v>
      </c>
      <c r="G1876" s="68">
        <v>1</v>
      </c>
      <c r="L1876" s="69"/>
    </row>
    <row r="1877" spans="1:75" ht="13.5" customHeight="1">
      <c r="A1877" s="1" t="s">
        <v>3501</v>
      </c>
      <c r="B1877" s="2" t="s">
        <v>2629</v>
      </c>
      <c r="C1877" s="2" t="s">
        <v>3502</v>
      </c>
      <c r="D1877" s="147" t="s">
        <v>3503</v>
      </c>
      <c r="E1877" s="148"/>
      <c r="F1877" s="2" t="s">
        <v>374</v>
      </c>
      <c r="G1877" s="55">
        <v>2</v>
      </c>
      <c r="H1877" s="56">
        <v>0</v>
      </c>
      <c r="I1877" s="55">
        <f>G1877*H1877</f>
        <v>0</v>
      </c>
      <c r="J1877" s="55">
        <v>0.00081</v>
      </c>
      <c r="K1877" s="55">
        <f>G1877*J1877</f>
        <v>0.00162</v>
      </c>
      <c r="L1877" s="57" t="s">
        <v>124</v>
      </c>
      <c r="Z1877" s="55">
        <f>IF(AQ1877="5",BJ1877,0)</f>
        <v>0</v>
      </c>
      <c r="AB1877" s="55">
        <f>IF(AQ1877="1",BH1877,0)</f>
        <v>0</v>
      </c>
      <c r="AC1877" s="55">
        <f>IF(AQ1877="1",BI1877,0)</f>
        <v>0</v>
      </c>
      <c r="AD1877" s="55">
        <f>IF(AQ1877="7",BH1877,0)</f>
        <v>0</v>
      </c>
      <c r="AE1877" s="55">
        <f>IF(AQ1877="7",BI1877,0)</f>
        <v>0</v>
      </c>
      <c r="AF1877" s="55">
        <f>IF(AQ1877="2",BH1877,0)</f>
        <v>0</v>
      </c>
      <c r="AG1877" s="55">
        <f>IF(AQ1877="2",BI1877,0)</f>
        <v>0</v>
      </c>
      <c r="AH1877" s="55">
        <f>IF(AQ1877="0",BJ1877,0)</f>
        <v>0</v>
      </c>
      <c r="AI1877" s="34" t="s">
        <v>2629</v>
      </c>
      <c r="AJ1877" s="55">
        <f>IF(AN1877=0,I1877,0)</f>
        <v>0</v>
      </c>
      <c r="AK1877" s="55">
        <f>IF(AN1877=12,I1877,0)</f>
        <v>0</v>
      </c>
      <c r="AL1877" s="55">
        <f>IF(AN1877=21,I1877,0)</f>
        <v>0</v>
      </c>
      <c r="AN1877" s="55">
        <v>21</v>
      </c>
      <c r="AO1877" s="55">
        <f>H1877*0.971631206</f>
        <v>0</v>
      </c>
      <c r="AP1877" s="55">
        <f>H1877*(1-0.971631206)</f>
        <v>0</v>
      </c>
      <c r="AQ1877" s="58" t="s">
        <v>125</v>
      </c>
      <c r="AV1877" s="55">
        <f>AW1877+AX1877</f>
        <v>0</v>
      </c>
      <c r="AW1877" s="55">
        <f>G1877*AO1877</f>
        <v>0</v>
      </c>
      <c r="AX1877" s="55">
        <f>G1877*AP1877</f>
        <v>0</v>
      </c>
      <c r="AY1877" s="58" t="s">
        <v>1875</v>
      </c>
      <c r="AZ1877" s="58" t="s">
        <v>3185</v>
      </c>
      <c r="BA1877" s="34" t="s">
        <v>2634</v>
      </c>
      <c r="BC1877" s="55">
        <f>AW1877+AX1877</f>
        <v>0</v>
      </c>
      <c r="BD1877" s="55">
        <f>H1877/(100-BE1877)*100</f>
        <v>0</v>
      </c>
      <c r="BE1877" s="55">
        <v>0</v>
      </c>
      <c r="BF1877" s="55">
        <f>K1877</f>
        <v>0.00162</v>
      </c>
      <c r="BH1877" s="55">
        <f>G1877*AO1877</f>
        <v>0</v>
      </c>
      <c r="BI1877" s="55">
        <f>G1877*AP1877</f>
        <v>0</v>
      </c>
      <c r="BJ1877" s="55">
        <f>G1877*H1877</f>
        <v>0</v>
      </c>
      <c r="BK1877" s="55"/>
      <c r="BL1877" s="55">
        <v>764</v>
      </c>
      <c r="BW1877" s="55">
        <v>21</v>
      </c>
    </row>
    <row r="1878" spans="1:12" ht="14.4">
      <c r="A1878" s="59"/>
      <c r="D1878" s="60" t="s">
        <v>130</v>
      </c>
      <c r="E1878" s="60" t="s">
        <v>4</v>
      </c>
      <c r="G1878" s="68">
        <v>2</v>
      </c>
      <c r="L1878" s="69"/>
    </row>
    <row r="1879" spans="1:75" ht="13.5" customHeight="1">
      <c r="A1879" s="1" t="s">
        <v>3504</v>
      </c>
      <c r="B1879" s="2" t="s">
        <v>2629</v>
      </c>
      <c r="C1879" s="2" t="s">
        <v>3505</v>
      </c>
      <c r="D1879" s="147" t="s">
        <v>3506</v>
      </c>
      <c r="E1879" s="148"/>
      <c r="F1879" s="2" t="s">
        <v>374</v>
      </c>
      <c r="G1879" s="55">
        <v>2</v>
      </c>
      <c r="H1879" s="56">
        <v>0</v>
      </c>
      <c r="I1879" s="55">
        <f>G1879*H1879</f>
        <v>0</v>
      </c>
      <c r="J1879" s="55">
        <v>0.00081</v>
      </c>
      <c r="K1879" s="55">
        <f>G1879*J1879</f>
        <v>0.00162</v>
      </c>
      <c r="L1879" s="57" t="s">
        <v>124</v>
      </c>
      <c r="Z1879" s="55">
        <f>IF(AQ1879="5",BJ1879,0)</f>
        <v>0</v>
      </c>
      <c r="AB1879" s="55">
        <f>IF(AQ1879="1",BH1879,0)</f>
        <v>0</v>
      </c>
      <c r="AC1879" s="55">
        <f>IF(AQ1879="1",BI1879,0)</f>
        <v>0</v>
      </c>
      <c r="AD1879" s="55">
        <f>IF(AQ1879="7",BH1879,0)</f>
        <v>0</v>
      </c>
      <c r="AE1879" s="55">
        <f>IF(AQ1879="7",BI1879,0)</f>
        <v>0</v>
      </c>
      <c r="AF1879" s="55">
        <f>IF(AQ1879="2",BH1879,0)</f>
        <v>0</v>
      </c>
      <c r="AG1879" s="55">
        <f>IF(AQ1879="2",BI1879,0)</f>
        <v>0</v>
      </c>
      <c r="AH1879" s="55">
        <f>IF(AQ1879="0",BJ1879,0)</f>
        <v>0</v>
      </c>
      <c r="AI1879" s="34" t="s">
        <v>2629</v>
      </c>
      <c r="AJ1879" s="55">
        <f>IF(AN1879=0,I1879,0)</f>
        <v>0</v>
      </c>
      <c r="AK1879" s="55">
        <f>IF(AN1879=12,I1879,0)</f>
        <v>0</v>
      </c>
      <c r="AL1879" s="55">
        <f>IF(AN1879=21,I1879,0)</f>
        <v>0</v>
      </c>
      <c r="AN1879" s="55">
        <v>21</v>
      </c>
      <c r="AO1879" s="55">
        <f>H1879*0.789473684</f>
        <v>0</v>
      </c>
      <c r="AP1879" s="55">
        <f>H1879*(1-0.789473684)</f>
        <v>0</v>
      </c>
      <c r="AQ1879" s="58" t="s">
        <v>125</v>
      </c>
      <c r="AV1879" s="55">
        <f>AW1879+AX1879</f>
        <v>0</v>
      </c>
      <c r="AW1879" s="55">
        <f>G1879*AO1879</f>
        <v>0</v>
      </c>
      <c r="AX1879" s="55">
        <f>G1879*AP1879</f>
        <v>0</v>
      </c>
      <c r="AY1879" s="58" t="s">
        <v>1875</v>
      </c>
      <c r="AZ1879" s="58" t="s">
        <v>3185</v>
      </c>
      <c r="BA1879" s="34" t="s">
        <v>2634</v>
      </c>
      <c r="BC1879" s="55">
        <f>AW1879+AX1879</f>
        <v>0</v>
      </c>
      <c r="BD1879" s="55">
        <f>H1879/(100-BE1879)*100</f>
        <v>0</v>
      </c>
      <c r="BE1879" s="55">
        <v>0</v>
      </c>
      <c r="BF1879" s="55">
        <f>K1879</f>
        <v>0.00162</v>
      </c>
      <c r="BH1879" s="55">
        <f>G1879*AO1879</f>
        <v>0</v>
      </c>
      <c r="BI1879" s="55">
        <f>G1879*AP1879</f>
        <v>0</v>
      </c>
      <c r="BJ1879" s="55">
        <f>G1879*H1879</f>
        <v>0</v>
      </c>
      <c r="BK1879" s="55"/>
      <c r="BL1879" s="55">
        <v>764</v>
      </c>
      <c r="BW1879" s="55">
        <v>21</v>
      </c>
    </row>
    <row r="1880" spans="1:12" ht="14.4">
      <c r="A1880" s="59"/>
      <c r="D1880" s="60" t="s">
        <v>130</v>
      </c>
      <c r="E1880" s="60" t="s">
        <v>4</v>
      </c>
      <c r="G1880" s="68">
        <v>2</v>
      </c>
      <c r="L1880" s="69"/>
    </row>
    <row r="1881" spans="1:75" ht="13.5" customHeight="1">
      <c r="A1881" s="1" t="s">
        <v>3507</v>
      </c>
      <c r="B1881" s="2" t="s">
        <v>2629</v>
      </c>
      <c r="C1881" s="2" t="s">
        <v>3508</v>
      </c>
      <c r="D1881" s="147" t="s">
        <v>3509</v>
      </c>
      <c r="E1881" s="148"/>
      <c r="F1881" s="2" t="s">
        <v>374</v>
      </c>
      <c r="G1881" s="55">
        <v>5</v>
      </c>
      <c r="H1881" s="56">
        <v>0</v>
      </c>
      <c r="I1881" s="55">
        <f>G1881*H1881</f>
        <v>0</v>
      </c>
      <c r="J1881" s="55">
        <v>0.00081</v>
      </c>
      <c r="K1881" s="55">
        <f>G1881*J1881</f>
        <v>0.00405</v>
      </c>
      <c r="L1881" s="57" t="s">
        <v>124</v>
      </c>
      <c r="Z1881" s="55">
        <f>IF(AQ1881="5",BJ1881,0)</f>
        <v>0</v>
      </c>
      <c r="AB1881" s="55">
        <f>IF(AQ1881="1",BH1881,0)</f>
        <v>0</v>
      </c>
      <c r="AC1881" s="55">
        <f>IF(AQ1881="1",BI1881,0)</f>
        <v>0</v>
      </c>
      <c r="AD1881" s="55">
        <f>IF(AQ1881="7",BH1881,0)</f>
        <v>0</v>
      </c>
      <c r="AE1881" s="55">
        <f>IF(AQ1881="7",BI1881,0)</f>
        <v>0</v>
      </c>
      <c r="AF1881" s="55">
        <f>IF(AQ1881="2",BH1881,0)</f>
        <v>0</v>
      </c>
      <c r="AG1881" s="55">
        <f>IF(AQ1881="2",BI1881,0)</f>
        <v>0</v>
      </c>
      <c r="AH1881" s="55">
        <f>IF(AQ1881="0",BJ1881,0)</f>
        <v>0</v>
      </c>
      <c r="AI1881" s="34" t="s">
        <v>2629</v>
      </c>
      <c r="AJ1881" s="55">
        <f>IF(AN1881=0,I1881,0)</f>
        <v>0</v>
      </c>
      <c r="AK1881" s="55">
        <f>IF(AN1881=12,I1881,0)</f>
        <v>0</v>
      </c>
      <c r="AL1881" s="55">
        <f>IF(AN1881=21,I1881,0)</f>
        <v>0</v>
      </c>
      <c r="AN1881" s="55">
        <v>21</v>
      </c>
      <c r="AO1881" s="55">
        <f>H1881*0.945454545</f>
        <v>0</v>
      </c>
      <c r="AP1881" s="55">
        <f>H1881*(1-0.945454545)</f>
        <v>0</v>
      </c>
      <c r="AQ1881" s="58" t="s">
        <v>125</v>
      </c>
      <c r="AV1881" s="55">
        <f>AW1881+AX1881</f>
        <v>0</v>
      </c>
      <c r="AW1881" s="55">
        <f>G1881*AO1881</f>
        <v>0</v>
      </c>
      <c r="AX1881" s="55">
        <f>G1881*AP1881</f>
        <v>0</v>
      </c>
      <c r="AY1881" s="58" t="s">
        <v>1875</v>
      </c>
      <c r="AZ1881" s="58" t="s">
        <v>3185</v>
      </c>
      <c r="BA1881" s="34" t="s">
        <v>2634</v>
      </c>
      <c r="BC1881" s="55">
        <f>AW1881+AX1881</f>
        <v>0</v>
      </c>
      <c r="BD1881" s="55">
        <f>H1881/(100-BE1881)*100</f>
        <v>0</v>
      </c>
      <c r="BE1881" s="55">
        <v>0</v>
      </c>
      <c r="BF1881" s="55">
        <f>K1881</f>
        <v>0.00405</v>
      </c>
      <c r="BH1881" s="55">
        <f>G1881*AO1881</f>
        <v>0</v>
      </c>
      <c r="BI1881" s="55">
        <f>G1881*AP1881</f>
        <v>0</v>
      </c>
      <c r="BJ1881" s="55">
        <f>G1881*H1881</f>
        <v>0</v>
      </c>
      <c r="BK1881" s="55"/>
      <c r="BL1881" s="55">
        <v>764</v>
      </c>
      <c r="BW1881" s="55">
        <v>21</v>
      </c>
    </row>
    <row r="1882" spans="1:12" ht="13.5" customHeight="1">
      <c r="A1882" s="59"/>
      <c r="D1882" s="218" t="s">
        <v>3510</v>
      </c>
      <c r="E1882" s="219"/>
      <c r="F1882" s="219"/>
      <c r="G1882" s="219"/>
      <c r="H1882" s="220"/>
      <c r="I1882" s="219"/>
      <c r="J1882" s="219"/>
      <c r="K1882" s="219"/>
      <c r="L1882" s="221"/>
    </row>
    <row r="1883" spans="1:12" ht="14.4">
      <c r="A1883" s="59"/>
      <c r="D1883" s="60" t="s">
        <v>139</v>
      </c>
      <c r="E1883" s="60" t="s">
        <v>4</v>
      </c>
      <c r="G1883" s="68">
        <v>5</v>
      </c>
      <c r="L1883" s="69"/>
    </row>
    <row r="1884" spans="1:75" ht="13.5" customHeight="1">
      <c r="A1884" s="1" t="s">
        <v>3511</v>
      </c>
      <c r="B1884" s="2" t="s">
        <v>2629</v>
      </c>
      <c r="C1884" s="2" t="s">
        <v>3512</v>
      </c>
      <c r="D1884" s="147" t="s">
        <v>3513</v>
      </c>
      <c r="E1884" s="148"/>
      <c r="F1884" s="2" t="s">
        <v>374</v>
      </c>
      <c r="G1884" s="55">
        <v>1</v>
      </c>
      <c r="H1884" s="56">
        <v>0</v>
      </c>
      <c r="I1884" s="55">
        <f>G1884*H1884</f>
        <v>0</v>
      </c>
      <c r="J1884" s="55">
        <v>0.00181</v>
      </c>
      <c r="K1884" s="55">
        <f>G1884*J1884</f>
        <v>0.00181</v>
      </c>
      <c r="L1884" s="57" t="s">
        <v>3514</v>
      </c>
      <c r="Z1884" s="55">
        <f>IF(AQ1884="5",BJ1884,0)</f>
        <v>0</v>
      </c>
      <c r="AB1884" s="55">
        <f>IF(AQ1884="1",BH1884,0)</f>
        <v>0</v>
      </c>
      <c r="AC1884" s="55">
        <f>IF(AQ1884="1",BI1884,0)</f>
        <v>0</v>
      </c>
      <c r="AD1884" s="55">
        <f>IF(AQ1884="7",BH1884,0)</f>
        <v>0</v>
      </c>
      <c r="AE1884" s="55">
        <f>IF(AQ1884="7",BI1884,0)</f>
        <v>0</v>
      </c>
      <c r="AF1884" s="55">
        <f>IF(AQ1884="2",BH1884,0)</f>
        <v>0</v>
      </c>
      <c r="AG1884" s="55">
        <f>IF(AQ1884="2",BI1884,0)</f>
        <v>0</v>
      </c>
      <c r="AH1884" s="55">
        <f>IF(AQ1884="0",BJ1884,0)</f>
        <v>0</v>
      </c>
      <c r="AI1884" s="34" t="s">
        <v>2629</v>
      </c>
      <c r="AJ1884" s="55">
        <f>IF(AN1884=0,I1884,0)</f>
        <v>0</v>
      </c>
      <c r="AK1884" s="55">
        <f>IF(AN1884=12,I1884,0)</f>
        <v>0</v>
      </c>
      <c r="AL1884" s="55">
        <f>IF(AN1884=21,I1884,0)</f>
        <v>0</v>
      </c>
      <c r="AN1884" s="55">
        <v>21</v>
      </c>
      <c r="AO1884" s="55">
        <f>H1884*0.709812109</f>
        <v>0</v>
      </c>
      <c r="AP1884" s="55">
        <f>H1884*(1-0.709812109)</f>
        <v>0</v>
      </c>
      <c r="AQ1884" s="58" t="s">
        <v>125</v>
      </c>
      <c r="AV1884" s="55">
        <f>AW1884+AX1884</f>
        <v>0</v>
      </c>
      <c r="AW1884" s="55">
        <f>G1884*AO1884</f>
        <v>0</v>
      </c>
      <c r="AX1884" s="55">
        <f>G1884*AP1884</f>
        <v>0</v>
      </c>
      <c r="AY1884" s="58" t="s">
        <v>1875</v>
      </c>
      <c r="AZ1884" s="58" t="s">
        <v>3185</v>
      </c>
      <c r="BA1884" s="34" t="s">
        <v>2634</v>
      </c>
      <c r="BC1884" s="55">
        <f>AW1884+AX1884</f>
        <v>0</v>
      </c>
      <c r="BD1884" s="55">
        <f>H1884/(100-BE1884)*100</f>
        <v>0</v>
      </c>
      <c r="BE1884" s="55">
        <v>0</v>
      </c>
      <c r="BF1884" s="55">
        <f>K1884</f>
        <v>0.00181</v>
      </c>
      <c r="BH1884" s="55">
        <f>G1884*AO1884</f>
        <v>0</v>
      </c>
      <c r="BI1884" s="55">
        <f>G1884*AP1884</f>
        <v>0</v>
      </c>
      <c r="BJ1884" s="55">
        <f>G1884*H1884</f>
        <v>0</v>
      </c>
      <c r="BK1884" s="55"/>
      <c r="BL1884" s="55">
        <v>764</v>
      </c>
      <c r="BW1884" s="55">
        <v>21</v>
      </c>
    </row>
    <row r="1885" spans="1:12" ht="13.5" customHeight="1">
      <c r="A1885" s="59"/>
      <c r="D1885" s="218" t="s">
        <v>3515</v>
      </c>
      <c r="E1885" s="219"/>
      <c r="F1885" s="219"/>
      <c r="G1885" s="219"/>
      <c r="H1885" s="220"/>
      <c r="I1885" s="219"/>
      <c r="J1885" s="219"/>
      <c r="K1885" s="219"/>
      <c r="L1885" s="221"/>
    </row>
    <row r="1886" spans="1:12" ht="14.4">
      <c r="A1886" s="76"/>
      <c r="D1886" s="77" t="s">
        <v>120</v>
      </c>
      <c r="E1886" s="77" t="s">
        <v>4</v>
      </c>
      <c r="G1886" s="78">
        <v>1</v>
      </c>
      <c r="L1886" s="79"/>
    </row>
    <row r="1887" spans="1:75" ht="13.5" customHeight="1">
      <c r="A1887" s="80" t="s">
        <v>3516</v>
      </c>
      <c r="B1887" s="81" t="s">
        <v>2629</v>
      </c>
      <c r="C1887" s="81" t="s">
        <v>3517</v>
      </c>
      <c r="D1887" s="226" t="s">
        <v>3518</v>
      </c>
      <c r="E1887" s="227"/>
      <c r="F1887" s="81" t="s">
        <v>374</v>
      </c>
      <c r="G1887" s="82">
        <v>37</v>
      </c>
      <c r="H1887" s="83">
        <v>0</v>
      </c>
      <c r="I1887" s="82">
        <f>G1887*H1887</f>
        <v>0</v>
      </c>
      <c r="J1887" s="82">
        <v>0.0025</v>
      </c>
      <c r="K1887" s="82">
        <f>G1887*J1887</f>
        <v>0.0925</v>
      </c>
      <c r="L1887" s="84" t="s">
        <v>124</v>
      </c>
      <c r="Z1887" s="55">
        <f>IF(AQ1887="5",BJ1887,0)</f>
        <v>0</v>
      </c>
      <c r="AB1887" s="55">
        <f>IF(AQ1887="1",BH1887,0)</f>
        <v>0</v>
      </c>
      <c r="AC1887" s="55">
        <f>IF(AQ1887="1",BI1887,0)</f>
        <v>0</v>
      </c>
      <c r="AD1887" s="55">
        <f>IF(AQ1887="7",BH1887,0)</f>
        <v>0</v>
      </c>
      <c r="AE1887" s="55">
        <f>IF(AQ1887="7",BI1887,0)</f>
        <v>0</v>
      </c>
      <c r="AF1887" s="55">
        <f>IF(AQ1887="2",BH1887,0)</f>
        <v>0</v>
      </c>
      <c r="AG1887" s="55">
        <f>IF(AQ1887="2",BI1887,0)</f>
        <v>0</v>
      </c>
      <c r="AH1887" s="55">
        <f>IF(AQ1887="0",BJ1887,0)</f>
        <v>0</v>
      </c>
      <c r="AI1887" s="34" t="s">
        <v>2629</v>
      </c>
      <c r="AJ1887" s="55">
        <f>IF(AN1887=0,I1887,0)</f>
        <v>0</v>
      </c>
      <c r="AK1887" s="55">
        <f>IF(AN1887=12,I1887,0)</f>
        <v>0</v>
      </c>
      <c r="AL1887" s="55">
        <f>IF(AN1887=21,I1887,0)</f>
        <v>0</v>
      </c>
      <c r="AN1887" s="55">
        <v>21</v>
      </c>
      <c r="AO1887" s="55">
        <f>H1887*0.990190255</f>
        <v>0</v>
      </c>
      <c r="AP1887" s="55">
        <f>H1887*(1-0.990190255)</f>
        <v>0</v>
      </c>
      <c r="AQ1887" s="58" t="s">
        <v>125</v>
      </c>
      <c r="AV1887" s="55">
        <f>AW1887+AX1887</f>
        <v>0</v>
      </c>
      <c r="AW1887" s="55">
        <f>G1887*AO1887</f>
        <v>0</v>
      </c>
      <c r="AX1887" s="55">
        <f>G1887*AP1887</f>
        <v>0</v>
      </c>
      <c r="AY1887" s="58" t="s">
        <v>1875</v>
      </c>
      <c r="AZ1887" s="58" t="s">
        <v>3185</v>
      </c>
      <c r="BA1887" s="34" t="s">
        <v>2634</v>
      </c>
      <c r="BC1887" s="55">
        <f>AW1887+AX1887</f>
        <v>0</v>
      </c>
      <c r="BD1887" s="55">
        <f>H1887/(100-BE1887)*100</f>
        <v>0</v>
      </c>
      <c r="BE1887" s="55">
        <v>0</v>
      </c>
      <c r="BF1887" s="55">
        <f>K1887</f>
        <v>0.0925</v>
      </c>
      <c r="BH1887" s="55">
        <f>G1887*AO1887</f>
        <v>0</v>
      </c>
      <c r="BI1887" s="55">
        <f>G1887*AP1887</f>
        <v>0</v>
      </c>
      <c r="BJ1887" s="55">
        <f>G1887*H1887</f>
        <v>0</v>
      </c>
      <c r="BK1887" s="55"/>
      <c r="BL1887" s="55">
        <v>764</v>
      </c>
      <c r="BW1887" s="55">
        <v>21</v>
      </c>
    </row>
    <row r="1888" spans="1:12" ht="13.5" customHeight="1">
      <c r="A1888" s="85"/>
      <c r="D1888" s="228" t="s">
        <v>3519</v>
      </c>
      <c r="E1888" s="229"/>
      <c r="F1888" s="229"/>
      <c r="G1888" s="229"/>
      <c r="H1888" s="230"/>
      <c r="I1888" s="229"/>
      <c r="J1888" s="229"/>
      <c r="K1888" s="229"/>
      <c r="L1888" s="231"/>
    </row>
    <row r="1889" spans="1:12" ht="14.4">
      <c r="A1889" s="86"/>
      <c r="B1889" s="87"/>
      <c r="C1889" s="87"/>
      <c r="D1889" s="88" t="s">
        <v>235</v>
      </c>
      <c r="E1889" s="88" t="s">
        <v>4</v>
      </c>
      <c r="F1889" s="87"/>
      <c r="G1889" s="89">
        <v>37</v>
      </c>
      <c r="H1889" s="90"/>
      <c r="I1889" s="87"/>
      <c r="J1889" s="87"/>
      <c r="K1889" s="87"/>
      <c r="L1889" s="91"/>
    </row>
    <row r="1890" spans="1:75" ht="13.5" customHeight="1">
      <c r="A1890" s="97" t="s">
        <v>3520</v>
      </c>
      <c r="B1890" s="98" t="s">
        <v>2629</v>
      </c>
      <c r="C1890" s="98" t="s">
        <v>3487</v>
      </c>
      <c r="D1890" s="234" t="s">
        <v>3521</v>
      </c>
      <c r="E1890" s="235"/>
      <c r="F1890" s="98" t="s">
        <v>123</v>
      </c>
      <c r="G1890" s="99">
        <v>157</v>
      </c>
      <c r="H1890" s="100">
        <v>0</v>
      </c>
      <c r="I1890" s="99">
        <f>G1890*H1890</f>
        <v>0</v>
      </c>
      <c r="J1890" s="99">
        <v>0.0015</v>
      </c>
      <c r="K1890" s="99">
        <f>G1890*J1890</f>
        <v>0.23550000000000001</v>
      </c>
      <c r="L1890" s="101" t="s">
        <v>124</v>
      </c>
      <c r="Z1890" s="55">
        <f>IF(AQ1890="5",BJ1890,0)</f>
        <v>0</v>
      </c>
      <c r="AB1890" s="55">
        <f>IF(AQ1890="1",BH1890,0)</f>
        <v>0</v>
      </c>
      <c r="AC1890" s="55">
        <f>IF(AQ1890="1",BI1890,0)</f>
        <v>0</v>
      </c>
      <c r="AD1890" s="55">
        <f>IF(AQ1890="7",BH1890,0)</f>
        <v>0</v>
      </c>
      <c r="AE1890" s="55">
        <f>IF(AQ1890="7",BI1890,0)</f>
        <v>0</v>
      </c>
      <c r="AF1890" s="55">
        <f>IF(AQ1890="2",BH1890,0)</f>
        <v>0</v>
      </c>
      <c r="AG1890" s="55">
        <f>IF(AQ1890="2",BI1890,0)</f>
        <v>0</v>
      </c>
      <c r="AH1890" s="55">
        <f>IF(AQ1890="0",BJ1890,0)</f>
        <v>0</v>
      </c>
      <c r="AI1890" s="34" t="s">
        <v>2629</v>
      </c>
      <c r="AJ1890" s="55">
        <f>IF(AN1890=0,I1890,0)</f>
        <v>0</v>
      </c>
      <c r="AK1890" s="55">
        <f>IF(AN1890=12,I1890,0)</f>
        <v>0</v>
      </c>
      <c r="AL1890" s="55">
        <f>IF(AN1890=21,I1890,0)</f>
        <v>0</v>
      </c>
      <c r="AN1890" s="55">
        <v>21</v>
      </c>
      <c r="AO1890" s="55">
        <f>H1890*0.875259875</f>
        <v>0</v>
      </c>
      <c r="AP1890" s="55">
        <f>H1890*(1-0.875259875)</f>
        <v>0</v>
      </c>
      <c r="AQ1890" s="58" t="s">
        <v>125</v>
      </c>
      <c r="AV1890" s="55">
        <f>AW1890+AX1890</f>
        <v>0</v>
      </c>
      <c r="AW1890" s="55">
        <f>G1890*AO1890</f>
        <v>0</v>
      </c>
      <c r="AX1890" s="55">
        <f>G1890*AP1890</f>
        <v>0</v>
      </c>
      <c r="AY1890" s="58" t="s">
        <v>1875</v>
      </c>
      <c r="AZ1890" s="58" t="s">
        <v>3185</v>
      </c>
      <c r="BA1890" s="34" t="s">
        <v>2634</v>
      </c>
      <c r="BC1890" s="55">
        <f>AW1890+AX1890</f>
        <v>0</v>
      </c>
      <c r="BD1890" s="55">
        <f>H1890/(100-BE1890)*100</f>
        <v>0</v>
      </c>
      <c r="BE1890" s="55">
        <v>0</v>
      </c>
      <c r="BF1890" s="55">
        <f>K1890</f>
        <v>0.23550000000000001</v>
      </c>
      <c r="BH1890" s="55">
        <f>G1890*AO1890</f>
        <v>0</v>
      </c>
      <c r="BI1890" s="55">
        <f>G1890*AP1890</f>
        <v>0</v>
      </c>
      <c r="BJ1890" s="55">
        <f>G1890*H1890</f>
        <v>0</v>
      </c>
      <c r="BK1890" s="55"/>
      <c r="BL1890" s="55">
        <v>764</v>
      </c>
      <c r="BW1890" s="55">
        <v>21</v>
      </c>
    </row>
    <row r="1891" spans="1:12" ht="13.5" customHeight="1">
      <c r="A1891" s="85"/>
      <c r="D1891" s="228" t="s">
        <v>3522</v>
      </c>
      <c r="E1891" s="229"/>
      <c r="F1891" s="229"/>
      <c r="G1891" s="229"/>
      <c r="H1891" s="230"/>
      <c r="I1891" s="229"/>
      <c r="J1891" s="229"/>
      <c r="K1891" s="229"/>
      <c r="L1891" s="231"/>
    </row>
    <row r="1892" spans="1:12" ht="14.4">
      <c r="A1892" s="86"/>
      <c r="B1892" s="87"/>
      <c r="C1892" s="87"/>
      <c r="D1892" s="88" t="s">
        <v>622</v>
      </c>
      <c r="E1892" s="88" t="s">
        <v>4</v>
      </c>
      <c r="F1892" s="87"/>
      <c r="G1892" s="89">
        <v>157</v>
      </c>
      <c r="H1892" s="90"/>
      <c r="I1892" s="87"/>
      <c r="J1892" s="87"/>
      <c r="K1892" s="87"/>
      <c r="L1892" s="91"/>
    </row>
    <row r="1893" spans="1:75" ht="13.5" customHeight="1">
      <c r="A1893" s="92" t="s">
        <v>3523</v>
      </c>
      <c r="B1893" s="93" t="s">
        <v>2629</v>
      </c>
      <c r="C1893" s="93" t="s">
        <v>3490</v>
      </c>
      <c r="D1893" s="232" t="s">
        <v>3524</v>
      </c>
      <c r="E1893" s="233"/>
      <c r="F1893" s="93" t="s">
        <v>123</v>
      </c>
      <c r="G1893" s="94">
        <v>111</v>
      </c>
      <c r="H1893" s="95">
        <v>0</v>
      </c>
      <c r="I1893" s="94">
        <f>G1893*H1893</f>
        <v>0</v>
      </c>
      <c r="J1893" s="94">
        <v>0.0015</v>
      </c>
      <c r="K1893" s="94">
        <f>G1893*J1893</f>
        <v>0.1665</v>
      </c>
      <c r="L1893" s="96" t="s">
        <v>124</v>
      </c>
      <c r="Z1893" s="55">
        <f>IF(AQ1893="5",BJ1893,0)</f>
        <v>0</v>
      </c>
      <c r="AB1893" s="55">
        <f>IF(AQ1893="1",BH1893,0)</f>
        <v>0</v>
      </c>
      <c r="AC1893" s="55">
        <f>IF(AQ1893="1",BI1893,0)</f>
        <v>0</v>
      </c>
      <c r="AD1893" s="55">
        <f>IF(AQ1893="7",BH1893,0)</f>
        <v>0</v>
      </c>
      <c r="AE1893" s="55">
        <f>IF(AQ1893="7",BI1893,0)</f>
        <v>0</v>
      </c>
      <c r="AF1893" s="55">
        <f>IF(AQ1893="2",BH1893,0)</f>
        <v>0</v>
      </c>
      <c r="AG1893" s="55">
        <f>IF(AQ1893="2",BI1893,0)</f>
        <v>0</v>
      </c>
      <c r="AH1893" s="55">
        <f>IF(AQ1893="0",BJ1893,0)</f>
        <v>0</v>
      </c>
      <c r="AI1893" s="34" t="s">
        <v>2629</v>
      </c>
      <c r="AJ1893" s="55">
        <f>IF(AN1893=0,I1893,0)</f>
        <v>0</v>
      </c>
      <c r="AK1893" s="55">
        <f>IF(AN1893=12,I1893,0)</f>
        <v>0</v>
      </c>
      <c r="AL1893" s="55">
        <f>IF(AN1893=21,I1893,0)</f>
        <v>0</v>
      </c>
      <c r="AN1893" s="55">
        <v>21</v>
      </c>
      <c r="AO1893" s="55">
        <f>H1893*0.8125</f>
        <v>0</v>
      </c>
      <c r="AP1893" s="55">
        <f>H1893*(1-0.8125)</f>
        <v>0</v>
      </c>
      <c r="AQ1893" s="58" t="s">
        <v>125</v>
      </c>
      <c r="AV1893" s="55">
        <f>AW1893+AX1893</f>
        <v>0</v>
      </c>
      <c r="AW1893" s="55">
        <f>G1893*AO1893</f>
        <v>0</v>
      </c>
      <c r="AX1893" s="55">
        <f>G1893*AP1893</f>
        <v>0</v>
      </c>
      <c r="AY1893" s="58" t="s">
        <v>1875</v>
      </c>
      <c r="AZ1893" s="58" t="s">
        <v>3185</v>
      </c>
      <c r="BA1893" s="34" t="s">
        <v>2634</v>
      </c>
      <c r="BC1893" s="55">
        <f>AW1893+AX1893</f>
        <v>0</v>
      </c>
      <c r="BD1893" s="55">
        <f>H1893/(100-BE1893)*100</f>
        <v>0</v>
      </c>
      <c r="BE1893" s="55">
        <v>0</v>
      </c>
      <c r="BF1893" s="55">
        <f>K1893</f>
        <v>0.1665</v>
      </c>
      <c r="BH1893" s="55">
        <f>G1893*AO1893</f>
        <v>0</v>
      </c>
      <c r="BI1893" s="55">
        <f>G1893*AP1893</f>
        <v>0</v>
      </c>
      <c r="BJ1893" s="55">
        <f>G1893*H1893</f>
        <v>0</v>
      </c>
      <c r="BK1893" s="55"/>
      <c r="BL1893" s="55">
        <v>764</v>
      </c>
      <c r="BW1893" s="55">
        <v>21</v>
      </c>
    </row>
    <row r="1894" spans="1:12" ht="13.5" customHeight="1">
      <c r="A1894" s="59"/>
      <c r="D1894" s="218" t="s">
        <v>3525</v>
      </c>
      <c r="E1894" s="219"/>
      <c r="F1894" s="219"/>
      <c r="G1894" s="219"/>
      <c r="H1894" s="220"/>
      <c r="I1894" s="219"/>
      <c r="J1894" s="219"/>
      <c r="K1894" s="219"/>
      <c r="L1894" s="221"/>
    </row>
    <row r="1895" spans="1:12" ht="14.4">
      <c r="A1895" s="76"/>
      <c r="D1895" s="77" t="s">
        <v>478</v>
      </c>
      <c r="E1895" s="77" t="s">
        <v>4</v>
      </c>
      <c r="G1895" s="78">
        <v>111</v>
      </c>
      <c r="L1895" s="79"/>
    </row>
    <row r="1896" spans="1:75" ht="13.5" customHeight="1">
      <c r="A1896" s="80" t="s">
        <v>3526</v>
      </c>
      <c r="B1896" s="81" t="s">
        <v>2629</v>
      </c>
      <c r="C1896" s="81" t="s">
        <v>3493</v>
      </c>
      <c r="D1896" s="226" t="s">
        <v>3527</v>
      </c>
      <c r="E1896" s="227"/>
      <c r="F1896" s="81" t="s">
        <v>174</v>
      </c>
      <c r="G1896" s="82">
        <v>231.5</v>
      </c>
      <c r="H1896" s="83">
        <v>0</v>
      </c>
      <c r="I1896" s="82">
        <f>G1896*H1896</f>
        <v>0</v>
      </c>
      <c r="J1896" s="82">
        <v>0.005</v>
      </c>
      <c r="K1896" s="82">
        <f>G1896*J1896</f>
        <v>1.1575</v>
      </c>
      <c r="L1896" s="84" t="s">
        <v>124</v>
      </c>
      <c r="Z1896" s="55">
        <f>IF(AQ1896="5",BJ1896,0)</f>
        <v>0</v>
      </c>
      <c r="AB1896" s="55">
        <f>IF(AQ1896="1",BH1896,0)</f>
        <v>0</v>
      </c>
      <c r="AC1896" s="55">
        <f>IF(AQ1896="1",BI1896,0)</f>
        <v>0</v>
      </c>
      <c r="AD1896" s="55">
        <f>IF(AQ1896="7",BH1896,0)</f>
        <v>0</v>
      </c>
      <c r="AE1896" s="55">
        <f>IF(AQ1896="7",BI1896,0)</f>
        <v>0</v>
      </c>
      <c r="AF1896" s="55">
        <f>IF(AQ1896="2",BH1896,0)</f>
        <v>0</v>
      </c>
      <c r="AG1896" s="55">
        <f>IF(AQ1896="2",BI1896,0)</f>
        <v>0</v>
      </c>
      <c r="AH1896" s="55">
        <f>IF(AQ1896="0",BJ1896,0)</f>
        <v>0</v>
      </c>
      <c r="AI1896" s="34" t="s">
        <v>2629</v>
      </c>
      <c r="AJ1896" s="55">
        <f>IF(AN1896=0,I1896,0)</f>
        <v>0</v>
      </c>
      <c r="AK1896" s="55">
        <f>IF(AN1896=12,I1896,0)</f>
        <v>0</v>
      </c>
      <c r="AL1896" s="55">
        <f>IF(AN1896=21,I1896,0)</f>
        <v>0</v>
      </c>
      <c r="AN1896" s="55">
        <v>21</v>
      </c>
      <c r="AO1896" s="55">
        <f>H1896*0.764128286</f>
        <v>0</v>
      </c>
      <c r="AP1896" s="55">
        <f>H1896*(1-0.764128286)</f>
        <v>0</v>
      </c>
      <c r="AQ1896" s="58" t="s">
        <v>125</v>
      </c>
      <c r="AV1896" s="55">
        <f>AW1896+AX1896</f>
        <v>0</v>
      </c>
      <c r="AW1896" s="55">
        <f>G1896*AO1896</f>
        <v>0</v>
      </c>
      <c r="AX1896" s="55">
        <f>G1896*AP1896</f>
        <v>0</v>
      </c>
      <c r="AY1896" s="58" t="s">
        <v>1875</v>
      </c>
      <c r="AZ1896" s="58" t="s">
        <v>3185</v>
      </c>
      <c r="BA1896" s="34" t="s">
        <v>2634</v>
      </c>
      <c r="BC1896" s="55">
        <f>AW1896+AX1896</f>
        <v>0</v>
      </c>
      <c r="BD1896" s="55">
        <f>H1896/(100-BE1896)*100</f>
        <v>0</v>
      </c>
      <c r="BE1896" s="55">
        <v>0</v>
      </c>
      <c r="BF1896" s="55">
        <f>K1896</f>
        <v>1.1575</v>
      </c>
      <c r="BH1896" s="55">
        <f>G1896*AO1896</f>
        <v>0</v>
      </c>
      <c r="BI1896" s="55">
        <f>G1896*AP1896</f>
        <v>0</v>
      </c>
      <c r="BJ1896" s="55">
        <f>G1896*H1896</f>
        <v>0</v>
      </c>
      <c r="BK1896" s="55"/>
      <c r="BL1896" s="55">
        <v>764</v>
      </c>
      <c r="BW1896" s="55">
        <v>21</v>
      </c>
    </row>
    <row r="1897" spans="1:12" ht="13.5" customHeight="1">
      <c r="A1897" s="85"/>
      <c r="D1897" s="228" t="s">
        <v>3528</v>
      </c>
      <c r="E1897" s="229"/>
      <c r="F1897" s="229"/>
      <c r="G1897" s="229"/>
      <c r="H1897" s="230"/>
      <c r="I1897" s="229"/>
      <c r="J1897" s="229"/>
      <c r="K1897" s="229"/>
      <c r="L1897" s="231"/>
    </row>
    <row r="1898" spans="1:12" ht="14.4">
      <c r="A1898" s="86"/>
      <c r="B1898" s="87"/>
      <c r="C1898" s="87"/>
      <c r="D1898" s="88" t="s">
        <v>3529</v>
      </c>
      <c r="E1898" s="88" t="s">
        <v>3522</v>
      </c>
      <c r="F1898" s="87"/>
      <c r="G1898" s="89">
        <v>171.4</v>
      </c>
      <c r="H1898" s="90"/>
      <c r="I1898" s="87"/>
      <c r="J1898" s="87"/>
      <c r="K1898" s="87"/>
      <c r="L1898" s="91"/>
    </row>
    <row r="1899" spans="1:12" ht="14.4">
      <c r="A1899" s="102"/>
      <c r="B1899" s="103"/>
      <c r="C1899" s="103"/>
      <c r="D1899" s="104" t="s">
        <v>3530</v>
      </c>
      <c r="E1899" s="104" t="s">
        <v>3525</v>
      </c>
      <c r="F1899" s="103"/>
      <c r="G1899" s="105">
        <v>60.1</v>
      </c>
      <c r="H1899" s="106"/>
      <c r="I1899" s="103"/>
      <c r="J1899" s="103"/>
      <c r="K1899" s="103"/>
      <c r="L1899" s="107"/>
    </row>
    <row r="1900" spans="1:75" ht="13.5" customHeight="1">
      <c r="A1900" s="92" t="s">
        <v>3531</v>
      </c>
      <c r="B1900" s="93" t="s">
        <v>2629</v>
      </c>
      <c r="C1900" s="93" t="s">
        <v>3532</v>
      </c>
      <c r="D1900" s="232" t="s">
        <v>3533</v>
      </c>
      <c r="E1900" s="233"/>
      <c r="F1900" s="93" t="s">
        <v>729</v>
      </c>
      <c r="G1900" s="94">
        <v>1301.2</v>
      </c>
      <c r="H1900" s="95">
        <v>0</v>
      </c>
      <c r="I1900" s="94">
        <f>G1900*H1900</f>
        <v>0</v>
      </c>
      <c r="J1900" s="94">
        <v>0.0022</v>
      </c>
      <c r="K1900" s="94">
        <f>G1900*J1900</f>
        <v>2.8626400000000003</v>
      </c>
      <c r="L1900" s="96" t="s">
        <v>785</v>
      </c>
      <c r="Z1900" s="55">
        <f>IF(AQ1900="5",BJ1900,0)</f>
        <v>0</v>
      </c>
      <c r="AB1900" s="55">
        <f>IF(AQ1900="1",BH1900,0)</f>
        <v>0</v>
      </c>
      <c r="AC1900" s="55">
        <f>IF(AQ1900="1",BI1900,0)</f>
        <v>0</v>
      </c>
      <c r="AD1900" s="55">
        <f>IF(AQ1900="7",BH1900,0)</f>
        <v>0</v>
      </c>
      <c r="AE1900" s="55">
        <f>IF(AQ1900="7",BI1900,0)</f>
        <v>0</v>
      </c>
      <c r="AF1900" s="55">
        <f>IF(AQ1900="2",BH1900,0)</f>
        <v>0</v>
      </c>
      <c r="AG1900" s="55">
        <f>IF(AQ1900="2",BI1900,0)</f>
        <v>0</v>
      </c>
      <c r="AH1900" s="55">
        <f>IF(AQ1900="0",BJ1900,0)</f>
        <v>0</v>
      </c>
      <c r="AI1900" s="34" t="s">
        <v>2629</v>
      </c>
      <c r="AJ1900" s="55">
        <f>IF(AN1900=0,I1900,0)</f>
        <v>0</v>
      </c>
      <c r="AK1900" s="55">
        <f>IF(AN1900=12,I1900,0)</f>
        <v>0</v>
      </c>
      <c r="AL1900" s="55">
        <f>IF(AN1900=21,I1900,0)</f>
        <v>0</v>
      </c>
      <c r="AN1900" s="55">
        <v>21</v>
      </c>
      <c r="AO1900" s="55">
        <f>H1900*0</f>
        <v>0</v>
      </c>
      <c r="AP1900" s="55">
        <f>H1900*(1-0)</f>
        <v>0</v>
      </c>
      <c r="AQ1900" s="58" t="s">
        <v>125</v>
      </c>
      <c r="AV1900" s="55">
        <f>AW1900+AX1900</f>
        <v>0</v>
      </c>
      <c r="AW1900" s="55">
        <f>G1900*AO1900</f>
        <v>0</v>
      </c>
      <c r="AX1900" s="55">
        <f>G1900*AP1900</f>
        <v>0</v>
      </c>
      <c r="AY1900" s="58" t="s">
        <v>1875</v>
      </c>
      <c r="AZ1900" s="58" t="s">
        <v>3185</v>
      </c>
      <c r="BA1900" s="34" t="s">
        <v>2634</v>
      </c>
      <c r="BB1900" s="67">
        <v>100011</v>
      </c>
      <c r="BC1900" s="55">
        <f>AW1900+AX1900</f>
        <v>0</v>
      </c>
      <c r="BD1900" s="55">
        <f>H1900/(100-BE1900)*100</f>
        <v>0</v>
      </c>
      <c r="BE1900" s="55">
        <v>0</v>
      </c>
      <c r="BF1900" s="55">
        <f>K1900</f>
        <v>2.8626400000000003</v>
      </c>
      <c r="BH1900" s="55">
        <f>G1900*AO1900</f>
        <v>0</v>
      </c>
      <c r="BI1900" s="55">
        <f>G1900*AP1900</f>
        <v>0</v>
      </c>
      <c r="BJ1900" s="55">
        <f>G1900*H1900</f>
        <v>0</v>
      </c>
      <c r="BK1900" s="55"/>
      <c r="BL1900" s="55">
        <v>764</v>
      </c>
      <c r="BW1900" s="55">
        <v>21</v>
      </c>
    </row>
    <row r="1901" spans="1:12" ht="14.4">
      <c r="A1901" s="59"/>
      <c r="D1901" s="60" t="s">
        <v>3534</v>
      </c>
      <c r="E1901" s="60" t="s">
        <v>3535</v>
      </c>
      <c r="G1901" s="68">
        <v>1234.1</v>
      </c>
      <c r="L1901" s="69"/>
    </row>
    <row r="1902" spans="1:12" ht="14.4">
      <c r="A1902" s="59"/>
      <c r="D1902" s="60" t="s">
        <v>3536</v>
      </c>
      <c r="E1902" s="60" t="s">
        <v>3537</v>
      </c>
      <c r="G1902" s="68">
        <v>43.2</v>
      </c>
      <c r="L1902" s="69"/>
    </row>
    <row r="1903" spans="1:12" ht="14.4">
      <c r="A1903" s="59"/>
      <c r="D1903" s="60" t="s">
        <v>3538</v>
      </c>
      <c r="E1903" s="60" t="s">
        <v>3539</v>
      </c>
      <c r="G1903" s="68">
        <v>23.9</v>
      </c>
      <c r="L1903" s="69"/>
    </row>
    <row r="1904" spans="1:75" ht="13.5" customHeight="1">
      <c r="A1904" s="1" t="s">
        <v>3540</v>
      </c>
      <c r="B1904" s="2" t="s">
        <v>2629</v>
      </c>
      <c r="C1904" s="2" t="s">
        <v>3541</v>
      </c>
      <c r="D1904" s="147" t="s">
        <v>3542</v>
      </c>
      <c r="E1904" s="148"/>
      <c r="F1904" s="2" t="s">
        <v>174</v>
      </c>
      <c r="G1904" s="55">
        <v>256.2</v>
      </c>
      <c r="H1904" s="56">
        <v>0</v>
      </c>
      <c r="I1904" s="55">
        <f>G1904*H1904</f>
        <v>0</v>
      </c>
      <c r="J1904" s="55">
        <v>0.00384</v>
      </c>
      <c r="K1904" s="55">
        <f>G1904*J1904</f>
        <v>0.983808</v>
      </c>
      <c r="L1904" s="57" t="s">
        <v>785</v>
      </c>
      <c r="Z1904" s="55">
        <f>IF(AQ1904="5",BJ1904,0)</f>
        <v>0</v>
      </c>
      <c r="AB1904" s="55">
        <f>IF(AQ1904="1",BH1904,0)</f>
        <v>0</v>
      </c>
      <c r="AC1904" s="55">
        <f>IF(AQ1904="1",BI1904,0)</f>
        <v>0</v>
      </c>
      <c r="AD1904" s="55">
        <f>IF(AQ1904="7",BH1904,0)</f>
        <v>0</v>
      </c>
      <c r="AE1904" s="55">
        <f>IF(AQ1904="7",BI1904,0)</f>
        <v>0</v>
      </c>
      <c r="AF1904" s="55">
        <f>IF(AQ1904="2",BH1904,0)</f>
        <v>0</v>
      </c>
      <c r="AG1904" s="55">
        <f>IF(AQ1904="2",BI1904,0)</f>
        <v>0</v>
      </c>
      <c r="AH1904" s="55">
        <f>IF(AQ1904="0",BJ1904,0)</f>
        <v>0</v>
      </c>
      <c r="AI1904" s="34" t="s">
        <v>2629</v>
      </c>
      <c r="AJ1904" s="55">
        <f>IF(AN1904=0,I1904,0)</f>
        <v>0</v>
      </c>
      <c r="AK1904" s="55">
        <f>IF(AN1904=12,I1904,0)</f>
        <v>0</v>
      </c>
      <c r="AL1904" s="55">
        <f>IF(AN1904=21,I1904,0)</f>
        <v>0</v>
      </c>
      <c r="AN1904" s="55">
        <v>21</v>
      </c>
      <c r="AO1904" s="55">
        <f>H1904*0</f>
        <v>0</v>
      </c>
      <c r="AP1904" s="55">
        <f>H1904*(1-0)</f>
        <v>0</v>
      </c>
      <c r="AQ1904" s="58" t="s">
        <v>125</v>
      </c>
      <c r="AV1904" s="55">
        <f>AW1904+AX1904</f>
        <v>0</v>
      </c>
      <c r="AW1904" s="55">
        <f>G1904*AO1904</f>
        <v>0</v>
      </c>
      <c r="AX1904" s="55">
        <f>G1904*AP1904</f>
        <v>0</v>
      </c>
      <c r="AY1904" s="58" t="s">
        <v>1875</v>
      </c>
      <c r="AZ1904" s="58" t="s">
        <v>3185</v>
      </c>
      <c r="BA1904" s="34" t="s">
        <v>2634</v>
      </c>
      <c r="BB1904" s="67">
        <v>100011</v>
      </c>
      <c r="BC1904" s="55">
        <f>AW1904+AX1904</f>
        <v>0</v>
      </c>
      <c r="BD1904" s="55">
        <f>H1904/(100-BE1904)*100</f>
        <v>0</v>
      </c>
      <c r="BE1904" s="55">
        <v>0</v>
      </c>
      <c r="BF1904" s="55">
        <f>K1904</f>
        <v>0.983808</v>
      </c>
      <c r="BH1904" s="55">
        <f>G1904*AO1904</f>
        <v>0</v>
      </c>
      <c r="BI1904" s="55">
        <f>G1904*AP1904</f>
        <v>0</v>
      </c>
      <c r="BJ1904" s="55">
        <f>G1904*H1904</f>
        <v>0</v>
      </c>
      <c r="BK1904" s="55"/>
      <c r="BL1904" s="55">
        <v>764</v>
      </c>
      <c r="BW1904" s="55">
        <v>21</v>
      </c>
    </row>
    <row r="1905" spans="1:12" ht="14.4">
      <c r="A1905" s="59"/>
      <c r="D1905" s="60" t="s">
        <v>3543</v>
      </c>
      <c r="E1905" s="60" t="s">
        <v>4</v>
      </c>
      <c r="G1905" s="68">
        <v>256.2</v>
      </c>
      <c r="L1905" s="69"/>
    </row>
    <row r="1906" spans="1:75" ht="13.5" customHeight="1">
      <c r="A1906" s="1" t="s">
        <v>3544</v>
      </c>
      <c r="B1906" s="2" t="s">
        <v>2629</v>
      </c>
      <c r="C1906" s="2" t="s">
        <v>3545</v>
      </c>
      <c r="D1906" s="147" t="s">
        <v>3546</v>
      </c>
      <c r="E1906" s="148"/>
      <c r="F1906" s="2" t="s">
        <v>174</v>
      </c>
      <c r="G1906" s="55">
        <v>185.8</v>
      </c>
      <c r="H1906" s="56">
        <v>0</v>
      </c>
      <c r="I1906" s="55">
        <f>G1906*H1906</f>
        <v>0</v>
      </c>
      <c r="J1906" s="55">
        <v>0.00197</v>
      </c>
      <c r="K1906" s="55">
        <f>G1906*J1906</f>
        <v>0.366026</v>
      </c>
      <c r="L1906" s="57" t="s">
        <v>785</v>
      </c>
      <c r="Z1906" s="55">
        <f>IF(AQ1906="5",BJ1906,0)</f>
        <v>0</v>
      </c>
      <c r="AB1906" s="55">
        <f>IF(AQ1906="1",BH1906,0)</f>
        <v>0</v>
      </c>
      <c r="AC1906" s="55">
        <f>IF(AQ1906="1",BI1906,0)</f>
        <v>0</v>
      </c>
      <c r="AD1906" s="55">
        <f>IF(AQ1906="7",BH1906,0)</f>
        <v>0</v>
      </c>
      <c r="AE1906" s="55">
        <f>IF(AQ1906="7",BI1906,0)</f>
        <v>0</v>
      </c>
      <c r="AF1906" s="55">
        <f>IF(AQ1906="2",BH1906,0)</f>
        <v>0</v>
      </c>
      <c r="AG1906" s="55">
        <f>IF(AQ1906="2",BI1906,0)</f>
        <v>0</v>
      </c>
      <c r="AH1906" s="55">
        <f>IF(AQ1906="0",BJ1906,0)</f>
        <v>0</v>
      </c>
      <c r="AI1906" s="34" t="s">
        <v>2629</v>
      </c>
      <c r="AJ1906" s="55">
        <f>IF(AN1906=0,I1906,0)</f>
        <v>0</v>
      </c>
      <c r="AK1906" s="55">
        <f>IF(AN1906=12,I1906,0)</f>
        <v>0</v>
      </c>
      <c r="AL1906" s="55">
        <f>IF(AN1906=21,I1906,0)</f>
        <v>0</v>
      </c>
      <c r="AN1906" s="55">
        <v>21</v>
      </c>
      <c r="AO1906" s="55">
        <f>H1906*0</f>
        <v>0</v>
      </c>
      <c r="AP1906" s="55">
        <f>H1906*(1-0)</f>
        <v>0</v>
      </c>
      <c r="AQ1906" s="58" t="s">
        <v>125</v>
      </c>
      <c r="AV1906" s="55">
        <f>AW1906+AX1906</f>
        <v>0</v>
      </c>
      <c r="AW1906" s="55">
        <f>G1906*AO1906</f>
        <v>0</v>
      </c>
      <c r="AX1906" s="55">
        <f>G1906*AP1906</f>
        <v>0</v>
      </c>
      <c r="AY1906" s="58" t="s">
        <v>1875</v>
      </c>
      <c r="AZ1906" s="58" t="s">
        <v>3185</v>
      </c>
      <c r="BA1906" s="34" t="s">
        <v>2634</v>
      </c>
      <c r="BB1906" s="67">
        <v>100011</v>
      </c>
      <c r="BC1906" s="55">
        <f>AW1906+AX1906</f>
        <v>0</v>
      </c>
      <c r="BD1906" s="55">
        <f>H1906/(100-BE1906)*100</f>
        <v>0</v>
      </c>
      <c r="BE1906" s="55">
        <v>0</v>
      </c>
      <c r="BF1906" s="55">
        <f>K1906</f>
        <v>0.366026</v>
      </c>
      <c r="BH1906" s="55">
        <f>G1906*AO1906</f>
        <v>0</v>
      </c>
      <c r="BI1906" s="55">
        <f>G1906*AP1906</f>
        <v>0</v>
      </c>
      <c r="BJ1906" s="55">
        <f>G1906*H1906</f>
        <v>0</v>
      </c>
      <c r="BK1906" s="55"/>
      <c r="BL1906" s="55">
        <v>764</v>
      </c>
      <c r="BW1906" s="55">
        <v>21</v>
      </c>
    </row>
    <row r="1907" spans="1:12" ht="14.4">
      <c r="A1907" s="59"/>
      <c r="D1907" s="60" t="s">
        <v>3547</v>
      </c>
      <c r="E1907" s="60" t="s">
        <v>3548</v>
      </c>
      <c r="G1907" s="68">
        <v>57</v>
      </c>
      <c r="L1907" s="69"/>
    </row>
    <row r="1908" spans="1:12" ht="14.4">
      <c r="A1908" s="59"/>
      <c r="D1908" s="60" t="s">
        <v>3549</v>
      </c>
      <c r="E1908" s="60" t="s">
        <v>3550</v>
      </c>
      <c r="G1908" s="68">
        <v>83.8</v>
      </c>
      <c r="L1908" s="69"/>
    </row>
    <row r="1909" spans="1:12" ht="14.4">
      <c r="A1909" s="59"/>
      <c r="D1909" s="60" t="s">
        <v>3551</v>
      </c>
      <c r="E1909" s="60" t="s">
        <v>3552</v>
      </c>
      <c r="G1909" s="68">
        <v>45</v>
      </c>
      <c r="L1909" s="69"/>
    </row>
    <row r="1910" spans="1:75" ht="13.5" customHeight="1">
      <c r="A1910" s="1" t="s">
        <v>3553</v>
      </c>
      <c r="B1910" s="2" t="s">
        <v>2629</v>
      </c>
      <c r="C1910" s="2" t="s">
        <v>3554</v>
      </c>
      <c r="D1910" s="147" t="s">
        <v>3555</v>
      </c>
      <c r="E1910" s="148"/>
      <c r="F1910" s="2" t="s">
        <v>174</v>
      </c>
      <c r="G1910" s="55">
        <v>27.3</v>
      </c>
      <c r="H1910" s="56">
        <v>0</v>
      </c>
      <c r="I1910" s="55">
        <f>G1910*H1910</f>
        <v>0</v>
      </c>
      <c r="J1910" s="55">
        <v>0.00307</v>
      </c>
      <c r="K1910" s="55">
        <f>G1910*J1910</f>
        <v>0.083811</v>
      </c>
      <c r="L1910" s="57" t="s">
        <v>785</v>
      </c>
      <c r="Z1910" s="55">
        <f>IF(AQ1910="5",BJ1910,0)</f>
        <v>0</v>
      </c>
      <c r="AB1910" s="55">
        <f>IF(AQ1910="1",BH1910,0)</f>
        <v>0</v>
      </c>
      <c r="AC1910" s="55">
        <f>IF(AQ1910="1",BI1910,0)</f>
        <v>0</v>
      </c>
      <c r="AD1910" s="55">
        <f>IF(AQ1910="7",BH1910,0)</f>
        <v>0</v>
      </c>
      <c r="AE1910" s="55">
        <f>IF(AQ1910="7",BI1910,0)</f>
        <v>0</v>
      </c>
      <c r="AF1910" s="55">
        <f>IF(AQ1910="2",BH1910,0)</f>
        <v>0</v>
      </c>
      <c r="AG1910" s="55">
        <f>IF(AQ1910="2",BI1910,0)</f>
        <v>0</v>
      </c>
      <c r="AH1910" s="55">
        <f>IF(AQ1910="0",BJ1910,0)</f>
        <v>0</v>
      </c>
      <c r="AI1910" s="34" t="s">
        <v>2629</v>
      </c>
      <c r="AJ1910" s="55">
        <f>IF(AN1910=0,I1910,0)</f>
        <v>0</v>
      </c>
      <c r="AK1910" s="55">
        <f>IF(AN1910=12,I1910,0)</f>
        <v>0</v>
      </c>
      <c r="AL1910" s="55">
        <f>IF(AN1910=21,I1910,0)</f>
        <v>0</v>
      </c>
      <c r="AN1910" s="55">
        <v>21</v>
      </c>
      <c r="AO1910" s="55">
        <f>H1910*0</f>
        <v>0</v>
      </c>
      <c r="AP1910" s="55">
        <f>H1910*(1-0)</f>
        <v>0</v>
      </c>
      <c r="AQ1910" s="58" t="s">
        <v>125</v>
      </c>
      <c r="AV1910" s="55">
        <f>AW1910+AX1910</f>
        <v>0</v>
      </c>
      <c r="AW1910" s="55">
        <f>G1910*AO1910</f>
        <v>0</v>
      </c>
      <c r="AX1910" s="55">
        <f>G1910*AP1910</f>
        <v>0</v>
      </c>
      <c r="AY1910" s="58" t="s">
        <v>1875</v>
      </c>
      <c r="AZ1910" s="58" t="s">
        <v>3185</v>
      </c>
      <c r="BA1910" s="34" t="s">
        <v>2634</v>
      </c>
      <c r="BB1910" s="67">
        <v>100011</v>
      </c>
      <c r="BC1910" s="55">
        <f>AW1910+AX1910</f>
        <v>0</v>
      </c>
      <c r="BD1910" s="55">
        <f>H1910/(100-BE1910)*100</f>
        <v>0</v>
      </c>
      <c r="BE1910" s="55">
        <v>0</v>
      </c>
      <c r="BF1910" s="55">
        <f>K1910</f>
        <v>0.083811</v>
      </c>
      <c r="BH1910" s="55">
        <f>G1910*AO1910</f>
        <v>0</v>
      </c>
      <c r="BI1910" s="55">
        <f>G1910*AP1910</f>
        <v>0</v>
      </c>
      <c r="BJ1910" s="55">
        <f>G1910*H1910</f>
        <v>0</v>
      </c>
      <c r="BK1910" s="55"/>
      <c r="BL1910" s="55">
        <v>764</v>
      </c>
      <c r="BW1910" s="55">
        <v>21</v>
      </c>
    </row>
    <row r="1911" spans="1:12" ht="14.4">
      <c r="A1911" s="59"/>
      <c r="D1911" s="60" t="s">
        <v>3556</v>
      </c>
      <c r="E1911" s="60" t="s">
        <v>4</v>
      </c>
      <c r="G1911" s="68">
        <v>27.3</v>
      </c>
      <c r="L1911" s="69"/>
    </row>
    <row r="1912" spans="1:75" ht="13.5" customHeight="1">
      <c r="A1912" s="1" t="s">
        <v>3557</v>
      </c>
      <c r="B1912" s="2" t="s">
        <v>2629</v>
      </c>
      <c r="C1912" s="2" t="s">
        <v>3558</v>
      </c>
      <c r="D1912" s="147" t="s">
        <v>3559</v>
      </c>
      <c r="E1912" s="148"/>
      <c r="F1912" s="2" t="s">
        <v>374</v>
      </c>
      <c r="G1912" s="55">
        <v>119</v>
      </c>
      <c r="H1912" s="56">
        <v>0</v>
      </c>
      <c r="I1912" s="55">
        <f>G1912*H1912</f>
        <v>0</v>
      </c>
      <c r="J1912" s="55">
        <v>0.00416</v>
      </c>
      <c r="K1912" s="55">
        <f>G1912*J1912</f>
        <v>0.49504</v>
      </c>
      <c r="L1912" s="57" t="s">
        <v>785</v>
      </c>
      <c r="Z1912" s="55">
        <f>IF(AQ1912="5",BJ1912,0)</f>
        <v>0</v>
      </c>
      <c r="AB1912" s="55">
        <f>IF(AQ1912="1",BH1912,0)</f>
        <v>0</v>
      </c>
      <c r="AC1912" s="55">
        <f>IF(AQ1912="1",BI1912,0)</f>
        <v>0</v>
      </c>
      <c r="AD1912" s="55">
        <f>IF(AQ1912="7",BH1912,0)</f>
        <v>0</v>
      </c>
      <c r="AE1912" s="55">
        <f>IF(AQ1912="7",BI1912,0)</f>
        <v>0</v>
      </c>
      <c r="AF1912" s="55">
        <f>IF(AQ1912="2",BH1912,0)</f>
        <v>0</v>
      </c>
      <c r="AG1912" s="55">
        <f>IF(AQ1912="2",BI1912,0)</f>
        <v>0</v>
      </c>
      <c r="AH1912" s="55">
        <f>IF(AQ1912="0",BJ1912,0)</f>
        <v>0</v>
      </c>
      <c r="AI1912" s="34" t="s">
        <v>2629</v>
      </c>
      <c r="AJ1912" s="55">
        <f>IF(AN1912=0,I1912,0)</f>
        <v>0</v>
      </c>
      <c r="AK1912" s="55">
        <f>IF(AN1912=12,I1912,0)</f>
        <v>0</v>
      </c>
      <c r="AL1912" s="55">
        <f>IF(AN1912=21,I1912,0)</f>
        <v>0</v>
      </c>
      <c r="AN1912" s="55">
        <v>21</v>
      </c>
      <c r="AO1912" s="55">
        <f>H1912*0</f>
        <v>0</v>
      </c>
      <c r="AP1912" s="55">
        <f>H1912*(1-0)</f>
        <v>0</v>
      </c>
      <c r="AQ1912" s="58" t="s">
        <v>125</v>
      </c>
      <c r="AV1912" s="55">
        <f>AW1912+AX1912</f>
        <v>0</v>
      </c>
      <c r="AW1912" s="55">
        <f>G1912*AO1912</f>
        <v>0</v>
      </c>
      <c r="AX1912" s="55">
        <f>G1912*AP1912</f>
        <v>0</v>
      </c>
      <c r="AY1912" s="58" t="s">
        <v>1875</v>
      </c>
      <c r="AZ1912" s="58" t="s">
        <v>3185</v>
      </c>
      <c r="BA1912" s="34" t="s">
        <v>2634</v>
      </c>
      <c r="BB1912" s="67">
        <v>100011</v>
      </c>
      <c r="BC1912" s="55">
        <f>AW1912+AX1912</f>
        <v>0</v>
      </c>
      <c r="BD1912" s="55">
        <f>H1912/(100-BE1912)*100</f>
        <v>0</v>
      </c>
      <c r="BE1912" s="55">
        <v>0</v>
      </c>
      <c r="BF1912" s="55">
        <f>K1912</f>
        <v>0.49504</v>
      </c>
      <c r="BH1912" s="55">
        <f>G1912*AO1912</f>
        <v>0</v>
      </c>
      <c r="BI1912" s="55">
        <f>G1912*AP1912</f>
        <v>0</v>
      </c>
      <c r="BJ1912" s="55">
        <f>G1912*H1912</f>
        <v>0</v>
      </c>
      <c r="BK1912" s="55"/>
      <c r="BL1912" s="55">
        <v>764</v>
      </c>
      <c r="BW1912" s="55">
        <v>21</v>
      </c>
    </row>
    <row r="1913" spans="1:12" ht="14.4">
      <c r="A1913" s="59"/>
      <c r="D1913" s="60" t="s">
        <v>502</v>
      </c>
      <c r="E1913" s="60" t="s">
        <v>1709</v>
      </c>
      <c r="G1913" s="68">
        <v>119</v>
      </c>
      <c r="L1913" s="69"/>
    </row>
    <row r="1914" spans="1:75" ht="13.5" customHeight="1">
      <c r="A1914" s="1" t="s">
        <v>3560</v>
      </c>
      <c r="B1914" s="2" t="s">
        <v>2629</v>
      </c>
      <c r="C1914" s="2" t="s">
        <v>3561</v>
      </c>
      <c r="D1914" s="147" t="s">
        <v>3562</v>
      </c>
      <c r="E1914" s="148"/>
      <c r="F1914" s="2" t="s">
        <v>374</v>
      </c>
      <c r="G1914" s="55">
        <v>8</v>
      </c>
      <c r="H1914" s="56">
        <v>0</v>
      </c>
      <c r="I1914" s="55">
        <f>G1914*H1914</f>
        <v>0</v>
      </c>
      <c r="J1914" s="55">
        <v>0.00115</v>
      </c>
      <c r="K1914" s="55">
        <f>G1914*J1914</f>
        <v>0.0092</v>
      </c>
      <c r="L1914" s="57" t="s">
        <v>785</v>
      </c>
      <c r="Z1914" s="55">
        <f>IF(AQ1914="5",BJ1914,0)</f>
        <v>0</v>
      </c>
      <c r="AB1914" s="55">
        <f>IF(AQ1914="1",BH1914,0)</f>
        <v>0</v>
      </c>
      <c r="AC1914" s="55">
        <f>IF(AQ1914="1",BI1914,0)</f>
        <v>0</v>
      </c>
      <c r="AD1914" s="55">
        <f>IF(AQ1914="7",BH1914,0)</f>
        <v>0</v>
      </c>
      <c r="AE1914" s="55">
        <f>IF(AQ1914="7",BI1914,0)</f>
        <v>0</v>
      </c>
      <c r="AF1914" s="55">
        <f>IF(AQ1914="2",BH1914,0)</f>
        <v>0</v>
      </c>
      <c r="AG1914" s="55">
        <f>IF(AQ1914="2",BI1914,0)</f>
        <v>0</v>
      </c>
      <c r="AH1914" s="55">
        <f>IF(AQ1914="0",BJ1914,0)</f>
        <v>0</v>
      </c>
      <c r="AI1914" s="34" t="s">
        <v>2629</v>
      </c>
      <c r="AJ1914" s="55">
        <f>IF(AN1914=0,I1914,0)</f>
        <v>0</v>
      </c>
      <c r="AK1914" s="55">
        <f>IF(AN1914=12,I1914,0)</f>
        <v>0</v>
      </c>
      <c r="AL1914" s="55">
        <f>IF(AN1914=21,I1914,0)</f>
        <v>0</v>
      </c>
      <c r="AN1914" s="55">
        <v>21</v>
      </c>
      <c r="AO1914" s="55">
        <f>H1914*0</f>
        <v>0</v>
      </c>
      <c r="AP1914" s="55">
        <f>H1914*(1-0)</f>
        <v>0</v>
      </c>
      <c r="AQ1914" s="58" t="s">
        <v>125</v>
      </c>
      <c r="AV1914" s="55">
        <f>AW1914+AX1914</f>
        <v>0</v>
      </c>
      <c r="AW1914" s="55">
        <f>G1914*AO1914</f>
        <v>0</v>
      </c>
      <c r="AX1914" s="55">
        <f>G1914*AP1914</f>
        <v>0</v>
      </c>
      <c r="AY1914" s="58" t="s">
        <v>1875</v>
      </c>
      <c r="AZ1914" s="58" t="s">
        <v>3185</v>
      </c>
      <c r="BA1914" s="34" t="s">
        <v>2634</v>
      </c>
      <c r="BB1914" s="67">
        <v>100011</v>
      </c>
      <c r="BC1914" s="55">
        <f>AW1914+AX1914</f>
        <v>0</v>
      </c>
      <c r="BD1914" s="55">
        <f>H1914/(100-BE1914)*100</f>
        <v>0</v>
      </c>
      <c r="BE1914" s="55">
        <v>0</v>
      </c>
      <c r="BF1914" s="55">
        <f>K1914</f>
        <v>0.0092</v>
      </c>
      <c r="BH1914" s="55">
        <f>G1914*AO1914</f>
        <v>0</v>
      </c>
      <c r="BI1914" s="55">
        <f>G1914*AP1914</f>
        <v>0</v>
      </c>
      <c r="BJ1914" s="55">
        <f>G1914*H1914</f>
        <v>0</v>
      </c>
      <c r="BK1914" s="55"/>
      <c r="BL1914" s="55">
        <v>764</v>
      </c>
      <c r="BW1914" s="55">
        <v>21</v>
      </c>
    </row>
    <row r="1915" spans="1:12" ht="14.4">
      <c r="A1915" s="59"/>
      <c r="D1915" s="60" t="s">
        <v>147</v>
      </c>
      <c r="E1915" s="60" t="s">
        <v>4</v>
      </c>
      <c r="G1915" s="68">
        <v>8</v>
      </c>
      <c r="L1915" s="69"/>
    </row>
    <row r="1916" spans="1:75" ht="13.5" customHeight="1">
      <c r="A1916" s="1" t="s">
        <v>3563</v>
      </c>
      <c r="B1916" s="2" t="s">
        <v>2629</v>
      </c>
      <c r="C1916" s="2" t="s">
        <v>3564</v>
      </c>
      <c r="D1916" s="147" t="s">
        <v>3565</v>
      </c>
      <c r="E1916" s="148"/>
      <c r="F1916" s="2" t="s">
        <v>174</v>
      </c>
      <c r="G1916" s="55">
        <v>128.5</v>
      </c>
      <c r="H1916" s="56">
        <v>0</v>
      </c>
      <c r="I1916" s="55">
        <f>G1916*H1916</f>
        <v>0</v>
      </c>
      <c r="J1916" s="55">
        <v>0.00432</v>
      </c>
      <c r="K1916" s="55">
        <f>G1916*J1916</f>
        <v>0.5551200000000001</v>
      </c>
      <c r="L1916" s="57" t="s">
        <v>785</v>
      </c>
      <c r="Z1916" s="55">
        <f>IF(AQ1916="5",BJ1916,0)</f>
        <v>0</v>
      </c>
      <c r="AB1916" s="55">
        <f>IF(AQ1916="1",BH1916,0)</f>
        <v>0</v>
      </c>
      <c r="AC1916" s="55">
        <f>IF(AQ1916="1",BI1916,0)</f>
        <v>0</v>
      </c>
      <c r="AD1916" s="55">
        <f>IF(AQ1916="7",BH1916,0)</f>
        <v>0</v>
      </c>
      <c r="AE1916" s="55">
        <f>IF(AQ1916="7",BI1916,0)</f>
        <v>0</v>
      </c>
      <c r="AF1916" s="55">
        <f>IF(AQ1916="2",BH1916,0)</f>
        <v>0</v>
      </c>
      <c r="AG1916" s="55">
        <f>IF(AQ1916="2",BI1916,0)</f>
        <v>0</v>
      </c>
      <c r="AH1916" s="55">
        <f>IF(AQ1916="0",BJ1916,0)</f>
        <v>0</v>
      </c>
      <c r="AI1916" s="34" t="s">
        <v>2629</v>
      </c>
      <c r="AJ1916" s="55">
        <f>IF(AN1916=0,I1916,0)</f>
        <v>0</v>
      </c>
      <c r="AK1916" s="55">
        <f>IF(AN1916=12,I1916,0)</f>
        <v>0</v>
      </c>
      <c r="AL1916" s="55">
        <f>IF(AN1916=21,I1916,0)</f>
        <v>0</v>
      </c>
      <c r="AN1916" s="55">
        <v>21</v>
      </c>
      <c r="AO1916" s="55">
        <f>H1916*0</f>
        <v>0</v>
      </c>
      <c r="AP1916" s="55">
        <f>H1916*(1-0)</f>
        <v>0</v>
      </c>
      <c r="AQ1916" s="58" t="s">
        <v>125</v>
      </c>
      <c r="AV1916" s="55">
        <f>AW1916+AX1916</f>
        <v>0</v>
      </c>
      <c r="AW1916" s="55">
        <f>G1916*AO1916</f>
        <v>0</v>
      </c>
      <c r="AX1916" s="55">
        <f>G1916*AP1916</f>
        <v>0</v>
      </c>
      <c r="AY1916" s="58" t="s">
        <v>1875</v>
      </c>
      <c r="AZ1916" s="58" t="s">
        <v>3185</v>
      </c>
      <c r="BA1916" s="34" t="s">
        <v>2634</v>
      </c>
      <c r="BB1916" s="67">
        <v>100011</v>
      </c>
      <c r="BC1916" s="55">
        <f>AW1916+AX1916</f>
        <v>0</v>
      </c>
      <c r="BD1916" s="55">
        <f>H1916/(100-BE1916)*100</f>
        <v>0</v>
      </c>
      <c r="BE1916" s="55">
        <v>0</v>
      </c>
      <c r="BF1916" s="55">
        <f>K1916</f>
        <v>0.5551200000000001</v>
      </c>
      <c r="BH1916" s="55">
        <f>G1916*AO1916</f>
        <v>0</v>
      </c>
      <c r="BI1916" s="55">
        <f>G1916*AP1916</f>
        <v>0</v>
      </c>
      <c r="BJ1916" s="55">
        <f>G1916*H1916</f>
        <v>0</v>
      </c>
      <c r="BK1916" s="55"/>
      <c r="BL1916" s="55">
        <v>764</v>
      </c>
      <c r="BW1916" s="55">
        <v>21</v>
      </c>
    </row>
    <row r="1917" spans="1:12" ht="14.4">
      <c r="A1917" s="59"/>
      <c r="D1917" s="60" t="s">
        <v>3566</v>
      </c>
      <c r="E1917" s="60" t="s">
        <v>4</v>
      </c>
      <c r="G1917" s="68">
        <v>128.5</v>
      </c>
      <c r="L1917" s="69"/>
    </row>
    <row r="1918" spans="1:75" ht="13.5" customHeight="1">
      <c r="A1918" s="1" t="s">
        <v>3567</v>
      </c>
      <c r="B1918" s="2" t="s">
        <v>2629</v>
      </c>
      <c r="C1918" s="2" t="s">
        <v>3568</v>
      </c>
      <c r="D1918" s="147" t="s">
        <v>3569</v>
      </c>
      <c r="E1918" s="148"/>
      <c r="F1918" s="2" t="s">
        <v>174</v>
      </c>
      <c r="G1918" s="55">
        <v>198</v>
      </c>
      <c r="H1918" s="56">
        <v>0</v>
      </c>
      <c r="I1918" s="55">
        <f>G1918*H1918</f>
        <v>0</v>
      </c>
      <c r="J1918" s="55">
        <v>0.00445</v>
      </c>
      <c r="K1918" s="55">
        <f>G1918*J1918</f>
        <v>0.8811</v>
      </c>
      <c r="L1918" s="57" t="s">
        <v>785</v>
      </c>
      <c r="Z1918" s="55">
        <f>IF(AQ1918="5",BJ1918,0)</f>
        <v>0</v>
      </c>
      <c r="AB1918" s="55">
        <f>IF(AQ1918="1",BH1918,0)</f>
        <v>0</v>
      </c>
      <c r="AC1918" s="55">
        <f>IF(AQ1918="1",BI1918,0)</f>
        <v>0</v>
      </c>
      <c r="AD1918" s="55">
        <f>IF(AQ1918="7",BH1918,0)</f>
        <v>0</v>
      </c>
      <c r="AE1918" s="55">
        <f>IF(AQ1918="7",BI1918,0)</f>
        <v>0</v>
      </c>
      <c r="AF1918" s="55">
        <f>IF(AQ1918="2",BH1918,0)</f>
        <v>0</v>
      </c>
      <c r="AG1918" s="55">
        <f>IF(AQ1918="2",BI1918,0)</f>
        <v>0</v>
      </c>
      <c r="AH1918" s="55">
        <f>IF(AQ1918="0",BJ1918,0)</f>
        <v>0</v>
      </c>
      <c r="AI1918" s="34" t="s">
        <v>2629</v>
      </c>
      <c r="AJ1918" s="55">
        <f>IF(AN1918=0,I1918,0)</f>
        <v>0</v>
      </c>
      <c r="AK1918" s="55">
        <f>IF(AN1918=12,I1918,0)</f>
        <v>0</v>
      </c>
      <c r="AL1918" s="55">
        <f>IF(AN1918=21,I1918,0)</f>
        <v>0</v>
      </c>
      <c r="AN1918" s="55">
        <v>21</v>
      </c>
      <c r="AO1918" s="55">
        <f>H1918*0</f>
        <v>0</v>
      </c>
      <c r="AP1918" s="55">
        <f>H1918*(1-0)</f>
        <v>0</v>
      </c>
      <c r="AQ1918" s="58" t="s">
        <v>125</v>
      </c>
      <c r="AV1918" s="55">
        <f>AW1918+AX1918</f>
        <v>0</v>
      </c>
      <c r="AW1918" s="55">
        <f>G1918*AO1918</f>
        <v>0</v>
      </c>
      <c r="AX1918" s="55">
        <f>G1918*AP1918</f>
        <v>0</v>
      </c>
      <c r="AY1918" s="58" t="s">
        <v>1875</v>
      </c>
      <c r="AZ1918" s="58" t="s">
        <v>3185</v>
      </c>
      <c r="BA1918" s="34" t="s">
        <v>2634</v>
      </c>
      <c r="BB1918" s="67">
        <v>100011</v>
      </c>
      <c r="BC1918" s="55">
        <f>AW1918+AX1918</f>
        <v>0</v>
      </c>
      <c r="BD1918" s="55">
        <f>H1918/(100-BE1918)*100</f>
        <v>0</v>
      </c>
      <c r="BE1918" s="55">
        <v>0</v>
      </c>
      <c r="BF1918" s="55">
        <f>K1918</f>
        <v>0.8811</v>
      </c>
      <c r="BH1918" s="55">
        <f>G1918*AO1918</f>
        <v>0</v>
      </c>
      <c r="BI1918" s="55">
        <f>G1918*AP1918</f>
        <v>0</v>
      </c>
      <c r="BJ1918" s="55">
        <f>G1918*H1918</f>
        <v>0</v>
      </c>
      <c r="BK1918" s="55"/>
      <c r="BL1918" s="55">
        <v>764</v>
      </c>
      <c r="BW1918" s="55">
        <v>21</v>
      </c>
    </row>
    <row r="1919" spans="1:12" ht="14.4">
      <c r="A1919" s="59"/>
      <c r="D1919" s="60" t="s">
        <v>749</v>
      </c>
      <c r="E1919" s="60" t="s">
        <v>4</v>
      </c>
      <c r="G1919" s="68">
        <v>198</v>
      </c>
      <c r="L1919" s="69"/>
    </row>
    <row r="1920" spans="1:75" ht="13.5" customHeight="1">
      <c r="A1920" s="1" t="s">
        <v>3570</v>
      </c>
      <c r="B1920" s="2" t="s">
        <v>2629</v>
      </c>
      <c r="C1920" s="2" t="s">
        <v>3571</v>
      </c>
      <c r="D1920" s="147" t="s">
        <v>3572</v>
      </c>
      <c r="E1920" s="148"/>
      <c r="F1920" s="2" t="s">
        <v>374</v>
      </c>
      <c r="G1920" s="55">
        <v>198</v>
      </c>
      <c r="H1920" s="56">
        <v>0</v>
      </c>
      <c r="I1920" s="55">
        <f>G1920*H1920</f>
        <v>0</v>
      </c>
      <c r="J1920" s="55">
        <v>0.00096</v>
      </c>
      <c r="K1920" s="55">
        <f>G1920*J1920</f>
        <v>0.19008</v>
      </c>
      <c r="L1920" s="57" t="s">
        <v>785</v>
      </c>
      <c r="Z1920" s="55">
        <f>IF(AQ1920="5",BJ1920,0)</f>
        <v>0</v>
      </c>
      <c r="AB1920" s="55">
        <f>IF(AQ1920="1",BH1920,0)</f>
        <v>0</v>
      </c>
      <c r="AC1920" s="55">
        <f>IF(AQ1920="1",BI1920,0)</f>
        <v>0</v>
      </c>
      <c r="AD1920" s="55">
        <f>IF(AQ1920="7",BH1920,0)</f>
        <v>0</v>
      </c>
      <c r="AE1920" s="55">
        <f>IF(AQ1920="7",BI1920,0)</f>
        <v>0</v>
      </c>
      <c r="AF1920" s="55">
        <f>IF(AQ1920="2",BH1920,0)</f>
        <v>0</v>
      </c>
      <c r="AG1920" s="55">
        <f>IF(AQ1920="2",BI1920,0)</f>
        <v>0</v>
      </c>
      <c r="AH1920" s="55">
        <f>IF(AQ1920="0",BJ1920,0)</f>
        <v>0</v>
      </c>
      <c r="AI1920" s="34" t="s">
        <v>2629</v>
      </c>
      <c r="AJ1920" s="55">
        <f>IF(AN1920=0,I1920,0)</f>
        <v>0</v>
      </c>
      <c r="AK1920" s="55">
        <f>IF(AN1920=12,I1920,0)</f>
        <v>0</v>
      </c>
      <c r="AL1920" s="55">
        <f>IF(AN1920=21,I1920,0)</f>
        <v>0</v>
      </c>
      <c r="AN1920" s="55">
        <v>21</v>
      </c>
      <c r="AO1920" s="55">
        <f>H1920*0</f>
        <v>0</v>
      </c>
      <c r="AP1920" s="55">
        <f>H1920*(1-0)</f>
        <v>0</v>
      </c>
      <c r="AQ1920" s="58" t="s">
        <v>125</v>
      </c>
      <c r="AV1920" s="55">
        <f>AW1920+AX1920</f>
        <v>0</v>
      </c>
      <c r="AW1920" s="55">
        <f>G1920*AO1920</f>
        <v>0</v>
      </c>
      <c r="AX1920" s="55">
        <f>G1920*AP1920</f>
        <v>0</v>
      </c>
      <c r="AY1920" s="58" t="s">
        <v>1875</v>
      </c>
      <c r="AZ1920" s="58" t="s">
        <v>3185</v>
      </c>
      <c r="BA1920" s="34" t="s">
        <v>2634</v>
      </c>
      <c r="BB1920" s="67">
        <v>100011</v>
      </c>
      <c r="BC1920" s="55">
        <f>AW1920+AX1920</f>
        <v>0</v>
      </c>
      <c r="BD1920" s="55">
        <f>H1920/(100-BE1920)*100</f>
        <v>0</v>
      </c>
      <c r="BE1920" s="55">
        <v>0</v>
      </c>
      <c r="BF1920" s="55">
        <f>K1920</f>
        <v>0.19008</v>
      </c>
      <c r="BH1920" s="55">
        <f>G1920*AO1920</f>
        <v>0</v>
      </c>
      <c r="BI1920" s="55">
        <f>G1920*AP1920</f>
        <v>0</v>
      </c>
      <c r="BJ1920" s="55">
        <f>G1920*H1920</f>
        <v>0</v>
      </c>
      <c r="BK1920" s="55"/>
      <c r="BL1920" s="55">
        <v>764</v>
      </c>
      <c r="BW1920" s="55">
        <v>21</v>
      </c>
    </row>
    <row r="1921" spans="1:12" ht="14.4">
      <c r="A1921" s="59"/>
      <c r="D1921" s="60" t="s">
        <v>749</v>
      </c>
      <c r="E1921" s="60" t="s">
        <v>4</v>
      </c>
      <c r="G1921" s="68">
        <v>198</v>
      </c>
      <c r="L1921" s="69"/>
    </row>
    <row r="1922" spans="1:75" ht="13.5" customHeight="1">
      <c r="A1922" s="1" t="s">
        <v>3573</v>
      </c>
      <c r="B1922" s="2" t="s">
        <v>2629</v>
      </c>
      <c r="C1922" s="2" t="s">
        <v>3574</v>
      </c>
      <c r="D1922" s="147" t="s">
        <v>3575</v>
      </c>
      <c r="E1922" s="148"/>
      <c r="F1922" s="2" t="s">
        <v>374</v>
      </c>
      <c r="G1922" s="55">
        <v>5</v>
      </c>
      <c r="H1922" s="56">
        <v>0</v>
      </c>
      <c r="I1922" s="55">
        <f>G1922*H1922</f>
        <v>0</v>
      </c>
      <c r="J1922" s="55">
        <v>0.00303</v>
      </c>
      <c r="K1922" s="55">
        <f>G1922*J1922</f>
        <v>0.01515</v>
      </c>
      <c r="L1922" s="57" t="s">
        <v>785</v>
      </c>
      <c r="Z1922" s="55">
        <f>IF(AQ1922="5",BJ1922,0)</f>
        <v>0</v>
      </c>
      <c r="AB1922" s="55">
        <f>IF(AQ1922="1",BH1922,0)</f>
        <v>0</v>
      </c>
      <c r="AC1922" s="55">
        <f>IF(AQ1922="1",BI1922,0)</f>
        <v>0</v>
      </c>
      <c r="AD1922" s="55">
        <f>IF(AQ1922="7",BH1922,0)</f>
        <v>0</v>
      </c>
      <c r="AE1922" s="55">
        <f>IF(AQ1922="7",BI1922,0)</f>
        <v>0</v>
      </c>
      <c r="AF1922" s="55">
        <f>IF(AQ1922="2",BH1922,0)</f>
        <v>0</v>
      </c>
      <c r="AG1922" s="55">
        <f>IF(AQ1922="2",BI1922,0)</f>
        <v>0</v>
      </c>
      <c r="AH1922" s="55">
        <f>IF(AQ1922="0",BJ1922,0)</f>
        <v>0</v>
      </c>
      <c r="AI1922" s="34" t="s">
        <v>2629</v>
      </c>
      <c r="AJ1922" s="55">
        <f>IF(AN1922=0,I1922,0)</f>
        <v>0</v>
      </c>
      <c r="AK1922" s="55">
        <f>IF(AN1922=12,I1922,0)</f>
        <v>0</v>
      </c>
      <c r="AL1922" s="55">
        <f>IF(AN1922=21,I1922,0)</f>
        <v>0</v>
      </c>
      <c r="AN1922" s="55">
        <v>21</v>
      </c>
      <c r="AO1922" s="55">
        <f>H1922*0</f>
        <v>0</v>
      </c>
      <c r="AP1922" s="55">
        <f>H1922*(1-0)</f>
        <v>0</v>
      </c>
      <c r="AQ1922" s="58" t="s">
        <v>125</v>
      </c>
      <c r="AV1922" s="55">
        <f>AW1922+AX1922</f>
        <v>0</v>
      </c>
      <c r="AW1922" s="55">
        <f>G1922*AO1922</f>
        <v>0</v>
      </c>
      <c r="AX1922" s="55">
        <f>G1922*AP1922</f>
        <v>0</v>
      </c>
      <c r="AY1922" s="58" t="s">
        <v>1875</v>
      </c>
      <c r="AZ1922" s="58" t="s">
        <v>3185</v>
      </c>
      <c r="BA1922" s="34" t="s">
        <v>2634</v>
      </c>
      <c r="BB1922" s="67">
        <v>100011</v>
      </c>
      <c r="BC1922" s="55">
        <f>AW1922+AX1922</f>
        <v>0</v>
      </c>
      <c r="BD1922" s="55">
        <f>H1922/(100-BE1922)*100</f>
        <v>0</v>
      </c>
      <c r="BE1922" s="55">
        <v>0</v>
      </c>
      <c r="BF1922" s="55">
        <f>K1922</f>
        <v>0.01515</v>
      </c>
      <c r="BH1922" s="55">
        <f>G1922*AO1922</f>
        <v>0</v>
      </c>
      <c r="BI1922" s="55">
        <f>G1922*AP1922</f>
        <v>0</v>
      </c>
      <c r="BJ1922" s="55">
        <f>G1922*H1922</f>
        <v>0</v>
      </c>
      <c r="BK1922" s="55"/>
      <c r="BL1922" s="55">
        <v>764</v>
      </c>
      <c r="BW1922" s="55">
        <v>21</v>
      </c>
    </row>
    <row r="1923" spans="1:12" ht="14.4">
      <c r="A1923" s="59"/>
      <c r="D1923" s="60" t="s">
        <v>139</v>
      </c>
      <c r="E1923" s="60" t="s">
        <v>4</v>
      </c>
      <c r="G1923" s="68">
        <v>5</v>
      </c>
      <c r="L1923" s="69"/>
    </row>
    <row r="1924" spans="1:75" ht="13.5" customHeight="1">
      <c r="A1924" s="1" t="s">
        <v>3576</v>
      </c>
      <c r="B1924" s="2" t="s">
        <v>2629</v>
      </c>
      <c r="C1924" s="2" t="s">
        <v>3577</v>
      </c>
      <c r="D1924" s="147" t="s">
        <v>3578</v>
      </c>
      <c r="E1924" s="148"/>
      <c r="F1924" s="2" t="s">
        <v>374</v>
      </c>
      <c r="G1924" s="55">
        <v>5</v>
      </c>
      <c r="H1924" s="56">
        <v>0</v>
      </c>
      <c r="I1924" s="55">
        <f>G1924*H1924</f>
        <v>0</v>
      </c>
      <c r="J1924" s="55">
        <v>0.00081</v>
      </c>
      <c r="K1924" s="55">
        <f>G1924*J1924</f>
        <v>0.00405</v>
      </c>
      <c r="L1924" s="57" t="s">
        <v>785</v>
      </c>
      <c r="Z1924" s="55">
        <f>IF(AQ1924="5",BJ1924,0)</f>
        <v>0</v>
      </c>
      <c r="AB1924" s="55">
        <f>IF(AQ1924="1",BH1924,0)</f>
        <v>0</v>
      </c>
      <c r="AC1924" s="55">
        <f>IF(AQ1924="1",BI1924,0)</f>
        <v>0</v>
      </c>
      <c r="AD1924" s="55">
        <f>IF(AQ1924="7",BH1924,0)</f>
        <v>0</v>
      </c>
      <c r="AE1924" s="55">
        <f>IF(AQ1924="7",BI1924,0)</f>
        <v>0</v>
      </c>
      <c r="AF1924" s="55">
        <f>IF(AQ1924="2",BH1924,0)</f>
        <v>0</v>
      </c>
      <c r="AG1924" s="55">
        <f>IF(AQ1924="2",BI1924,0)</f>
        <v>0</v>
      </c>
      <c r="AH1924" s="55">
        <f>IF(AQ1924="0",BJ1924,0)</f>
        <v>0</v>
      </c>
      <c r="AI1924" s="34" t="s">
        <v>2629</v>
      </c>
      <c r="AJ1924" s="55">
        <f>IF(AN1924=0,I1924,0)</f>
        <v>0</v>
      </c>
      <c r="AK1924" s="55">
        <f>IF(AN1924=12,I1924,0)</f>
        <v>0</v>
      </c>
      <c r="AL1924" s="55">
        <f>IF(AN1924=21,I1924,0)</f>
        <v>0</v>
      </c>
      <c r="AN1924" s="55">
        <v>21</v>
      </c>
      <c r="AO1924" s="55">
        <f>H1924*0</f>
        <v>0</v>
      </c>
      <c r="AP1924" s="55">
        <f>H1924*(1-0)</f>
        <v>0</v>
      </c>
      <c r="AQ1924" s="58" t="s">
        <v>125</v>
      </c>
      <c r="AV1924" s="55">
        <f>AW1924+AX1924</f>
        <v>0</v>
      </c>
      <c r="AW1924" s="55">
        <f>G1924*AO1924</f>
        <v>0</v>
      </c>
      <c r="AX1924" s="55">
        <f>G1924*AP1924</f>
        <v>0</v>
      </c>
      <c r="AY1924" s="58" t="s">
        <v>1875</v>
      </c>
      <c r="AZ1924" s="58" t="s">
        <v>3185</v>
      </c>
      <c r="BA1924" s="34" t="s">
        <v>2634</v>
      </c>
      <c r="BB1924" s="67">
        <v>100011</v>
      </c>
      <c r="BC1924" s="55">
        <f>AW1924+AX1924</f>
        <v>0</v>
      </c>
      <c r="BD1924" s="55">
        <f>H1924/(100-BE1924)*100</f>
        <v>0</v>
      </c>
      <c r="BE1924" s="55">
        <v>0</v>
      </c>
      <c r="BF1924" s="55">
        <f>K1924</f>
        <v>0.00405</v>
      </c>
      <c r="BH1924" s="55">
        <f>G1924*AO1924</f>
        <v>0</v>
      </c>
      <c r="BI1924" s="55">
        <f>G1924*AP1924</f>
        <v>0</v>
      </c>
      <c r="BJ1924" s="55">
        <f>G1924*H1924</f>
        <v>0</v>
      </c>
      <c r="BK1924" s="55"/>
      <c r="BL1924" s="55">
        <v>764</v>
      </c>
      <c r="BW1924" s="55">
        <v>21</v>
      </c>
    </row>
    <row r="1925" spans="1:12" ht="14.4">
      <c r="A1925" s="59"/>
      <c r="D1925" s="60" t="s">
        <v>139</v>
      </c>
      <c r="E1925" s="60" t="s">
        <v>4</v>
      </c>
      <c r="G1925" s="68">
        <v>5</v>
      </c>
      <c r="L1925" s="69"/>
    </row>
    <row r="1926" spans="1:75" ht="13.5" customHeight="1">
      <c r="A1926" s="1" t="s">
        <v>3579</v>
      </c>
      <c r="B1926" s="2" t="s">
        <v>2629</v>
      </c>
      <c r="C1926" s="2" t="s">
        <v>3580</v>
      </c>
      <c r="D1926" s="147" t="s">
        <v>3581</v>
      </c>
      <c r="E1926" s="148"/>
      <c r="F1926" s="2" t="s">
        <v>729</v>
      </c>
      <c r="G1926" s="55">
        <v>7.2</v>
      </c>
      <c r="H1926" s="56">
        <v>0</v>
      </c>
      <c r="I1926" s="55">
        <f>G1926*H1926</f>
        <v>0</v>
      </c>
      <c r="J1926" s="55">
        <v>0.00721</v>
      </c>
      <c r="K1926" s="55">
        <f>G1926*J1926</f>
        <v>0.051912</v>
      </c>
      <c r="L1926" s="57" t="s">
        <v>785</v>
      </c>
      <c r="Z1926" s="55">
        <f>IF(AQ1926="5",BJ1926,0)</f>
        <v>0</v>
      </c>
      <c r="AB1926" s="55">
        <f>IF(AQ1926="1",BH1926,0)</f>
        <v>0</v>
      </c>
      <c r="AC1926" s="55">
        <f>IF(AQ1926="1",BI1926,0)</f>
        <v>0</v>
      </c>
      <c r="AD1926" s="55">
        <f>IF(AQ1926="7",BH1926,0)</f>
        <v>0</v>
      </c>
      <c r="AE1926" s="55">
        <f>IF(AQ1926="7",BI1926,0)</f>
        <v>0</v>
      </c>
      <c r="AF1926" s="55">
        <f>IF(AQ1926="2",BH1926,0)</f>
        <v>0</v>
      </c>
      <c r="AG1926" s="55">
        <f>IF(AQ1926="2",BI1926,0)</f>
        <v>0</v>
      </c>
      <c r="AH1926" s="55">
        <f>IF(AQ1926="0",BJ1926,0)</f>
        <v>0</v>
      </c>
      <c r="AI1926" s="34" t="s">
        <v>2629</v>
      </c>
      <c r="AJ1926" s="55">
        <f>IF(AN1926=0,I1926,0)</f>
        <v>0</v>
      </c>
      <c r="AK1926" s="55">
        <f>IF(AN1926=12,I1926,0)</f>
        <v>0</v>
      </c>
      <c r="AL1926" s="55">
        <f>IF(AN1926=21,I1926,0)</f>
        <v>0</v>
      </c>
      <c r="AN1926" s="55">
        <v>21</v>
      </c>
      <c r="AO1926" s="55">
        <f>H1926*0</f>
        <v>0</v>
      </c>
      <c r="AP1926" s="55">
        <f>H1926*(1-0)</f>
        <v>0</v>
      </c>
      <c r="AQ1926" s="58" t="s">
        <v>125</v>
      </c>
      <c r="AV1926" s="55">
        <f>AW1926+AX1926</f>
        <v>0</v>
      </c>
      <c r="AW1926" s="55">
        <f>G1926*AO1926</f>
        <v>0</v>
      </c>
      <c r="AX1926" s="55">
        <f>G1926*AP1926</f>
        <v>0</v>
      </c>
      <c r="AY1926" s="58" t="s">
        <v>1875</v>
      </c>
      <c r="AZ1926" s="58" t="s">
        <v>3185</v>
      </c>
      <c r="BA1926" s="34" t="s">
        <v>2634</v>
      </c>
      <c r="BB1926" s="67">
        <v>100011</v>
      </c>
      <c r="BC1926" s="55">
        <f>AW1926+AX1926</f>
        <v>0</v>
      </c>
      <c r="BD1926" s="55">
        <f>H1926/(100-BE1926)*100</f>
        <v>0</v>
      </c>
      <c r="BE1926" s="55">
        <v>0</v>
      </c>
      <c r="BF1926" s="55">
        <f>K1926</f>
        <v>0.051912</v>
      </c>
      <c r="BH1926" s="55">
        <f>G1926*AO1926</f>
        <v>0</v>
      </c>
      <c r="BI1926" s="55">
        <f>G1926*AP1926</f>
        <v>0</v>
      </c>
      <c r="BJ1926" s="55">
        <f>G1926*H1926</f>
        <v>0</v>
      </c>
      <c r="BK1926" s="55"/>
      <c r="BL1926" s="55">
        <v>764</v>
      </c>
      <c r="BW1926" s="55">
        <v>21</v>
      </c>
    </row>
    <row r="1927" spans="1:12" ht="14.4">
      <c r="A1927" s="59"/>
      <c r="D1927" s="60" t="s">
        <v>3582</v>
      </c>
      <c r="E1927" s="60" t="s">
        <v>4</v>
      </c>
      <c r="G1927" s="68">
        <v>7.2</v>
      </c>
      <c r="L1927" s="69"/>
    </row>
    <row r="1928" spans="1:75" ht="13.5" customHeight="1">
      <c r="A1928" s="1" t="s">
        <v>3583</v>
      </c>
      <c r="B1928" s="2" t="s">
        <v>2629</v>
      </c>
      <c r="C1928" s="2" t="s">
        <v>3584</v>
      </c>
      <c r="D1928" s="147" t="s">
        <v>3585</v>
      </c>
      <c r="E1928" s="148"/>
      <c r="F1928" s="2" t="s">
        <v>374</v>
      </c>
      <c r="G1928" s="55">
        <v>8</v>
      </c>
      <c r="H1928" s="56">
        <v>0</v>
      </c>
      <c r="I1928" s="55">
        <f>G1928*H1928</f>
        <v>0</v>
      </c>
      <c r="J1928" s="55">
        <v>0.02008</v>
      </c>
      <c r="K1928" s="55">
        <f>G1928*J1928</f>
        <v>0.16064</v>
      </c>
      <c r="L1928" s="57" t="s">
        <v>785</v>
      </c>
      <c r="Z1928" s="55">
        <f>IF(AQ1928="5",BJ1928,0)</f>
        <v>0</v>
      </c>
      <c r="AB1928" s="55">
        <f>IF(AQ1928="1",BH1928,0)</f>
        <v>0</v>
      </c>
      <c r="AC1928" s="55">
        <f>IF(AQ1928="1",BI1928,0)</f>
        <v>0</v>
      </c>
      <c r="AD1928" s="55">
        <f>IF(AQ1928="7",BH1928,0)</f>
        <v>0</v>
      </c>
      <c r="AE1928" s="55">
        <f>IF(AQ1928="7",BI1928,0)</f>
        <v>0</v>
      </c>
      <c r="AF1928" s="55">
        <f>IF(AQ1928="2",BH1928,0)</f>
        <v>0</v>
      </c>
      <c r="AG1928" s="55">
        <f>IF(AQ1928="2",BI1928,0)</f>
        <v>0</v>
      </c>
      <c r="AH1928" s="55">
        <f>IF(AQ1928="0",BJ1928,0)</f>
        <v>0</v>
      </c>
      <c r="AI1928" s="34" t="s">
        <v>2629</v>
      </c>
      <c r="AJ1928" s="55">
        <f>IF(AN1928=0,I1928,0)</f>
        <v>0</v>
      </c>
      <c r="AK1928" s="55">
        <f>IF(AN1928=12,I1928,0)</f>
        <v>0</v>
      </c>
      <c r="AL1928" s="55">
        <f>IF(AN1928=21,I1928,0)</f>
        <v>0</v>
      </c>
      <c r="AN1928" s="55">
        <v>21</v>
      </c>
      <c r="AO1928" s="55">
        <f>H1928*0</f>
        <v>0</v>
      </c>
      <c r="AP1928" s="55">
        <f>H1928*(1-0)</f>
        <v>0</v>
      </c>
      <c r="AQ1928" s="58" t="s">
        <v>125</v>
      </c>
      <c r="AV1928" s="55">
        <f>AW1928+AX1928</f>
        <v>0</v>
      </c>
      <c r="AW1928" s="55">
        <f>G1928*AO1928</f>
        <v>0</v>
      </c>
      <c r="AX1928" s="55">
        <f>G1928*AP1928</f>
        <v>0</v>
      </c>
      <c r="AY1928" s="58" t="s">
        <v>1875</v>
      </c>
      <c r="AZ1928" s="58" t="s">
        <v>3185</v>
      </c>
      <c r="BA1928" s="34" t="s">
        <v>2634</v>
      </c>
      <c r="BB1928" s="67">
        <v>100011</v>
      </c>
      <c r="BC1928" s="55">
        <f>AW1928+AX1928</f>
        <v>0</v>
      </c>
      <c r="BD1928" s="55">
        <f>H1928/(100-BE1928)*100</f>
        <v>0</v>
      </c>
      <c r="BE1928" s="55">
        <v>0</v>
      </c>
      <c r="BF1928" s="55">
        <f>K1928</f>
        <v>0.16064</v>
      </c>
      <c r="BH1928" s="55">
        <f>G1928*AO1928</f>
        <v>0</v>
      </c>
      <c r="BI1928" s="55">
        <f>G1928*AP1928</f>
        <v>0</v>
      </c>
      <c r="BJ1928" s="55">
        <f>G1928*H1928</f>
        <v>0</v>
      </c>
      <c r="BK1928" s="55"/>
      <c r="BL1928" s="55">
        <v>764</v>
      </c>
      <c r="BW1928" s="55">
        <v>21</v>
      </c>
    </row>
    <row r="1929" spans="1:12" ht="14.4">
      <c r="A1929" s="59"/>
      <c r="D1929" s="60" t="s">
        <v>147</v>
      </c>
      <c r="E1929" s="60" t="s">
        <v>4</v>
      </c>
      <c r="G1929" s="68">
        <v>8</v>
      </c>
      <c r="L1929" s="69"/>
    </row>
    <row r="1930" spans="1:75" ht="13.5" customHeight="1">
      <c r="A1930" s="1" t="s">
        <v>3586</v>
      </c>
      <c r="B1930" s="2" t="s">
        <v>2629</v>
      </c>
      <c r="C1930" s="2" t="s">
        <v>1897</v>
      </c>
      <c r="D1930" s="147" t="s">
        <v>1898</v>
      </c>
      <c r="E1930" s="148"/>
      <c r="F1930" s="2" t="s">
        <v>939</v>
      </c>
      <c r="G1930" s="55">
        <v>6.41</v>
      </c>
      <c r="H1930" s="56">
        <v>0</v>
      </c>
      <c r="I1930" s="55">
        <f>G1930*H1930</f>
        <v>0</v>
      </c>
      <c r="J1930" s="55">
        <v>0</v>
      </c>
      <c r="K1930" s="55">
        <f>G1930*J1930</f>
        <v>0</v>
      </c>
      <c r="L1930" s="57" t="s">
        <v>785</v>
      </c>
      <c r="Z1930" s="55">
        <f>IF(AQ1930="5",BJ1930,0)</f>
        <v>0</v>
      </c>
      <c r="AB1930" s="55">
        <f>IF(AQ1930="1",BH1930,0)</f>
        <v>0</v>
      </c>
      <c r="AC1930" s="55">
        <f>IF(AQ1930="1",BI1930,0)</f>
        <v>0</v>
      </c>
      <c r="AD1930" s="55">
        <f>IF(AQ1930="7",BH1930,0)</f>
        <v>0</v>
      </c>
      <c r="AE1930" s="55">
        <f>IF(AQ1930="7",BI1930,0)</f>
        <v>0</v>
      </c>
      <c r="AF1930" s="55">
        <f>IF(AQ1930="2",BH1930,0)</f>
        <v>0</v>
      </c>
      <c r="AG1930" s="55">
        <f>IF(AQ1930="2",BI1930,0)</f>
        <v>0</v>
      </c>
      <c r="AH1930" s="55">
        <f>IF(AQ1930="0",BJ1930,0)</f>
        <v>0</v>
      </c>
      <c r="AI1930" s="34" t="s">
        <v>2629</v>
      </c>
      <c r="AJ1930" s="55">
        <f>IF(AN1930=0,I1930,0)</f>
        <v>0</v>
      </c>
      <c r="AK1930" s="55">
        <f>IF(AN1930=12,I1930,0)</f>
        <v>0</v>
      </c>
      <c r="AL1930" s="55">
        <f>IF(AN1930=21,I1930,0)</f>
        <v>0</v>
      </c>
      <c r="AN1930" s="55">
        <v>21</v>
      </c>
      <c r="AO1930" s="55">
        <f>H1930*0</f>
        <v>0</v>
      </c>
      <c r="AP1930" s="55">
        <f>H1930*(1-0)</f>
        <v>0</v>
      </c>
      <c r="AQ1930" s="58" t="s">
        <v>139</v>
      </c>
      <c r="AV1930" s="55">
        <f>AW1930+AX1930</f>
        <v>0</v>
      </c>
      <c r="AW1930" s="55">
        <f>G1930*AO1930</f>
        <v>0</v>
      </c>
      <c r="AX1930" s="55">
        <f>G1930*AP1930</f>
        <v>0</v>
      </c>
      <c r="AY1930" s="58" t="s">
        <v>1875</v>
      </c>
      <c r="AZ1930" s="58" t="s">
        <v>3185</v>
      </c>
      <c r="BA1930" s="34" t="s">
        <v>2634</v>
      </c>
      <c r="BC1930" s="55">
        <f>AW1930+AX1930</f>
        <v>0</v>
      </c>
      <c r="BD1930" s="55">
        <f>H1930/(100-BE1930)*100</f>
        <v>0</v>
      </c>
      <c r="BE1930" s="55">
        <v>0</v>
      </c>
      <c r="BF1930" s="55">
        <f>K1930</f>
        <v>0</v>
      </c>
      <c r="BH1930" s="55">
        <f>G1930*AO1930</f>
        <v>0</v>
      </c>
      <c r="BI1930" s="55">
        <f>G1930*AP1930</f>
        <v>0</v>
      </c>
      <c r="BJ1930" s="55">
        <f>G1930*H1930</f>
        <v>0</v>
      </c>
      <c r="BK1930" s="55"/>
      <c r="BL1930" s="55">
        <v>764</v>
      </c>
      <c r="BW1930" s="55">
        <v>21</v>
      </c>
    </row>
    <row r="1931" spans="1:12" ht="14.4">
      <c r="A1931" s="59"/>
      <c r="D1931" s="60" t="s">
        <v>3587</v>
      </c>
      <c r="E1931" s="60" t="s">
        <v>4</v>
      </c>
      <c r="G1931" s="68">
        <v>6.41</v>
      </c>
      <c r="L1931" s="69"/>
    </row>
    <row r="1932" spans="1:47" ht="14.4">
      <c r="A1932" s="50" t="s">
        <v>4</v>
      </c>
      <c r="B1932" s="51" t="s">
        <v>2629</v>
      </c>
      <c r="C1932" s="51" t="s">
        <v>1900</v>
      </c>
      <c r="D1932" s="222" t="s">
        <v>1901</v>
      </c>
      <c r="E1932" s="223"/>
      <c r="F1932" s="52" t="s">
        <v>79</v>
      </c>
      <c r="G1932" s="52" t="s">
        <v>79</v>
      </c>
      <c r="H1932" s="53" t="s">
        <v>79</v>
      </c>
      <c r="I1932" s="27">
        <f>SUM(I1933:I1950)</f>
        <v>0</v>
      </c>
      <c r="J1932" s="34" t="s">
        <v>4</v>
      </c>
      <c r="K1932" s="27">
        <f>SUM(K1933:K1950)</f>
        <v>0.42424720000000005</v>
      </c>
      <c r="L1932" s="54" t="s">
        <v>4</v>
      </c>
      <c r="AI1932" s="34" t="s">
        <v>2629</v>
      </c>
      <c r="AS1932" s="27">
        <f>SUM(AJ1933:AJ1950)</f>
        <v>0</v>
      </c>
      <c r="AT1932" s="27">
        <f>SUM(AK1933:AK1950)</f>
        <v>0</v>
      </c>
      <c r="AU1932" s="27">
        <f>SUM(AL1933:AL1950)</f>
        <v>0</v>
      </c>
    </row>
    <row r="1933" spans="1:75" ht="13.5" customHeight="1">
      <c r="A1933" s="1" t="s">
        <v>3588</v>
      </c>
      <c r="B1933" s="2" t="s">
        <v>2629</v>
      </c>
      <c r="C1933" s="2" t="s">
        <v>3589</v>
      </c>
      <c r="D1933" s="147" t="s">
        <v>3590</v>
      </c>
      <c r="E1933" s="148"/>
      <c r="F1933" s="2" t="s">
        <v>729</v>
      </c>
      <c r="G1933" s="55">
        <v>10.24</v>
      </c>
      <c r="H1933" s="56">
        <v>0</v>
      </c>
      <c r="I1933" s="55">
        <f>G1933*H1933</f>
        <v>0</v>
      </c>
      <c r="J1933" s="55">
        <v>0.0003</v>
      </c>
      <c r="K1933" s="55">
        <f>G1933*J1933</f>
        <v>0.0030719999999999996</v>
      </c>
      <c r="L1933" s="57" t="s">
        <v>785</v>
      </c>
      <c r="Z1933" s="55">
        <f>IF(AQ1933="5",BJ1933,0)</f>
        <v>0</v>
      </c>
      <c r="AB1933" s="55">
        <f>IF(AQ1933="1",BH1933,0)</f>
        <v>0</v>
      </c>
      <c r="AC1933" s="55">
        <f>IF(AQ1933="1",BI1933,0)</f>
        <v>0</v>
      </c>
      <c r="AD1933" s="55">
        <f>IF(AQ1933="7",BH1933,0)</f>
        <v>0</v>
      </c>
      <c r="AE1933" s="55">
        <f>IF(AQ1933="7",BI1933,0)</f>
        <v>0</v>
      </c>
      <c r="AF1933" s="55">
        <f>IF(AQ1933="2",BH1933,0)</f>
        <v>0</v>
      </c>
      <c r="AG1933" s="55">
        <f>IF(AQ1933="2",BI1933,0)</f>
        <v>0</v>
      </c>
      <c r="AH1933" s="55">
        <f>IF(AQ1933="0",BJ1933,0)</f>
        <v>0</v>
      </c>
      <c r="AI1933" s="34" t="s">
        <v>2629</v>
      </c>
      <c r="AJ1933" s="55">
        <f>IF(AN1933=0,I1933,0)</f>
        <v>0</v>
      </c>
      <c r="AK1933" s="55">
        <f>IF(AN1933=12,I1933,0)</f>
        <v>0</v>
      </c>
      <c r="AL1933" s="55">
        <f>IF(AN1933=21,I1933,0)</f>
        <v>0</v>
      </c>
      <c r="AN1933" s="55">
        <v>21</v>
      </c>
      <c r="AO1933" s="55">
        <f>H1933*0.037239461</f>
        <v>0</v>
      </c>
      <c r="AP1933" s="55">
        <f>H1933*(1-0.037239461)</f>
        <v>0</v>
      </c>
      <c r="AQ1933" s="58" t="s">
        <v>125</v>
      </c>
      <c r="AV1933" s="55">
        <f>AW1933+AX1933</f>
        <v>0</v>
      </c>
      <c r="AW1933" s="55">
        <f>G1933*AO1933</f>
        <v>0</v>
      </c>
      <c r="AX1933" s="55">
        <f>G1933*AP1933</f>
        <v>0</v>
      </c>
      <c r="AY1933" s="58" t="s">
        <v>1905</v>
      </c>
      <c r="AZ1933" s="58" t="s">
        <v>3185</v>
      </c>
      <c r="BA1933" s="34" t="s">
        <v>2634</v>
      </c>
      <c r="BB1933" s="67">
        <v>100007</v>
      </c>
      <c r="BC1933" s="55">
        <f>AW1933+AX1933</f>
        <v>0</v>
      </c>
      <c r="BD1933" s="55">
        <f>H1933/(100-BE1933)*100</f>
        <v>0</v>
      </c>
      <c r="BE1933" s="55">
        <v>0</v>
      </c>
      <c r="BF1933" s="55">
        <f>K1933</f>
        <v>0.0030719999999999996</v>
      </c>
      <c r="BH1933" s="55">
        <f>G1933*AO1933</f>
        <v>0</v>
      </c>
      <c r="BI1933" s="55">
        <f>G1933*AP1933</f>
        <v>0</v>
      </c>
      <c r="BJ1933" s="55">
        <f>G1933*H1933</f>
        <v>0</v>
      </c>
      <c r="BK1933" s="55"/>
      <c r="BL1933" s="55">
        <v>766</v>
      </c>
      <c r="BW1933" s="55">
        <v>21</v>
      </c>
    </row>
    <row r="1934" spans="1:12" ht="14.4">
      <c r="A1934" s="59"/>
      <c r="D1934" s="60" t="s">
        <v>3591</v>
      </c>
      <c r="E1934" s="60" t="s">
        <v>816</v>
      </c>
      <c r="G1934" s="68">
        <v>10.24</v>
      </c>
      <c r="L1934" s="69"/>
    </row>
    <row r="1935" spans="1:75" ht="13.5" customHeight="1">
      <c r="A1935" s="61" t="s">
        <v>3592</v>
      </c>
      <c r="B1935" s="62" t="s">
        <v>2629</v>
      </c>
      <c r="C1935" s="62" t="s">
        <v>3593</v>
      </c>
      <c r="D1935" s="224" t="s">
        <v>3594</v>
      </c>
      <c r="E1935" s="225"/>
      <c r="F1935" s="62" t="s">
        <v>729</v>
      </c>
      <c r="G1935" s="63">
        <v>11.26</v>
      </c>
      <c r="H1935" s="64">
        <v>0</v>
      </c>
      <c r="I1935" s="63">
        <f>G1935*H1935</f>
        <v>0</v>
      </c>
      <c r="J1935" s="63">
        <v>0.0098</v>
      </c>
      <c r="K1935" s="63">
        <f>G1935*J1935</f>
        <v>0.11034799999999999</v>
      </c>
      <c r="L1935" s="65" t="s">
        <v>785</v>
      </c>
      <c r="Z1935" s="55">
        <f>IF(AQ1935="5",BJ1935,0)</f>
        <v>0</v>
      </c>
      <c r="AB1935" s="55">
        <f>IF(AQ1935="1",BH1935,0)</f>
        <v>0</v>
      </c>
      <c r="AC1935" s="55">
        <f>IF(AQ1935="1",BI1935,0)</f>
        <v>0</v>
      </c>
      <c r="AD1935" s="55">
        <f>IF(AQ1935="7",BH1935,0)</f>
        <v>0</v>
      </c>
      <c r="AE1935" s="55">
        <f>IF(AQ1935="7",BI1935,0)</f>
        <v>0</v>
      </c>
      <c r="AF1935" s="55">
        <f>IF(AQ1935="2",BH1935,0)</f>
        <v>0</v>
      </c>
      <c r="AG1935" s="55">
        <f>IF(AQ1935="2",BI1935,0)</f>
        <v>0</v>
      </c>
      <c r="AH1935" s="55">
        <f>IF(AQ1935="0",BJ1935,0)</f>
        <v>0</v>
      </c>
      <c r="AI1935" s="34" t="s">
        <v>2629</v>
      </c>
      <c r="AJ1935" s="63">
        <f>IF(AN1935=0,I1935,0)</f>
        <v>0</v>
      </c>
      <c r="AK1935" s="63">
        <f>IF(AN1935=12,I1935,0)</f>
        <v>0</v>
      </c>
      <c r="AL1935" s="63">
        <f>IF(AN1935=21,I1935,0)</f>
        <v>0</v>
      </c>
      <c r="AN1935" s="55">
        <v>21</v>
      </c>
      <c r="AO1935" s="55">
        <f>H1935*1</f>
        <v>0</v>
      </c>
      <c r="AP1935" s="55">
        <f>H1935*(1-1)</f>
        <v>0</v>
      </c>
      <c r="AQ1935" s="66" t="s">
        <v>125</v>
      </c>
      <c r="AV1935" s="55">
        <f>AW1935+AX1935</f>
        <v>0</v>
      </c>
      <c r="AW1935" s="55">
        <f>G1935*AO1935</f>
        <v>0</v>
      </c>
      <c r="AX1935" s="55">
        <f>G1935*AP1935</f>
        <v>0</v>
      </c>
      <c r="AY1935" s="58" t="s">
        <v>1905</v>
      </c>
      <c r="AZ1935" s="58" t="s">
        <v>3185</v>
      </c>
      <c r="BA1935" s="34" t="s">
        <v>2634</v>
      </c>
      <c r="BC1935" s="55">
        <f>AW1935+AX1935</f>
        <v>0</v>
      </c>
      <c r="BD1935" s="55">
        <f>H1935/(100-BE1935)*100</f>
        <v>0</v>
      </c>
      <c r="BE1935" s="55">
        <v>0</v>
      </c>
      <c r="BF1935" s="55">
        <f>K1935</f>
        <v>0.11034799999999999</v>
      </c>
      <c r="BH1935" s="63">
        <f>G1935*AO1935</f>
        <v>0</v>
      </c>
      <c r="BI1935" s="63">
        <f>G1935*AP1935</f>
        <v>0</v>
      </c>
      <c r="BJ1935" s="63">
        <f>G1935*H1935</f>
        <v>0</v>
      </c>
      <c r="BK1935" s="63"/>
      <c r="BL1935" s="55">
        <v>766</v>
      </c>
      <c r="BW1935" s="55">
        <v>21</v>
      </c>
    </row>
    <row r="1936" spans="1:12" ht="14.4">
      <c r="A1936" s="59"/>
      <c r="D1936" s="60" t="s">
        <v>3595</v>
      </c>
      <c r="E1936" s="60" t="s">
        <v>4</v>
      </c>
      <c r="G1936" s="68">
        <v>10.24</v>
      </c>
      <c r="L1936" s="69"/>
    </row>
    <row r="1937" spans="1:12" ht="14.4">
      <c r="A1937" s="59"/>
      <c r="D1937" s="60" t="s">
        <v>3596</v>
      </c>
      <c r="E1937" s="60" t="s">
        <v>4</v>
      </c>
      <c r="G1937" s="68">
        <v>1.02</v>
      </c>
      <c r="L1937" s="69"/>
    </row>
    <row r="1938" spans="1:75" ht="13.5" customHeight="1">
      <c r="A1938" s="1" t="s">
        <v>3597</v>
      </c>
      <c r="B1938" s="2" t="s">
        <v>2629</v>
      </c>
      <c r="C1938" s="2" t="s">
        <v>3598</v>
      </c>
      <c r="D1938" s="147" t="s">
        <v>3599</v>
      </c>
      <c r="E1938" s="148"/>
      <c r="F1938" s="2" t="s">
        <v>174</v>
      </c>
      <c r="G1938" s="55">
        <v>10.24</v>
      </c>
      <c r="H1938" s="56">
        <v>0</v>
      </c>
      <c r="I1938" s="55">
        <f>G1938*H1938</f>
        <v>0</v>
      </c>
      <c r="J1938" s="55">
        <v>0.00028</v>
      </c>
      <c r="K1938" s="55">
        <f>G1938*J1938</f>
        <v>0.0028672</v>
      </c>
      <c r="L1938" s="57" t="s">
        <v>124</v>
      </c>
      <c r="Z1938" s="55">
        <f>IF(AQ1938="5",BJ1938,0)</f>
        <v>0</v>
      </c>
      <c r="AB1938" s="55">
        <f>IF(AQ1938="1",BH1938,0)</f>
        <v>0</v>
      </c>
      <c r="AC1938" s="55">
        <f>IF(AQ1938="1",BI1938,0)</f>
        <v>0</v>
      </c>
      <c r="AD1938" s="55">
        <f>IF(AQ1938="7",BH1938,0)</f>
        <v>0</v>
      </c>
      <c r="AE1938" s="55">
        <f>IF(AQ1938="7",BI1938,0)</f>
        <v>0</v>
      </c>
      <c r="AF1938" s="55">
        <f>IF(AQ1938="2",BH1938,0)</f>
        <v>0</v>
      </c>
      <c r="AG1938" s="55">
        <f>IF(AQ1938="2",BI1938,0)</f>
        <v>0</v>
      </c>
      <c r="AH1938" s="55">
        <f>IF(AQ1938="0",BJ1938,0)</f>
        <v>0</v>
      </c>
      <c r="AI1938" s="34" t="s">
        <v>2629</v>
      </c>
      <c r="AJ1938" s="55">
        <f>IF(AN1938=0,I1938,0)</f>
        <v>0</v>
      </c>
      <c r="AK1938" s="55">
        <f>IF(AN1938=12,I1938,0)</f>
        <v>0</v>
      </c>
      <c r="AL1938" s="55">
        <f>IF(AN1938=21,I1938,0)</f>
        <v>0</v>
      </c>
      <c r="AN1938" s="55">
        <v>21</v>
      </c>
      <c r="AO1938" s="55">
        <f>H1938*0.320416672</f>
        <v>0</v>
      </c>
      <c r="AP1938" s="55">
        <f>H1938*(1-0.320416672)</f>
        <v>0</v>
      </c>
      <c r="AQ1938" s="58" t="s">
        <v>125</v>
      </c>
      <c r="AV1938" s="55">
        <f>AW1938+AX1938</f>
        <v>0</v>
      </c>
      <c r="AW1938" s="55">
        <f>G1938*AO1938</f>
        <v>0</v>
      </c>
      <c r="AX1938" s="55">
        <f>G1938*AP1938</f>
        <v>0</v>
      </c>
      <c r="AY1938" s="58" t="s">
        <v>1905</v>
      </c>
      <c r="AZ1938" s="58" t="s">
        <v>3185</v>
      </c>
      <c r="BA1938" s="34" t="s">
        <v>2634</v>
      </c>
      <c r="BB1938" s="67">
        <v>100007</v>
      </c>
      <c r="BC1938" s="55">
        <f>AW1938+AX1938</f>
        <v>0</v>
      </c>
      <c r="BD1938" s="55">
        <f>H1938/(100-BE1938)*100</f>
        <v>0</v>
      </c>
      <c r="BE1938" s="55">
        <v>0</v>
      </c>
      <c r="BF1938" s="55">
        <f>K1938</f>
        <v>0.0028672</v>
      </c>
      <c r="BH1938" s="55">
        <f>G1938*AO1938</f>
        <v>0</v>
      </c>
      <c r="BI1938" s="55">
        <f>G1938*AP1938</f>
        <v>0</v>
      </c>
      <c r="BJ1938" s="55">
        <f>G1938*H1938</f>
        <v>0</v>
      </c>
      <c r="BK1938" s="55"/>
      <c r="BL1938" s="55">
        <v>766</v>
      </c>
      <c r="BW1938" s="55">
        <v>21</v>
      </c>
    </row>
    <row r="1939" spans="1:12" ht="14.4">
      <c r="A1939" s="59"/>
      <c r="D1939" s="60" t="s">
        <v>3595</v>
      </c>
      <c r="E1939" s="60" t="s">
        <v>4</v>
      </c>
      <c r="G1939" s="68">
        <v>10.24</v>
      </c>
      <c r="L1939" s="69"/>
    </row>
    <row r="1940" spans="1:75" ht="13.5" customHeight="1">
      <c r="A1940" s="1" t="s">
        <v>3600</v>
      </c>
      <c r="B1940" s="2" t="s">
        <v>2629</v>
      </c>
      <c r="C1940" s="2" t="s">
        <v>3601</v>
      </c>
      <c r="D1940" s="147" t="s">
        <v>3602</v>
      </c>
      <c r="E1940" s="148"/>
      <c r="F1940" s="2" t="s">
        <v>374</v>
      </c>
      <c r="G1940" s="55">
        <v>3</v>
      </c>
      <c r="H1940" s="56">
        <v>0</v>
      </c>
      <c r="I1940" s="55">
        <f>G1940*H1940</f>
        <v>0</v>
      </c>
      <c r="J1940" s="55">
        <v>0.00028</v>
      </c>
      <c r="K1940" s="55">
        <f>G1940*J1940</f>
        <v>0.0008399999999999999</v>
      </c>
      <c r="L1940" s="57" t="s">
        <v>785</v>
      </c>
      <c r="Z1940" s="55">
        <f>IF(AQ1940="5",BJ1940,0)</f>
        <v>0</v>
      </c>
      <c r="AB1940" s="55">
        <f>IF(AQ1940="1",BH1940,0)</f>
        <v>0</v>
      </c>
      <c r="AC1940" s="55">
        <f>IF(AQ1940="1",BI1940,0)</f>
        <v>0</v>
      </c>
      <c r="AD1940" s="55">
        <f>IF(AQ1940="7",BH1940,0)</f>
        <v>0</v>
      </c>
      <c r="AE1940" s="55">
        <f>IF(AQ1940="7",BI1940,0)</f>
        <v>0</v>
      </c>
      <c r="AF1940" s="55">
        <f>IF(AQ1940="2",BH1940,0)</f>
        <v>0</v>
      </c>
      <c r="AG1940" s="55">
        <f>IF(AQ1940="2",BI1940,0)</f>
        <v>0</v>
      </c>
      <c r="AH1940" s="55">
        <f>IF(AQ1940="0",BJ1940,0)</f>
        <v>0</v>
      </c>
      <c r="AI1940" s="34" t="s">
        <v>2629</v>
      </c>
      <c r="AJ1940" s="55">
        <f>IF(AN1940=0,I1940,0)</f>
        <v>0</v>
      </c>
      <c r="AK1940" s="55">
        <f>IF(AN1940=12,I1940,0)</f>
        <v>0</v>
      </c>
      <c r="AL1940" s="55">
        <f>IF(AN1940=21,I1940,0)</f>
        <v>0</v>
      </c>
      <c r="AN1940" s="55">
        <v>21</v>
      </c>
      <c r="AO1940" s="55">
        <f>H1940*0.00825332</f>
        <v>0</v>
      </c>
      <c r="AP1940" s="55">
        <f>H1940*(1-0.00825332)</f>
        <v>0</v>
      </c>
      <c r="AQ1940" s="58" t="s">
        <v>125</v>
      </c>
      <c r="AV1940" s="55">
        <f>AW1940+AX1940</f>
        <v>0</v>
      </c>
      <c r="AW1940" s="55">
        <f>G1940*AO1940</f>
        <v>0</v>
      </c>
      <c r="AX1940" s="55">
        <f>G1940*AP1940</f>
        <v>0</v>
      </c>
      <c r="AY1940" s="58" t="s">
        <v>1905</v>
      </c>
      <c r="AZ1940" s="58" t="s">
        <v>3185</v>
      </c>
      <c r="BA1940" s="34" t="s">
        <v>2634</v>
      </c>
      <c r="BB1940" s="67">
        <v>100007</v>
      </c>
      <c r="BC1940" s="55">
        <f>AW1940+AX1940</f>
        <v>0</v>
      </c>
      <c r="BD1940" s="55">
        <f>H1940/(100-BE1940)*100</f>
        <v>0</v>
      </c>
      <c r="BE1940" s="55">
        <v>0</v>
      </c>
      <c r="BF1940" s="55">
        <f>K1940</f>
        <v>0.0008399999999999999</v>
      </c>
      <c r="BH1940" s="55">
        <f>G1940*AO1940</f>
        <v>0</v>
      </c>
      <c r="BI1940" s="55">
        <f>G1940*AP1940</f>
        <v>0</v>
      </c>
      <c r="BJ1940" s="55">
        <f>G1940*H1940</f>
        <v>0</v>
      </c>
      <c r="BK1940" s="55"/>
      <c r="BL1940" s="55">
        <v>766</v>
      </c>
      <c r="BW1940" s="55">
        <v>21</v>
      </c>
    </row>
    <row r="1941" spans="1:12" ht="14.4">
      <c r="A1941" s="59"/>
      <c r="D1941" s="60" t="s">
        <v>133</v>
      </c>
      <c r="E1941" s="60" t="s">
        <v>4</v>
      </c>
      <c r="G1941" s="68">
        <v>3</v>
      </c>
      <c r="L1941" s="69"/>
    </row>
    <row r="1942" spans="1:75" ht="27" customHeight="1">
      <c r="A1942" s="61" t="s">
        <v>3603</v>
      </c>
      <c r="B1942" s="62" t="s">
        <v>2629</v>
      </c>
      <c r="C1942" s="62" t="s">
        <v>3604</v>
      </c>
      <c r="D1942" s="224" t="s">
        <v>3605</v>
      </c>
      <c r="E1942" s="225"/>
      <c r="F1942" s="62" t="s">
        <v>374</v>
      </c>
      <c r="G1942" s="63">
        <v>3</v>
      </c>
      <c r="H1942" s="64">
        <v>0</v>
      </c>
      <c r="I1942" s="63">
        <f>G1942*H1942</f>
        <v>0</v>
      </c>
      <c r="J1942" s="63">
        <v>0.006</v>
      </c>
      <c r="K1942" s="63">
        <f>G1942*J1942</f>
        <v>0.018000000000000002</v>
      </c>
      <c r="L1942" s="65" t="s">
        <v>785</v>
      </c>
      <c r="Z1942" s="55">
        <f>IF(AQ1942="5",BJ1942,0)</f>
        <v>0</v>
      </c>
      <c r="AB1942" s="55">
        <f>IF(AQ1942="1",BH1942,0)</f>
        <v>0</v>
      </c>
      <c r="AC1942" s="55">
        <f>IF(AQ1942="1",BI1942,0)</f>
        <v>0</v>
      </c>
      <c r="AD1942" s="55">
        <f>IF(AQ1942="7",BH1942,0)</f>
        <v>0</v>
      </c>
      <c r="AE1942" s="55">
        <f>IF(AQ1942="7",BI1942,0)</f>
        <v>0</v>
      </c>
      <c r="AF1942" s="55">
        <f>IF(AQ1942="2",BH1942,0)</f>
        <v>0</v>
      </c>
      <c r="AG1942" s="55">
        <f>IF(AQ1942="2",BI1942,0)</f>
        <v>0</v>
      </c>
      <c r="AH1942" s="55">
        <f>IF(AQ1942="0",BJ1942,0)</f>
        <v>0</v>
      </c>
      <c r="AI1942" s="34" t="s">
        <v>2629</v>
      </c>
      <c r="AJ1942" s="63">
        <f>IF(AN1942=0,I1942,0)</f>
        <v>0</v>
      </c>
      <c r="AK1942" s="63">
        <f>IF(AN1942=12,I1942,0)</f>
        <v>0</v>
      </c>
      <c r="AL1942" s="63">
        <f>IF(AN1942=21,I1942,0)</f>
        <v>0</v>
      </c>
      <c r="AN1942" s="55">
        <v>21</v>
      </c>
      <c r="AO1942" s="55">
        <f>H1942*1</f>
        <v>0</v>
      </c>
      <c r="AP1942" s="55">
        <f>H1942*(1-1)</f>
        <v>0</v>
      </c>
      <c r="AQ1942" s="66" t="s">
        <v>125</v>
      </c>
      <c r="AV1942" s="55">
        <f>AW1942+AX1942</f>
        <v>0</v>
      </c>
      <c r="AW1942" s="55">
        <f>G1942*AO1942</f>
        <v>0</v>
      </c>
      <c r="AX1942" s="55">
        <f>G1942*AP1942</f>
        <v>0</v>
      </c>
      <c r="AY1942" s="58" t="s">
        <v>1905</v>
      </c>
      <c r="AZ1942" s="58" t="s">
        <v>3185</v>
      </c>
      <c r="BA1942" s="34" t="s">
        <v>2634</v>
      </c>
      <c r="BC1942" s="55">
        <f>AW1942+AX1942</f>
        <v>0</v>
      </c>
      <c r="BD1942" s="55">
        <f>H1942/(100-BE1942)*100</f>
        <v>0</v>
      </c>
      <c r="BE1942" s="55">
        <v>0</v>
      </c>
      <c r="BF1942" s="55">
        <f>K1942</f>
        <v>0.018000000000000002</v>
      </c>
      <c r="BH1942" s="63">
        <f>G1942*AO1942</f>
        <v>0</v>
      </c>
      <c r="BI1942" s="63">
        <f>G1942*AP1942</f>
        <v>0</v>
      </c>
      <c r="BJ1942" s="63">
        <f>G1942*H1942</f>
        <v>0</v>
      </c>
      <c r="BK1942" s="63"/>
      <c r="BL1942" s="55">
        <v>766</v>
      </c>
      <c r="BW1942" s="55">
        <v>21</v>
      </c>
    </row>
    <row r="1943" spans="1:12" ht="14.4">
      <c r="A1943" s="59"/>
      <c r="D1943" s="60" t="s">
        <v>133</v>
      </c>
      <c r="E1943" s="60" t="s">
        <v>4</v>
      </c>
      <c r="G1943" s="68">
        <v>3</v>
      </c>
      <c r="L1943" s="69"/>
    </row>
    <row r="1944" spans="1:75" ht="27" customHeight="1">
      <c r="A1944" s="1" t="s">
        <v>3606</v>
      </c>
      <c r="B1944" s="2" t="s">
        <v>2629</v>
      </c>
      <c r="C1944" s="2" t="s">
        <v>3607</v>
      </c>
      <c r="D1944" s="147" t="s">
        <v>3608</v>
      </c>
      <c r="E1944" s="148"/>
      <c r="F1944" s="2" t="s">
        <v>123</v>
      </c>
      <c r="G1944" s="55">
        <v>4</v>
      </c>
      <c r="H1944" s="56">
        <v>0</v>
      </c>
      <c r="I1944" s="55">
        <f>G1944*H1944</f>
        <v>0</v>
      </c>
      <c r="J1944" s="55">
        <v>0.067</v>
      </c>
      <c r="K1944" s="55">
        <f>G1944*J1944</f>
        <v>0.268</v>
      </c>
      <c r="L1944" s="57" t="s">
        <v>124</v>
      </c>
      <c r="Z1944" s="55">
        <f>IF(AQ1944="5",BJ1944,0)</f>
        <v>0</v>
      </c>
      <c r="AB1944" s="55">
        <f>IF(AQ1944="1",BH1944,0)</f>
        <v>0</v>
      </c>
      <c r="AC1944" s="55">
        <f>IF(AQ1944="1",BI1944,0)</f>
        <v>0</v>
      </c>
      <c r="AD1944" s="55">
        <f>IF(AQ1944="7",BH1944,0)</f>
        <v>0</v>
      </c>
      <c r="AE1944" s="55">
        <f>IF(AQ1944="7",BI1944,0)</f>
        <v>0</v>
      </c>
      <c r="AF1944" s="55">
        <f>IF(AQ1944="2",BH1944,0)</f>
        <v>0</v>
      </c>
      <c r="AG1944" s="55">
        <f>IF(AQ1944="2",BI1944,0)</f>
        <v>0</v>
      </c>
      <c r="AH1944" s="55">
        <f>IF(AQ1944="0",BJ1944,0)</f>
        <v>0</v>
      </c>
      <c r="AI1944" s="34" t="s">
        <v>2629</v>
      </c>
      <c r="AJ1944" s="55">
        <f>IF(AN1944=0,I1944,0)</f>
        <v>0</v>
      </c>
      <c r="AK1944" s="55">
        <f>IF(AN1944=12,I1944,0)</f>
        <v>0</v>
      </c>
      <c r="AL1944" s="55">
        <f>IF(AN1944=21,I1944,0)</f>
        <v>0</v>
      </c>
      <c r="AN1944" s="55">
        <v>21</v>
      </c>
      <c r="AO1944" s="55">
        <f>H1944*0.901685393</f>
        <v>0</v>
      </c>
      <c r="AP1944" s="55">
        <f>H1944*(1-0.901685393)</f>
        <v>0</v>
      </c>
      <c r="AQ1944" s="58" t="s">
        <v>125</v>
      </c>
      <c r="AV1944" s="55">
        <f>AW1944+AX1944</f>
        <v>0</v>
      </c>
      <c r="AW1944" s="55">
        <f>G1944*AO1944</f>
        <v>0</v>
      </c>
      <c r="AX1944" s="55">
        <f>G1944*AP1944</f>
        <v>0</v>
      </c>
      <c r="AY1944" s="58" t="s">
        <v>1905</v>
      </c>
      <c r="AZ1944" s="58" t="s">
        <v>3185</v>
      </c>
      <c r="BA1944" s="34" t="s">
        <v>2634</v>
      </c>
      <c r="BB1944" s="67">
        <v>100007</v>
      </c>
      <c r="BC1944" s="55">
        <f>AW1944+AX1944</f>
        <v>0</v>
      </c>
      <c r="BD1944" s="55">
        <f>H1944/(100-BE1944)*100</f>
        <v>0</v>
      </c>
      <c r="BE1944" s="55">
        <v>0</v>
      </c>
      <c r="BF1944" s="55">
        <f>K1944</f>
        <v>0.268</v>
      </c>
      <c r="BH1944" s="55">
        <f>G1944*AO1944</f>
        <v>0</v>
      </c>
      <c r="BI1944" s="55">
        <f>G1944*AP1944</f>
        <v>0</v>
      </c>
      <c r="BJ1944" s="55">
        <f>G1944*H1944</f>
        <v>0</v>
      </c>
      <c r="BK1944" s="55"/>
      <c r="BL1944" s="55">
        <v>766</v>
      </c>
      <c r="BW1944" s="55">
        <v>21</v>
      </c>
    </row>
    <row r="1945" spans="1:12" ht="13.5" customHeight="1">
      <c r="A1945" s="59"/>
      <c r="D1945" s="218" t="s">
        <v>3609</v>
      </c>
      <c r="E1945" s="219"/>
      <c r="F1945" s="219"/>
      <c r="G1945" s="219"/>
      <c r="H1945" s="220"/>
      <c r="I1945" s="219"/>
      <c r="J1945" s="219"/>
      <c r="K1945" s="219"/>
      <c r="L1945" s="221"/>
    </row>
    <row r="1946" spans="1:12" ht="14.4">
      <c r="A1946" s="59"/>
      <c r="D1946" s="60" t="s">
        <v>136</v>
      </c>
      <c r="E1946" s="60" t="s">
        <v>4</v>
      </c>
      <c r="G1946" s="68">
        <v>4</v>
      </c>
      <c r="L1946" s="69"/>
    </row>
    <row r="1947" spans="1:75" ht="13.5" customHeight="1">
      <c r="A1947" s="1" t="s">
        <v>3610</v>
      </c>
      <c r="B1947" s="2" t="s">
        <v>2629</v>
      </c>
      <c r="C1947" s="2" t="s">
        <v>3611</v>
      </c>
      <c r="D1947" s="147" t="s">
        <v>3612</v>
      </c>
      <c r="E1947" s="148"/>
      <c r="F1947" s="2" t="s">
        <v>374</v>
      </c>
      <c r="G1947" s="55">
        <v>0</v>
      </c>
      <c r="H1947" s="56">
        <v>0</v>
      </c>
      <c r="I1947" s="55">
        <f>G1947*H1947</f>
        <v>0</v>
      </c>
      <c r="J1947" s="55">
        <v>2E-05</v>
      </c>
      <c r="K1947" s="55">
        <f>G1947*J1947</f>
        <v>0</v>
      </c>
      <c r="L1947" s="57" t="s">
        <v>785</v>
      </c>
      <c r="Z1947" s="55">
        <f>IF(AQ1947="5",BJ1947,0)</f>
        <v>0</v>
      </c>
      <c r="AB1947" s="55">
        <f>IF(AQ1947="1",BH1947,0)</f>
        <v>0</v>
      </c>
      <c r="AC1947" s="55">
        <f>IF(AQ1947="1",BI1947,0)</f>
        <v>0</v>
      </c>
      <c r="AD1947" s="55">
        <f>IF(AQ1947="7",BH1947,0)</f>
        <v>0</v>
      </c>
      <c r="AE1947" s="55">
        <f>IF(AQ1947="7",BI1947,0)</f>
        <v>0</v>
      </c>
      <c r="AF1947" s="55">
        <f>IF(AQ1947="2",BH1947,0)</f>
        <v>0</v>
      </c>
      <c r="AG1947" s="55">
        <f>IF(AQ1947="2",BI1947,0)</f>
        <v>0</v>
      </c>
      <c r="AH1947" s="55">
        <f>IF(AQ1947="0",BJ1947,0)</f>
        <v>0</v>
      </c>
      <c r="AI1947" s="34" t="s">
        <v>2629</v>
      </c>
      <c r="AJ1947" s="55">
        <f>IF(AN1947=0,I1947,0)</f>
        <v>0</v>
      </c>
      <c r="AK1947" s="55">
        <f>IF(AN1947=12,I1947,0)</f>
        <v>0</v>
      </c>
      <c r="AL1947" s="55">
        <f>IF(AN1947=21,I1947,0)</f>
        <v>0</v>
      </c>
      <c r="AN1947" s="55">
        <v>21</v>
      </c>
      <c r="AO1947" s="55">
        <f>H1947*0</f>
        <v>0</v>
      </c>
      <c r="AP1947" s="55">
        <f>H1947*(1-0)</f>
        <v>0</v>
      </c>
      <c r="AQ1947" s="58" t="s">
        <v>125</v>
      </c>
      <c r="AV1947" s="55">
        <f>AW1947+AX1947</f>
        <v>0</v>
      </c>
      <c r="AW1947" s="55">
        <f>G1947*AO1947</f>
        <v>0</v>
      </c>
      <c r="AX1947" s="55">
        <f>G1947*AP1947</f>
        <v>0</v>
      </c>
      <c r="AY1947" s="58" t="s">
        <v>1905</v>
      </c>
      <c r="AZ1947" s="58" t="s">
        <v>3185</v>
      </c>
      <c r="BA1947" s="34" t="s">
        <v>2634</v>
      </c>
      <c r="BB1947" s="67">
        <v>100007</v>
      </c>
      <c r="BC1947" s="55">
        <f>AW1947+AX1947</f>
        <v>0</v>
      </c>
      <c r="BD1947" s="55">
        <f>H1947/(100-BE1947)*100</f>
        <v>0</v>
      </c>
      <c r="BE1947" s="55">
        <v>0</v>
      </c>
      <c r="BF1947" s="55">
        <f>K1947</f>
        <v>0</v>
      </c>
      <c r="BH1947" s="55">
        <f>G1947*AO1947</f>
        <v>0</v>
      </c>
      <c r="BI1947" s="55">
        <f>G1947*AP1947</f>
        <v>0</v>
      </c>
      <c r="BJ1947" s="55">
        <f>G1947*H1947</f>
        <v>0</v>
      </c>
      <c r="BK1947" s="55"/>
      <c r="BL1947" s="55">
        <v>766</v>
      </c>
      <c r="BW1947" s="55">
        <v>21</v>
      </c>
    </row>
    <row r="1948" spans="1:75" ht="13.5" customHeight="1">
      <c r="A1948" s="61" t="s">
        <v>3613</v>
      </c>
      <c r="B1948" s="62" t="s">
        <v>2629</v>
      </c>
      <c r="C1948" s="62" t="s">
        <v>3614</v>
      </c>
      <c r="D1948" s="224" t="s">
        <v>3615</v>
      </c>
      <c r="E1948" s="225"/>
      <c r="F1948" s="62" t="s">
        <v>174</v>
      </c>
      <c r="G1948" s="63">
        <v>6.4</v>
      </c>
      <c r="H1948" s="64">
        <v>0</v>
      </c>
      <c r="I1948" s="63">
        <f>G1948*H1948</f>
        <v>0</v>
      </c>
      <c r="J1948" s="63">
        <v>0.0033</v>
      </c>
      <c r="K1948" s="63">
        <f>G1948*J1948</f>
        <v>0.02112</v>
      </c>
      <c r="L1948" s="65" t="s">
        <v>124</v>
      </c>
      <c r="Z1948" s="55">
        <f>IF(AQ1948="5",BJ1948,0)</f>
        <v>0</v>
      </c>
      <c r="AB1948" s="55">
        <f>IF(AQ1948="1",BH1948,0)</f>
        <v>0</v>
      </c>
      <c r="AC1948" s="55">
        <f>IF(AQ1948="1",BI1948,0)</f>
        <v>0</v>
      </c>
      <c r="AD1948" s="55">
        <f>IF(AQ1948="7",BH1948,0)</f>
        <v>0</v>
      </c>
      <c r="AE1948" s="55">
        <f>IF(AQ1948="7",BI1948,0)</f>
        <v>0</v>
      </c>
      <c r="AF1948" s="55">
        <f>IF(AQ1948="2",BH1948,0)</f>
        <v>0</v>
      </c>
      <c r="AG1948" s="55">
        <f>IF(AQ1948="2",BI1948,0)</f>
        <v>0</v>
      </c>
      <c r="AH1948" s="55">
        <f>IF(AQ1948="0",BJ1948,0)</f>
        <v>0</v>
      </c>
      <c r="AI1948" s="34" t="s">
        <v>2629</v>
      </c>
      <c r="AJ1948" s="63">
        <f>IF(AN1948=0,I1948,0)</f>
        <v>0</v>
      </c>
      <c r="AK1948" s="63">
        <f>IF(AN1948=12,I1948,0)</f>
        <v>0</v>
      </c>
      <c r="AL1948" s="63">
        <f>IF(AN1948=21,I1948,0)</f>
        <v>0</v>
      </c>
      <c r="AN1948" s="55">
        <v>21</v>
      </c>
      <c r="AO1948" s="55">
        <f>H1948*1</f>
        <v>0</v>
      </c>
      <c r="AP1948" s="55">
        <f>H1948*(1-1)</f>
        <v>0</v>
      </c>
      <c r="AQ1948" s="66" t="s">
        <v>125</v>
      </c>
      <c r="AV1948" s="55">
        <f>AW1948+AX1948</f>
        <v>0</v>
      </c>
      <c r="AW1948" s="55">
        <f>G1948*AO1948</f>
        <v>0</v>
      </c>
      <c r="AX1948" s="55">
        <f>G1948*AP1948</f>
        <v>0</v>
      </c>
      <c r="AY1948" s="58" t="s">
        <v>1905</v>
      </c>
      <c r="AZ1948" s="58" t="s">
        <v>3185</v>
      </c>
      <c r="BA1948" s="34" t="s">
        <v>2634</v>
      </c>
      <c r="BC1948" s="55">
        <f>AW1948+AX1948</f>
        <v>0</v>
      </c>
      <c r="BD1948" s="55">
        <f>H1948/(100-BE1948)*100</f>
        <v>0</v>
      </c>
      <c r="BE1948" s="55">
        <v>0</v>
      </c>
      <c r="BF1948" s="55">
        <f>K1948</f>
        <v>0.02112</v>
      </c>
      <c r="BH1948" s="63">
        <f>G1948*AO1948</f>
        <v>0</v>
      </c>
      <c r="BI1948" s="63">
        <f>G1948*AP1948</f>
        <v>0</v>
      </c>
      <c r="BJ1948" s="63">
        <f>G1948*H1948</f>
        <v>0</v>
      </c>
      <c r="BK1948" s="63"/>
      <c r="BL1948" s="55">
        <v>766</v>
      </c>
      <c r="BW1948" s="55">
        <v>21</v>
      </c>
    </row>
    <row r="1949" spans="1:12" ht="14.4">
      <c r="A1949" s="59"/>
      <c r="D1949" s="60" t="s">
        <v>3616</v>
      </c>
      <c r="E1949" s="60" t="s">
        <v>4</v>
      </c>
      <c r="G1949" s="68">
        <v>6.4</v>
      </c>
      <c r="L1949" s="69"/>
    </row>
    <row r="1950" spans="1:75" ht="13.5" customHeight="1">
      <c r="A1950" s="1" t="s">
        <v>3617</v>
      </c>
      <c r="B1950" s="2" t="s">
        <v>2629</v>
      </c>
      <c r="C1950" s="2" t="s">
        <v>2021</v>
      </c>
      <c r="D1950" s="147" t="s">
        <v>2022</v>
      </c>
      <c r="E1950" s="148"/>
      <c r="F1950" s="2" t="s">
        <v>939</v>
      </c>
      <c r="G1950" s="55">
        <v>0.42</v>
      </c>
      <c r="H1950" s="56">
        <v>0</v>
      </c>
      <c r="I1950" s="55">
        <f>G1950*H1950</f>
        <v>0</v>
      </c>
      <c r="J1950" s="55">
        <v>0</v>
      </c>
      <c r="K1950" s="55">
        <f>G1950*J1950</f>
        <v>0</v>
      </c>
      <c r="L1950" s="57" t="s">
        <v>785</v>
      </c>
      <c r="Z1950" s="55">
        <f>IF(AQ1950="5",BJ1950,0)</f>
        <v>0</v>
      </c>
      <c r="AB1950" s="55">
        <f>IF(AQ1950="1",BH1950,0)</f>
        <v>0</v>
      </c>
      <c r="AC1950" s="55">
        <f>IF(AQ1950="1",BI1950,0)</f>
        <v>0</v>
      </c>
      <c r="AD1950" s="55">
        <f>IF(AQ1950="7",BH1950,0)</f>
        <v>0</v>
      </c>
      <c r="AE1950" s="55">
        <f>IF(AQ1950="7",BI1950,0)</f>
        <v>0</v>
      </c>
      <c r="AF1950" s="55">
        <f>IF(AQ1950="2",BH1950,0)</f>
        <v>0</v>
      </c>
      <c r="AG1950" s="55">
        <f>IF(AQ1950="2",BI1950,0)</f>
        <v>0</v>
      </c>
      <c r="AH1950" s="55">
        <f>IF(AQ1950="0",BJ1950,0)</f>
        <v>0</v>
      </c>
      <c r="AI1950" s="34" t="s">
        <v>2629</v>
      </c>
      <c r="AJ1950" s="55">
        <f>IF(AN1950=0,I1950,0)</f>
        <v>0</v>
      </c>
      <c r="AK1950" s="55">
        <f>IF(AN1950=12,I1950,0)</f>
        <v>0</v>
      </c>
      <c r="AL1950" s="55">
        <f>IF(AN1950=21,I1950,0)</f>
        <v>0</v>
      </c>
      <c r="AN1950" s="55">
        <v>21</v>
      </c>
      <c r="AO1950" s="55">
        <f>H1950*0</f>
        <v>0</v>
      </c>
      <c r="AP1950" s="55">
        <f>H1950*(1-0)</f>
        <v>0</v>
      </c>
      <c r="AQ1950" s="58" t="s">
        <v>139</v>
      </c>
      <c r="AV1950" s="55">
        <f>AW1950+AX1950</f>
        <v>0</v>
      </c>
      <c r="AW1950" s="55">
        <f>G1950*AO1950</f>
        <v>0</v>
      </c>
      <c r="AX1950" s="55">
        <f>G1950*AP1950</f>
        <v>0</v>
      </c>
      <c r="AY1950" s="58" t="s">
        <v>1905</v>
      </c>
      <c r="AZ1950" s="58" t="s">
        <v>3185</v>
      </c>
      <c r="BA1950" s="34" t="s">
        <v>2634</v>
      </c>
      <c r="BC1950" s="55">
        <f>AW1950+AX1950</f>
        <v>0</v>
      </c>
      <c r="BD1950" s="55">
        <f>H1950/(100-BE1950)*100</f>
        <v>0</v>
      </c>
      <c r="BE1950" s="55">
        <v>0</v>
      </c>
      <c r="BF1950" s="55">
        <f>K1950</f>
        <v>0</v>
      </c>
      <c r="BH1950" s="55">
        <f>G1950*AO1950</f>
        <v>0</v>
      </c>
      <c r="BI1950" s="55">
        <f>G1950*AP1950</f>
        <v>0</v>
      </c>
      <c r="BJ1950" s="55">
        <f>G1950*H1950</f>
        <v>0</v>
      </c>
      <c r="BK1950" s="55"/>
      <c r="BL1950" s="55">
        <v>766</v>
      </c>
      <c r="BW1950" s="55">
        <v>21</v>
      </c>
    </row>
    <row r="1951" spans="1:12" ht="14.4">
      <c r="A1951" s="59"/>
      <c r="D1951" s="60" t="s">
        <v>3618</v>
      </c>
      <c r="E1951" s="60" t="s">
        <v>4</v>
      </c>
      <c r="G1951" s="68">
        <v>0.42</v>
      </c>
      <c r="L1951" s="69"/>
    </row>
    <row r="1952" spans="1:47" ht="14.4">
      <c r="A1952" s="50" t="s">
        <v>4</v>
      </c>
      <c r="B1952" s="51" t="s">
        <v>2629</v>
      </c>
      <c r="C1952" s="51" t="s">
        <v>3065</v>
      </c>
      <c r="D1952" s="222" t="s">
        <v>3619</v>
      </c>
      <c r="E1952" s="223"/>
      <c r="F1952" s="52" t="s">
        <v>79</v>
      </c>
      <c r="G1952" s="52" t="s">
        <v>79</v>
      </c>
      <c r="H1952" s="53" t="s">
        <v>79</v>
      </c>
      <c r="I1952" s="27">
        <f>SUM(I1953:I1958)</f>
        <v>0</v>
      </c>
      <c r="J1952" s="34" t="s">
        <v>4</v>
      </c>
      <c r="K1952" s="27">
        <f>SUM(K1953:K1958)</f>
        <v>0.010752000000000001</v>
      </c>
      <c r="L1952" s="54" t="s">
        <v>4</v>
      </c>
      <c r="AI1952" s="34" t="s">
        <v>2629</v>
      </c>
      <c r="AS1952" s="27">
        <f>SUM(AJ1953:AJ1958)</f>
        <v>0</v>
      </c>
      <c r="AT1952" s="27">
        <f>SUM(AK1953:AK1958)</f>
        <v>0</v>
      </c>
      <c r="AU1952" s="27">
        <f>SUM(AL1953:AL1958)</f>
        <v>0</v>
      </c>
    </row>
    <row r="1953" spans="1:75" ht="13.5" customHeight="1">
      <c r="A1953" s="1" t="s">
        <v>3620</v>
      </c>
      <c r="B1953" s="2" t="s">
        <v>2629</v>
      </c>
      <c r="C1953" s="2" t="s">
        <v>3621</v>
      </c>
      <c r="D1953" s="147" t="s">
        <v>3622</v>
      </c>
      <c r="E1953" s="148"/>
      <c r="F1953" s="2" t="s">
        <v>729</v>
      </c>
      <c r="G1953" s="55">
        <v>3.84</v>
      </c>
      <c r="H1953" s="56">
        <v>0</v>
      </c>
      <c r="I1953" s="55">
        <f>G1953*H1953</f>
        <v>0</v>
      </c>
      <c r="J1953" s="55">
        <v>0.0003</v>
      </c>
      <c r="K1953" s="55">
        <f>G1953*J1953</f>
        <v>0.0011519999999999998</v>
      </c>
      <c r="L1953" s="57" t="s">
        <v>785</v>
      </c>
      <c r="Z1953" s="55">
        <f>IF(AQ1953="5",BJ1953,0)</f>
        <v>0</v>
      </c>
      <c r="AB1953" s="55">
        <f>IF(AQ1953="1",BH1953,0)</f>
        <v>0</v>
      </c>
      <c r="AC1953" s="55">
        <f>IF(AQ1953="1",BI1953,0)</f>
        <v>0</v>
      </c>
      <c r="AD1953" s="55">
        <f>IF(AQ1953="7",BH1953,0)</f>
        <v>0</v>
      </c>
      <c r="AE1953" s="55">
        <f>IF(AQ1953="7",BI1953,0)</f>
        <v>0</v>
      </c>
      <c r="AF1953" s="55">
        <f>IF(AQ1953="2",BH1953,0)</f>
        <v>0</v>
      </c>
      <c r="AG1953" s="55">
        <f>IF(AQ1953="2",BI1953,0)</f>
        <v>0</v>
      </c>
      <c r="AH1953" s="55">
        <f>IF(AQ1953="0",BJ1953,0)</f>
        <v>0</v>
      </c>
      <c r="AI1953" s="34" t="s">
        <v>2629</v>
      </c>
      <c r="AJ1953" s="55">
        <f>IF(AN1953=0,I1953,0)</f>
        <v>0</v>
      </c>
      <c r="AK1953" s="55">
        <f>IF(AN1953=12,I1953,0)</f>
        <v>0</v>
      </c>
      <c r="AL1953" s="55">
        <f>IF(AN1953=21,I1953,0)</f>
        <v>0</v>
      </c>
      <c r="AN1953" s="55">
        <v>21</v>
      </c>
      <c r="AO1953" s="55">
        <f>H1953*0.563419071</f>
        <v>0</v>
      </c>
      <c r="AP1953" s="55">
        <f>H1953*(1-0.563419071)</f>
        <v>0</v>
      </c>
      <c r="AQ1953" s="58" t="s">
        <v>125</v>
      </c>
      <c r="AV1953" s="55">
        <f>AW1953+AX1953</f>
        <v>0</v>
      </c>
      <c r="AW1953" s="55">
        <f>G1953*AO1953</f>
        <v>0</v>
      </c>
      <c r="AX1953" s="55">
        <f>G1953*AP1953</f>
        <v>0</v>
      </c>
      <c r="AY1953" s="58" t="s">
        <v>3623</v>
      </c>
      <c r="AZ1953" s="58" t="s">
        <v>3624</v>
      </c>
      <c r="BA1953" s="34" t="s">
        <v>2634</v>
      </c>
      <c r="BB1953" s="67">
        <v>100045</v>
      </c>
      <c r="BC1953" s="55">
        <f>AW1953+AX1953</f>
        <v>0</v>
      </c>
      <c r="BD1953" s="55">
        <f>H1953/(100-BE1953)*100</f>
        <v>0</v>
      </c>
      <c r="BE1953" s="55">
        <v>0</v>
      </c>
      <c r="BF1953" s="55">
        <f>K1953</f>
        <v>0.0011519999999999998</v>
      </c>
      <c r="BH1953" s="55">
        <f>G1953*AO1953</f>
        <v>0</v>
      </c>
      <c r="BI1953" s="55">
        <f>G1953*AP1953</f>
        <v>0</v>
      </c>
      <c r="BJ1953" s="55">
        <f>G1953*H1953</f>
        <v>0</v>
      </c>
      <c r="BK1953" s="55"/>
      <c r="BL1953" s="55">
        <v>786</v>
      </c>
      <c r="BW1953" s="55">
        <v>21</v>
      </c>
    </row>
    <row r="1954" spans="1:12" ht="13.5" customHeight="1">
      <c r="A1954" s="59"/>
      <c r="D1954" s="218" t="s">
        <v>3625</v>
      </c>
      <c r="E1954" s="219"/>
      <c r="F1954" s="219"/>
      <c r="G1954" s="219"/>
      <c r="H1954" s="220"/>
      <c r="I1954" s="219"/>
      <c r="J1954" s="219"/>
      <c r="K1954" s="219"/>
      <c r="L1954" s="221"/>
    </row>
    <row r="1955" spans="1:12" ht="14.4">
      <c r="A1955" s="59"/>
      <c r="D1955" s="60" t="s">
        <v>3626</v>
      </c>
      <c r="E1955" s="60" t="s">
        <v>4</v>
      </c>
      <c r="G1955" s="68">
        <v>3.84</v>
      </c>
      <c r="L1955" s="69"/>
    </row>
    <row r="1956" spans="1:75" ht="13.5" customHeight="1">
      <c r="A1956" s="61" t="s">
        <v>3627</v>
      </c>
      <c r="B1956" s="62" t="s">
        <v>2629</v>
      </c>
      <c r="C1956" s="62" t="s">
        <v>3628</v>
      </c>
      <c r="D1956" s="224" t="s">
        <v>3629</v>
      </c>
      <c r="E1956" s="225"/>
      <c r="F1956" s="62" t="s">
        <v>374</v>
      </c>
      <c r="G1956" s="63">
        <v>6</v>
      </c>
      <c r="H1956" s="64">
        <v>0</v>
      </c>
      <c r="I1956" s="63">
        <f>G1956*H1956</f>
        <v>0</v>
      </c>
      <c r="J1956" s="63">
        <v>0.0016</v>
      </c>
      <c r="K1956" s="63">
        <f>G1956*J1956</f>
        <v>0.009600000000000001</v>
      </c>
      <c r="L1956" s="65" t="s">
        <v>124</v>
      </c>
      <c r="Z1956" s="55">
        <f>IF(AQ1956="5",BJ1956,0)</f>
        <v>0</v>
      </c>
      <c r="AB1956" s="55">
        <f>IF(AQ1956="1",BH1956,0)</f>
        <v>0</v>
      </c>
      <c r="AC1956" s="55">
        <f>IF(AQ1956="1",BI1956,0)</f>
        <v>0</v>
      </c>
      <c r="AD1956" s="55">
        <f>IF(AQ1956="7",BH1956,0)</f>
        <v>0</v>
      </c>
      <c r="AE1956" s="55">
        <f>IF(AQ1956="7",BI1956,0)</f>
        <v>0</v>
      </c>
      <c r="AF1956" s="55">
        <f>IF(AQ1956="2",BH1956,0)</f>
        <v>0</v>
      </c>
      <c r="AG1956" s="55">
        <f>IF(AQ1956="2",BI1956,0)</f>
        <v>0</v>
      </c>
      <c r="AH1956" s="55">
        <f>IF(AQ1956="0",BJ1956,0)</f>
        <v>0</v>
      </c>
      <c r="AI1956" s="34" t="s">
        <v>2629</v>
      </c>
      <c r="AJ1956" s="63">
        <f>IF(AN1956=0,I1956,0)</f>
        <v>0</v>
      </c>
      <c r="AK1956" s="63">
        <f>IF(AN1956=12,I1956,0)</f>
        <v>0</v>
      </c>
      <c r="AL1956" s="63">
        <f>IF(AN1956=21,I1956,0)</f>
        <v>0</v>
      </c>
      <c r="AN1956" s="55">
        <v>21</v>
      </c>
      <c r="AO1956" s="55">
        <f>H1956*1</f>
        <v>0</v>
      </c>
      <c r="AP1956" s="55">
        <f>H1956*(1-1)</f>
        <v>0</v>
      </c>
      <c r="AQ1956" s="66" t="s">
        <v>125</v>
      </c>
      <c r="AV1956" s="55">
        <f>AW1956+AX1956</f>
        <v>0</v>
      </c>
      <c r="AW1956" s="55">
        <f>G1956*AO1956</f>
        <v>0</v>
      </c>
      <c r="AX1956" s="55">
        <f>G1956*AP1956</f>
        <v>0</v>
      </c>
      <c r="AY1956" s="58" t="s">
        <v>3623</v>
      </c>
      <c r="AZ1956" s="58" t="s">
        <v>3624</v>
      </c>
      <c r="BA1956" s="34" t="s">
        <v>2634</v>
      </c>
      <c r="BC1956" s="55">
        <f>AW1956+AX1956</f>
        <v>0</v>
      </c>
      <c r="BD1956" s="55">
        <f>H1956/(100-BE1956)*100</f>
        <v>0</v>
      </c>
      <c r="BE1956" s="55">
        <v>0</v>
      </c>
      <c r="BF1956" s="55">
        <f>K1956</f>
        <v>0.009600000000000001</v>
      </c>
      <c r="BH1956" s="63">
        <f>G1956*AO1956</f>
        <v>0</v>
      </c>
      <c r="BI1956" s="63">
        <f>G1956*AP1956</f>
        <v>0</v>
      </c>
      <c r="BJ1956" s="63">
        <f>G1956*H1956</f>
        <v>0</v>
      </c>
      <c r="BK1956" s="63"/>
      <c r="BL1956" s="55">
        <v>786</v>
      </c>
      <c r="BW1956" s="55">
        <v>21</v>
      </c>
    </row>
    <row r="1957" spans="1:12" ht="14.4">
      <c r="A1957" s="59"/>
      <c r="D1957" s="60" t="s">
        <v>142</v>
      </c>
      <c r="E1957" s="60" t="s">
        <v>4</v>
      </c>
      <c r="G1957" s="68">
        <v>6</v>
      </c>
      <c r="L1957" s="69"/>
    </row>
    <row r="1958" spans="1:75" ht="13.5" customHeight="1">
      <c r="A1958" s="1" t="s">
        <v>3630</v>
      </c>
      <c r="B1958" s="2" t="s">
        <v>2629</v>
      </c>
      <c r="C1958" s="2" t="s">
        <v>3631</v>
      </c>
      <c r="D1958" s="147" t="s">
        <v>3632</v>
      </c>
      <c r="E1958" s="148"/>
      <c r="F1958" s="2" t="s">
        <v>939</v>
      </c>
      <c r="G1958" s="55">
        <v>0.01</v>
      </c>
      <c r="H1958" s="56">
        <v>0</v>
      </c>
      <c r="I1958" s="55">
        <f>G1958*H1958</f>
        <v>0</v>
      </c>
      <c r="J1958" s="55">
        <v>0</v>
      </c>
      <c r="K1958" s="55">
        <f>G1958*J1958</f>
        <v>0</v>
      </c>
      <c r="L1958" s="57" t="s">
        <v>785</v>
      </c>
      <c r="Z1958" s="55">
        <f>IF(AQ1958="5",BJ1958,0)</f>
        <v>0</v>
      </c>
      <c r="AB1958" s="55">
        <f>IF(AQ1958="1",BH1958,0)</f>
        <v>0</v>
      </c>
      <c r="AC1958" s="55">
        <f>IF(AQ1958="1",BI1958,0)</f>
        <v>0</v>
      </c>
      <c r="AD1958" s="55">
        <f>IF(AQ1958="7",BH1958,0)</f>
        <v>0</v>
      </c>
      <c r="AE1958" s="55">
        <f>IF(AQ1958="7",BI1958,0)</f>
        <v>0</v>
      </c>
      <c r="AF1958" s="55">
        <f>IF(AQ1958="2",BH1958,0)</f>
        <v>0</v>
      </c>
      <c r="AG1958" s="55">
        <f>IF(AQ1958="2",BI1958,0)</f>
        <v>0</v>
      </c>
      <c r="AH1958" s="55">
        <f>IF(AQ1958="0",BJ1958,0)</f>
        <v>0</v>
      </c>
      <c r="AI1958" s="34" t="s">
        <v>2629</v>
      </c>
      <c r="AJ1958" s="55">
        <f>IF(AN1958=0,I1958,0)</f>
        <v>0</v>
      </c>
      <c r="AK1958" s="55">
        <f>IF(AN1958=12,I1958,0)</f>
        <v>0</v>
      </c>
      <c r="AL1958" s="55">
        <f>IF(AN1958=21,I1958,0)</f>
        <v>0</v>
      </c>
      <c r="AN1958" s="55">
        <v>21</v>
      </c>
      <c r="AO1958" s="55">
        <f>H1958*0</f>
        <v>0</v>
      </c>
      <c r="AP1958" s="55">
        <f>H1958*(1-0)</f>
        <v>0</v>
      </c>
      <c r="AQ1958" s="58" t="s">
        <v>139</v>
      </c>
      <c r="AV1958" s="55">
        <f>AW1958+AX1958</f>
        <v>0</v>
      </c>
      <c r="AW1958" s="55">
        <f>G1958*AO1958</f>
        <v>0</v>
      </c>
      <c r="AX1958" s="55">
        <f>G1958*AP1958</f>
        <v>0</v>
      </c>
      <c r="AY1958" s="58" t="s">
        <v>3623</v>
      </c>
      <c r="AZ1958" s="58" t="s">
        <v>3624</v>
      </c>
      <c r="BA1958" s="34" t="s">
        <v>2634</v>
      </c>
      <c r="BC1958" s="55">
        <f>AW1958+AX1958</f>
        <v>0</v>
      </c>
      <c r="BD1958" s="55">
        <f>H1958/(100-BE1958)*100</f>
        <v>0</v>
      </c>
      <c r="BE1958" s="55">
        <v>0</v>
      </c>
      <c r="BF1958" s="55">
        <f>K1958</f>
        <v>0</v>
      </c>
      <c r="BH1958" s="55">
        <f>G1958*AO1958</f>
        <v>0</v>
      </c>
      <c r="BI1958" s="55">
        <f>G1958*AP1958</f>
        <v>0</v>
      </c>
      <c r="BJ1958" s="55">
        <f>G1958*H1958</f>
        <v>0</v>
      </c>
      <c r="BK1958" s="55"/>
      <c r="BL1958" s="55">
        <v>786</v>
      </c>
      <c r="BW1958" s="55">
        <v>21</v>
      </c>
    </row>
    <row r="1959" spans="1:12" ht="14.4">
      <c r="A1959" s="59"/>
      <c r="D1959" s="60" t="s">
        <v>3633</v>
      </c>
      <c r="E1959" s="60" t="s">
        <v>4</v>
      </c>
      <c r="G1959" s="68">
        <v>0.01</v>
      </c>
      <c r="L1959" s="69"/>
    </row>
    <row r="1960" spans="1:47" ht="14.4">
      <c r="A1960" s="50" t="s">
        <v>4</v>
      </c>
      <c r="B1960" s="51" t="s">
        <v>2629</v>
      </c>
      <c r="C1960" s="51" t="s">
        <v>2329</v>
      </c>
      <c r="D1960" s="222" t="s">
        <v>2330</v>
      </c>
      <c r="E1960" s="223"/>
      <c r="F1960" s="52" t="s">
        <v>79</v>
      </c>
      <c r="G1960" s="52" t="s">
        <v>79</v>
      </c>
      <c r="H1960" s="53" t="s">
        <v>79</v>
      </c>
      <c r="I1960" s="27">
        <f>SUM(I1961:I1979)</f>
        <v>0</v>
      </c>
      <c r="J1960" s="34" t="s">
        <v>4</v>
      </c>
      <c r="K1960" s="27">
        <f>SUM(K1961:K1979)</f>
        <v>0</v>
      </c>
      <c r="L1960" s="54" t="s">
        <v>4</v>
      </c>
      <c r="AI1960" s="34" t="s">
        <v>2629</v>
      </c>
      <c r="AS1960" s="27">
        <f>SUM(AJ1961:AJ1979)</f>
        <v>0</v>
      </c>
      <c r="AT1960" s="27">
        <f>SUM(AK1961:AK1979)</f>
        <v>0</v>
      </c>
      <c r="AU1960" s="27">
        <f>SUM(AL1961:AL1979)</f>
        <v>0</v>
      </c>
    </row>
    <row r="1961" spans="1:75" ht="13.5" customHeight="1">
      <c r="A1961" s="1" t="s">
        <v>3634</v>
      </c>
      <c r="B1961" s="2" t="s">
        <v>2629</v>
      </c>
      <c r="C1961" s="2" t="s">
        <v>2817</v>
      </c>
      <c r="D1961" s="147" t="s">
        <v>2818</v>
      </c>
      <c r="E1961" s="148"/>
      <c r="F1961" s="2" t="s">
        <v>360</v>
      </c>
      <c r="G1961" s="55">
        <v>27</v>
      </c>
      <c r="H1961" s="56">
        <v>0</v>
      </c>
      <c r="I1961" s="55">
        <f>G1961*H1961</f>
        <v>0</v>
      </c>
      <c r="J1961" s="55">
        <v>0</v>
      </c>
      <c r="K1961" s="55">
        <f>G1961*J1961</f>
        <v>0</v>
      </c>
      <c r="L1961" s="57" t="s">
        <v>124</v>
      </c>
      <c r="Z1961" s="55">
        <f>IF(AQ1961="5",BJ1961,0)</f>
        <v>0</v>
      </c>
      <c r="AB1961" s="55">
        <f>IF(AQ1961="1",BH1961,0)</f>
        <v>0</v>
      </c>
      <c r="AC1961" s="55">
        <f>IF(AQ1961="1",BI1961,0)</f>
        <v>0</v>
      </c>
      <c r="AD1961" s="55">
        <f>IF(AQ1961="7",BH1961,0)</f>
        <v>0</v>
      </c>
      <c r="AE1961" s="55">
        <f>IF(AQ1961="7",BI1961,0)</f>
        <v>0</v>
      </c>
      <c r="AF1961" s="55">
        <f>IF(AQ1961="2",BH1961,0)</f>
        <v>0</v>
      </c>
      <c r="AG1961" s="55">
        <f>IF(AQ1961="2",BI1961,0)</f>
        <v>0</v>
      </c>
      <c r="AH1961" s="55">
        <f>IF(AQ1961="0",BJ1961,0)</f>
        <v>0</v>
      </c>
      <c r="AI1961" s="34" t="s">
        <v>2629</v>
      </c>
      <c r="AJ1961" s="55">
        <f>IF(AN1961=0,I1961,0)</f>
        <v>0</v>
      </c>
      <c r="AK1961" s="55">
        <f>IF(AN1961=12,I1961,0)</f>
        <v>0</v>
      </c>
      <c r="AL1961" s="55">
        <f>IF(AN1961=21,I1961,0)</f>
        <v>0</v>
      </c>
      <c r="AN1961" s="55">
        <v>21</v>
      </c>
      <c r="AO1961" s="55">
        <f>H1961*0</f>
        <v>0</v>
      </c>
      <c r="AP1961" s="55">
        <f>H1961*(1-0)</f>
        <v>0</v>
      </c>
      <c r="AQ1961" s="58" t="s">
        <v>125</v>
      </c>
      <c r="AV1961" s="55">
        <f>AW1961+AX1961</f>
        <v>0</v>
      </c>
      <c r="AW1961" s="55">
        <f>G1961*AO1961</f>
        <v>0</v>
      </c>
      <c r="AX1961" s="55">
        <f>G1961*AP1961</f>
        <v>0</v>
      </c>
      <c r="AY1961" s="58" t="s">
        <v>2334</v>
      </c>
      <c r="AZ1961" s="58" t="s">
        <v>2633</v>
      </c>
      <c r="BA1961" s="34" t="s">
        <v>2634</v>
      </c>
      <c r="BC1961" s="55">
        <f>AW1961+AX1961</f>
        <v>0</v>
      </c>
      <c r="BD1961" s="55">
        <f>H1961/(100-BE1961)*100</f>
        <v>0</v>
      </c>
      <c r="BE1961" s="55">
        <v>0</v>
      </c>
      <c r="BF1961" s="55">
        <f>K1961</f>
        <v>0</v>
      </c>
      <c r="BH1961" s="55">
        <f>G1961*AO1961</f>
        <v>0</v>
      </c>
      <c r="BI1961" s="55">
        <f>G1961*AP1961</f>
        <v>0</v>
      </c>
      <c r="BJ1961" s="55">
        <f>G1961*H1961</f>
        <v>0</v>
      </c>
      <c r="BK1961" s="55"/>
      <c r="BL1961" s="55"/>
      <c r="BW1961" s="55">
        <v>21</v>
      </c>
    </row>
    <row r="1962" spans="1:12" ht="13.5" customHeight="1">
      <c r="A1962" s="59"/>
      <c r="D1962" s="218" t="s">
        <v>3635</v>
      </c>
      <c r="E1962" s="219"/>
      <c r="F1962" s="219"/>
      <c r="G1962" s="219"/>
      <c r="H1962" s="220"/>
      <c r="I1962" s="219"/>
      <c r="J1962" s="219"/>
      <c r="K1962" s="219"/>
      <c r="L1962" s="221"/>
    </row>
    <row r="1963" spans="1:75" ht="13.5" customHeight="1">
      <c r="A1963" s="61" t="s">
        <v>3636</v>
      </c>
      <c r="B1963" s="62" t="s">
        <v>2629</v>
      </c>
      <c r="C1963" s="62" t="s">
        <v>3637</v>
      </c>
      <c r="D1963" s="224" t="s">
        <v>3638</v>
      </c>
      <c r="E1963" s="225"/>
      <c r="F1963" s="62" t="s">
        <v>2936</v>
      </c>
      <c r="G1963" s="63">
        <v>51</v>
      </c>
      <c r="H1963" s="64">
        <v>0</v>
      </c>
      <c r="I1963" s="63">
        <f>G1963*H1963</f>
        <v>0</v>
      </c>
      <c r="J1963" s="63">
        <v>0</v>
      </c>
      <c r="K1963" s="63">
        <f>G1963*J1963</f>
        <v>0</v>
      </c>
      <c r="L1963" s="65" t="s">
        <v>124</v>
      </c>
      <c r="Z1963" s="55">
        <f>IF(AQ1963="5",BJ1963,0)</f>
        <v>0</v>
      </c>
      <c r="AB1963" s="55">
        <f>IF(AQ1963="1",BH1963,0)</f>
        <v>0</v>
      </c>
      <c r="AC1963" s="55">
        <f>IF(AQ1963="1",BI1963,0)</f>
        <v>0</v>
      </c>
      <c r="AD1963" s="55">
        <f>IF(AQ1963="7",BH1963,0)</f>
        <v>0</v>
      </c>
      <c r="AE1963" s="55">
        <f>IF(AQ1963="7",BI1963,0)</f>
        <v>0</v>
      </c>
      <c r="AF1963" s="55">
        <f>IF(AQ1963="2",BH1963,0)</f>
        <v>0</v>
      </c>
      <c r="AG1963" s="55">
        <f>IF(AQ1963="2",BI1963,0)</f>
        <v>0</v>
      </c>
      <c r="AH1963" s="55">
        <f>IF(AQ1963="0",BJ1963,0)</f>
        <v>0</v>
      </c>
      <c r="AI1963" s="34" t="s">
        <v>2629</v>
      </c>
      <c r="AJ1963" s="63">
        <f>IF(AN1963=0,I1963,0)</f>
        <v>0</v>
      </c>
      <c r="AK1963" s="63">
        <f>IF(AN1963=12,I1963,0)</f>
        <v>0</v>
      </c>
      <c r="AL1963" s="63">
        <f>IF(AN1963=21,I1963,0)</f>
        <v>0</v>
      </c>
      <c r="AN1963" s="55">
        <v>21</v>
      </c>
      <c r="AO1963" s="55">
        <f>H1963*1</f>
        <v>0</v>
      </c>
      <c r="AP1963" s="55">
        <f>H1963*(1-1)</f>
        <v>0</v>
      </c>
      <c r="AQ1963" s="66" t="s">
        <v>125</v>
      </c>
      <c r="AV1963" s="55">
        <f>AW1963+AX1963</f>
        <v>0</v>
      </c>
      <c r="AW1963" s="55">
        <f>G1963*AO1963</f>
        <v>0</v>
      </c>
      <c r="AX1963" s="55">
        <f>G1963*AP1963</f>
        <v>0</v>
      </c>
      <c r="AY1963" s="58" t="s">
        <v>2334</v>
      </c>
      <c r="AZ1963" s="58" t="s">
        <v>2633</v>
      </c>
      <c r="BA1963" s="34" t="s">
        <v>2634</v>
      </c>
      <c r="BC1963" s="55">
        <f>AW1963+AX1963</f>
        <v>0</v>
      </c>
      <c r="BD1963" s="55">
        <f>H1963/(100-BE1963)*100</f>
        <v>0</v>
      </c>
      <c r="BE1963" s="55">
        <v>0</v>
      </c>
      <c r="BF1963" s="55">
        <f>K1963</f>
        <v>0</v>
      </c>
      <c r="BH1963" s="63">
        <f>G1963*AO1963</f>
        <v>0</v>
      </c>
      <c r="BI1963" s="63">
        <f>G1963*AP1963</f>
        <v>0</v>
      </c>
      <c r="BJ1963" s="63">
        <f>G1963*H1963</f>
        <v>0</v>
      </c>
      <c r="BK1963" s="63"/>
      <c r="BL1963" s="55"/>
      <c r="BW1963" s="55">
        <v>21</v>
      </c>
    </row>
    <row r="1964" spans="1:75" ht="27" customHeight="1">
      <c r="A1964" s="61" t="s">
        <v>3639</v>
      </c>
      <c r="B1964" s="62" t="s">
        <v>2629</v>
      </c>
      <c r="C1964" s="62" t="s">
        <v>3058</v>
      </c>
      <c r="D1964" s="224" t="s">
        <v>3059</v>
      </c>
      <c r="E1964" s="225"/>
      <c r="F1964" s="62" t="s">
        <v>2936</v>
      </c>
      <c r="G1964" s="63">
        <v>1</v>
      </c>
      <c r="H1964" s="64">
        <v>0</v>
      </c>
      <c r="I1964" s="63">
        <f>G1964*H1964</f>
        <v>0</v>
      </c>
      <c r="J1964" s="63">
        <v>0</v>
      </c>
      <c r="K1964" s="63">
        <f>G1964*J1964</f>
        <v>0</v>
      </c>
      <c r="L1964" s="65" t="s">
        <v>124</v>
      </c>
      <c r="Z1964" s="55">
        <f>IF(AQ1964="5",BJ1964,0)</f>
        <v>0</v>
      </c>
      <c r="AB1964" s="55">
        <f>IF(AQ1964="1",BH1964,0)</f>
        <v>0</v>
      </c>
      <c r="AC1964" s="55">
        <f>IF(AQ1964="1",BI1964,0)</f>
        <v>0</v>
      </c>
      <c r="AD1964" s="55">
        <f>IF(AQ1964="7",BH1964,0)</f>
        <v>0</v>
      </c>
      <c r="AE1964" s="55">
        <f>IF(AQ1964="7",BI1964,0)</f>
        <v>0</v>
      </c>
      <c r="AF1964" s="55">
        <f>IF(AQ1964="2",BH1964,0)</f>
        <v>0</v>
      </c>
      <c r="AG1964" s="55">
        <f>IF(AQ1964="2",BI1964,0)</f>
        <v>0</v>
      </c>
      <c r="AH1964" s="55">
        <f>IF(AQ1964="0",BJ1964,0)</f>
        <v>0</v>
      </c>
      <c r="AI1964" s="34" t="s">
        <v>2629</v>
      </c>
      <c r="AJ1964" s="63">
        <f>IF(AN1964=0,I1964,0)</f>
        <v>0</v>
      </c>
      <c r="AK1964" s="63">
        <f>IF(AN1964=12,I1964,0)</f>
        <v>0</v>
      </c>
      <c r="AL1964" s="63">
        <f>IF(AN1964=21,I1964,0)</f>
        <v>0</v>
      </c>
      <c r="AN1964" s="55">
        <v>21</v>
      </c>
      <c r="AO1964" s="55">
        <f>H1964*1</f>
        <v>0</v>
      </c>
      <c r="AP1964" s="55">
        <f>H1964*(1-1)</f>
        <v>0</v>
      </c>
      <c r="AQ1964" s="66" t="s">
        <v>125</v>
      </c>
      <c r="AV1964" s="55">
        <f>AW1964+AX1964</f>
        <v>0</v>
      </c>
      <c r="AW1964" s="55">
        <f>G1964*AO1964</f>
        <v>0</v>
      </c>
      <c r="AX1964" s="55">
        <f>G1964*AP1964</f>
        <v>0</v>
      </c>
      <c r="AY1964" s="58" t="s">
        <v>2334</v>
      </c>
      <c r="AZ1964" s="58" t="s">
        <v>2633</v>
      </c>
      <c r="BA1964" s="34" t="s">
        <v>2634</v>
      </c>
      <c r="BC1964" s="55">
        <f>AW1964+AX1964</f>
        <v>0</v>
      </c>
      <c r="BD1964" s="55">
        <f>H1964/(100-BE1964)*100</f>
        <v>0</v>
      </c>
      <c r="BE1964" s="55">
        <v>0</v>
      </c>
      <c r="BF1964" s="55">
        <f>K1964</f>
        <v>0</v>
      </c>
      <c r="BH1964" s="63">
        <f>G1964*AO1964</f>
        <v>0</v>
      </c>
      <c r="BI1964" s="63">
        <f>G1964*AP1964</f>
        <v>0</v>
      </c>
      <c r="BJ1964" s="63">
        <f>G1964*H1964</f>
        <v>0</v>
      </c>
      <c r="BK1964" s="63"/>
      <c r="BL1964" s="55"/>
      <c r="BW1964" s="55">
        <v>21</v>
      </c>
    </row>
    <row r="1965" spans="1:75" ht="27" customHeight="1">
      <c r="A1965" s="61" t="s">
        <v>3640</v>
      </c>
      <c r="B1965" s="62" t="s">
        <v>2629</v>
      </c>
      <c r="C1965" s="62" t="s">
        <v>3641</v>
      </c>
      <c r="D1965" s="224" t="s">
        <v>3642</v>
      </c>
      <c r="E1965" s="225"/>
      <c r="F1965" s="62" t="s">
        <v>2936</v>
      </c>
      <c r="G1965" s="63">
        <v>1</v>
      </c>
      <c r="H1965" s="64">
        <v>0</v>
      </c>
      <c r="I1965" s="63">
        <f>G1965*H1965</f>
        <v>0</v>
      </c>
      <c r="J1965" s="63">
        <v>0</v>
      </c>
      <c r="K1965" s="63">
        <f>G1965*J1965</f>
        <v>0</v>
      </c>
      <c r="L1965" s="65" t="s">
        <v>124</v>
      </c>
      <c r="Z1965" s="55">
        <f>IF(AQ1965="5",BJ1965,0)</f>
        <v>0</v>
      </c>
      <c r="AB1965" s="55">
        <f>IF(AQ1965="1",BH1965,0)</f>
        <v>0</v>
      </c>
      <c r="AC1965" s="55">
        <f>IF(AQ1965="1",BI1965,0)</f>
        <v>0</v>
      </c>
      <c r="AD1965" s="55">
        <f>IF(AQ1965="7",BH1965,0)</f>
        <v>0</v>
      </c>
      <c r="AE1965" s="55">
        <f>IF(AQ1965="7",BI1965,0)</f>
        <v>0</v>
      </c>
      <c r="AF1965" s="55">
        <f>IF(AQ1965="2",BH1965,0)</f>
        <v>0</v>
      </c>
      <c r="AG1965" s="55">
        <f>IF(AQ1965="2",BI1965,0)</f>
        <v>0</v>
      </c>
      <c r="AH1965" s="55">
        <f>IF(AQ1965="0",BJ1965,0)</f>
        <v>0</v>
      </c>
      <c r="AI1965" s="34" t="s">
        <v>2629</v>
      </c>
      <c r="AJ1965" s="63">
        <f>IF(AN1965=0,I1965,0)</f>
        <v>0</v>
      </c>
      <c r="AK1965" s="63">
        <f>IF(AN1965=12,I1965,0)</f>
        <v>0</v>
      </c>
      <c r="AL1965" s="63">
        <f>IF(AN1965=21,I1965,0)</f>
        <v>0</v>
      </c>
      <c r="AN1965" s="55">
        <v>21</v>
      </c>
      <c r="AO1965" s="55">
        <f>H1965*1</f>
        <v>0</v>
      </c>
      <c r="AP1965" s="55">
        <f>H1965*(1-1)</f>
        <v>0</v>
      </c>
      <c r="AQ1965" s="66" t="s">
        <v>125</v>
      </c>
      <c r="AV1965" s="55">
        <f>AW1965+AX1965</f>
        <v>0</v>
      </c>
      <c r="AW1965" s="55">
        <f>G1965*AO1965</f>
        <v>0</v>
      </c>
      <c r="AX1965" s="55">
        <f>G1965*AP1965</f>
        <v>0</v>
      </c>
      <c r="AY1965" s="58" t="s">
        <v>2334</v>
      </c>
      <c r="AZ1965" s="58" t="s">
        <v>2633</v>
      </c>
      <c r="BA1965" s="34" t="s">
        <v>2634</v>
      </c>
      <c r="BC1965" s="55">
        <f>AW1965+AX1965</f>
        <v>0</v>
      </c>
      <c r="BD1965" s="55">
        <f>H1965/(100-BE1965)*100</f>
        <v>0</v>
      </c>
      <c r="BE1965" s="55">
        <v>0</v>
      </c>
      <c r="BF1965" s="55">
        <f>K1965</f>
        <v>0</v>
      </c>
      <c r="BH1965" s="63">
        <f>G1965*AO1965</f>
        <v>0</v>
      </c>
      <c r="BI1965" s="63">
        <f>G1965*AP1965</f>
        <v>0</v>
      </c>
      <c r="BJ1965" s="63">
        <f>G1965*H1965</f>
        <v>0</v>
      </c>
      <c r="BK1965" s="63"/>
      <c r="BL1965" s="55"/>
      <c r="BW1965" s="55">
        <v>21</v>
      </c>
    </row>
    <row r="1966" spans="1:75" ht="13.5" customHeight="1">
      <c r="A1966" s="61" t="s">
        <v>3643</v>
      </c>
      <c r="B1966" s="62" t="s">
        <v>2629</v>
      </c>
      <c r="C1966" s="62" t="s">
        <v>3061</v>
      </c>
      <c r="D1966" s="224" t="s">
        <v>3062</v>
      </c>
      <c r="E1966" s="225"/>
      <c r="F1966" s="62" t="s">
        <v>2936</v>
      </c>
      <c r="G1966" s="63">
        <v>2</v>
      </c>
      <c r="H1966" s="64">
        <v>0</v>
      </c>
      <c r="I1966" s="63">
        <f>G1966*H1966</f>
        <v>0</v>
      </c>
      <c r="J1966" s="63">
        <v>0</v>
      </c>
      <c r="K1966" s="63">
        <f>G1966*J1966</f>
        <v>0</v>
      </c>
      <c r="L1966" s="65" t="s">
        <v>124</v>
      </c>
      <c r="Z1966" s="55">
        <f>IF(AQ1966="5",BJ1966,0)</f>
        <v>0</v>
      </c>
      <c r="AB1966" s="55">
        <f>IF(AQ1966="1",BH1966,0)</f>
        <v>0</v>
      </c>
      <c r="AC1966" s="55">
        <f>IF(AQ1966="1",BI1966,0)</f>
        <v>0</v>
      </c>
      <c r="AD1966" s="55">
        <f>IF(AQ1966="7",BH1966,0)</f>
        <v>0</v>
      </c>
      <c r="AE1966" s="55">
        <f>IF(AQ1966="7",BI1966,0)</f>
        <v>0</v>
      </c>
      <c r="AF1966" s="55">
        <f>IF(AQ1966="2",BH1966,0)</f>
        <v>0</v>
      </c>
      <c r="AG1966" s="55">
        <f>IF(AQ1966="2",BI1966,0)</f>
        <v>0</v>
      </c>
      <c r="AH1966" s="55">
        <f>IF(AQ1966="0",BJ1966,0)</f>
        <v>0</v>
      </c>
      <c r="AI1966" s="34" t="s">
        <v>2629</v>
      </c>
      <c r="AJ1966" s="63">
        <f>IF(AN1966=0,I1966,0)</f>
        <v>0</v>
      </c>
      <c r="AK1966" s="63">
        <f>IF(AN1966=12,I1966,0)</f>
        <v>0</v>
      </c>
      <c r="AL1966" s="63">
        <f>IF(AN1966=21,I1966,0)</f>
        <v>0</v>
      </c>
      <c r="AN1966" s="55">
        <v>21</v>
      </c>
      <c r="AO1966" s="55">
        <f>H1966*1</f>
        <v>0</v>
      </c>
      <c r="AP1966" s="55">
        <f>H1966*(1-1)</f>
        <v>0</v>
      </c>
      <c r="AQ1966" s="66" t="s">
        <v>125</v>
      </c>
      <c r="AV1966" s="55">
        <f>AW1966+AX1966</f>
        <v>0</v>
      </c>
      <c r="AW1966" s="55">
        <f>G1966*AO1966</f>
        <v>0</v>
      </c>
      <c r="AX1966" s="55">
        <f>G1966*AP1966</f>
        <v>0</v>
      </c>
      <c r="AY1966" s="58" t="s">
        <v>2334</v>
      </c>
      <c r="AZ1966" s="58" t="s">
        <v>2633</v>
      </c>
      <c r="BA1966" s="34" t="s">
        <v>2634</v>
      </c>
      <c r="BC1966" s="55">
        <f>AW1966+AX1966</f>
        <v>0</v>
      </c>
      <c r="BD1966" s="55">
        <f>H1966/(100-BE1966)*100</f>
        <v>0</v>
      </c>
      <c r="BE1966" s="55">
        <v>0</v>
      </c>
      <c r="BF1966" s="55">
        <f>K1966</f>
        <v>0</v>
      </c>
      <c r="BH1966" s="63">
        <f>G1966*AO1966</f>
        <v>0</v>
      </c>
      <c r="BI1966" s="63">
        <f>G1966*AP1966</f>
        <v>0</v>
      </c>
      <c r="BJ1966" s="63">
        <f>G1966*H1966</f>
        <v>0</v>
      </c>
      <c r="BK1966" s="63"/>
      <c r="BL1966" s="55"/>
      <c r="BW1966" s="55">
        <v>21</v>
      </c>
    </row>
    <row r="1967" spans="1:75" ht="27" customHeight="1">
      <c r="A1967" s="1" t="s">
        <v>3644</v>
      </c>
      <c r="B1967" s="2" t="s">
        <v>2629</v>
      </c>
      <c r="C1967" s="2" t="s">
        <v>3645</v>
      </c>
      <c r="D1967" s="147" t="s">
        <v>3646</v>
      </c>
      <c r="E1967" s="148"/>
      <c r="F1967" s="2" t="s">
        <v>360</v>
      </c>
      <c r="G1967" s="55">
        <v>20</v>
      </c>
      <c r="H1967" s="56">
        <v>0</v>
      </c>
      <c r="I1967" s="55">
        <f>G1967*H1967</f>
        <v>0</v>
      </c>
      <c r="J1967" s="55">
        <v>0</v>
      </c>
      <c r="K1967" s="55">
        <f>G1967*J1967</f>
        <v>0</v>
      </c>
      <c r="L1967" s="57" t="s">
        <v>124</v>
      </c>
      <c r="Z1967" s="55">
        <f>IF(AQ1967="5",BJ1967,0)</f>
        <v>0</v>
      </c>
      <c r="AB1967" s="55">
        <f>IF(AQ1967="1",BH1967,0)</f>
        <v>0</v>
      </c>
      <c r="AC1967" s="55">
        <f>IF(AQ1967="1",BI1967,0)</f>
        <v>0</v>
      </c>
      <c r="AD1967" s="55">
        <f>IF(AQ1967="7",BH1967,0)</f>
        <v>0</v>
      </c>
      <c r="AE1967" s="55">
        <f>IF(AQ1967="7",BI1967,0)</f>
        <v>0</v>
      </c>
      <c r="AF1967" s="55">
        <f>IF(AQ1967="2",BH1967,0)</f>
        <v>0</v>
      </c>
      <c r="AG1967" s="55">
        <f>IF(AQ1967="2",BI1967,0)</f>
        <v>0</v>
      </c>
      <c r="AH1967" s="55">
        <f>IF(AQ1967="0",BJ1967,0)</f>
        <v>0</v>
      </c>
      <c r="AI1967" s="34" t="s">
        <v>2629</v>
      </c>
      <c r="AJ1967" s="55">
        <f>IF(AN1967=0,I1967,0)</f>
        <v>0</v>
      </c>
      <c r="AK1967" s="55">
        <f>IF(AN1967=12,I1967,0)</f>
        <v>0</v>
      </c>
      <c r="AL1967" s="55">
        <f>IF(AN1967=21,I1967,0)</f>
        <v>0</v>
      </c>
      <c r="AN1967" s="55">
        <v>21</v>
      </c>
      <c r="AO1967" s="55">
        <f>H1967*0</f>
        <v>0</v>
      </c>
      <c r="AP1967" s="55">
        <f>H1967*(1-0)</f>
        <v>0</v>
      </c>
      <c r="AQ1967" s="58" t="s">
        <v>125</v>
      </c>
      <c r="AV1967" s="55">
        <f>AW1967+AX1967</f>
        <v>0</v>
      </c>
      <c r="AW1967" s="55">
        <f>G1967*AO1967</f>
        <v>0</v>
      </c>
      <c r="AX1967" s="55">
        <f>G1967*AP1967</f>
        <v>0</v>
      </c>
      <c r="AY1967" s="58" t="s">
        <v>2334</v>
      </c>
      <c r="AZ1967" s="58" t="s">
        <v>2633</v>
      </c>
      <c r="BA1967" s="34" t="s">
        <v>2634</v>
      </c>
      <c r="BC1967" s="55">
        <f>AW1967+AX1967</f>
        <v>0</v>
      </c>
      <c r="BD1967" s="55">
        <f>H1967/(100-BE1967)*100</f>
        <v>0</v>
      </c>
      <c r="BE1967" s="55">
        <v>0</v>
      </c>
      <c r="BF1967" s="55">
        <f>K1967</f>
        <v>0</v>
      </c>
      <c r="BH1967" s="55">
        <f>G1967*AO1967</f>
        <v>0</v>
      </c>
      <c r="BI1967" s="55">
        <f>G1967*AP1967</f>
        <v>0</v>
      </c>
      <c r="BJ1967" s="55">
        <f>G1967*H1967</f>
        <v>0</v>
      </c>
      <c r="BK1967" s="55"/>
      <c r="BL1967" s="55"/>
      <c r="BW1967" s="55">
        <v>21</v>
      </c>
    </row>
    <row r="1968" spans="1:12" ht="13.5" customHeight="1">
      <c r="A1968" s="59"/>
      <c r="D1968" s="218" t="s">
        <v>3647</v>
      </c>
      <c r="E1968" s="219"/>
      <c r="F1968" s="219"/>
      <c r="G1968" s="219"/>
      <c r="H1968" s="220"/>
      <c r="I1968" s="219"/>
      <c r="J1968" s="219"/>
      <c r="K1968" s="219"/>
      <c r="L1968" s="221"/>
    </row>
    <row r="1969" spans="1:75" ht="27" customHeight="1">
      <c r="A1969" s="1" t="s">
        <v>3648</v>
      </c>
      <c r="B1969" s="2" t="s">
        <v>2629</v>
      </c>
      <c r="C1969" s="2" t="s">
        <v>3645</v>
      </c>
      <c r="D1969" s="147" t="s">
        <v>3646</v>
      </c>
      <c r="E1969" s="148"/>
      <c r="F1969" s="2" t="s">
        <v>360</v>
      </c>
      <c r="G1969" s="55">
        <v>16</v>
      </c>
      <c r="H1969" s="56">
        <v>0</v>
      </c>
      <c r="I1969" s="55">
        <f>G1969*H1969</f>
        <v>0</v>
      </c>
      <c r="J1969" s="55">
        <v>0</v>
      </c>
      <c r="K1969" s="55">
        <f>G1969*J1969</f>
        <v>0</v>
      </c>
      <c r="L1969" s="57" t="s">
        <v>124</v>
      </c>
      <c r="Z1969" s="55">
        <f>IF(AQ1969="5",BJ1969,0)</f>
        <v>0</v>
      </c>
      <c r="AB1969" s="55">
        <f>IF(AQ1969="1",BH1969,0)</f>
        <v>0</v>
      </c>
      <c r="AC1969" s="55">
        <f>IF(AQ1969="1",BI1969,0)</f>
        <v>0</v>
      </c>
      <c r="AD1969" s="55">
        <f>IF(AQ1969="7",BH1969,0)</f>
        <v>0</v>
      </c>
      <c r="AE1969" s="55">
        <f>IF(AQ1969="7",BI1969,0)</f>
        <v>0</v>
      </c>
      <c r="AF1969" s="55">
        <f>IF(AQ1969="2",BH1969,0)</f>
        <v>0</v>
      </c>
      <c r="AG1969" s="55">
        <f>IF(AQ1969="2",BI1969,0)</f>
        <v>0</v>
      </c>
      <c r="AH1969" s="55">
        <f>IF(AQ1969="0",BJ1969,0)</f>
        <v>0</v>
      </c>
      <c r="AI1969" s="34" t="s">
        <v>2629</v>
      </c>
      <c r="AJ1969" s="55">
        <f>IF(AN1969=0,I1969,0)</f>
        <v>0</v>
      </c>
      <c r="AK1969" s="55">
        <f>IF(AN1969=12,I1969,0)</f>
        <v>0</v>
      </c>
      <c r="AL1969" s="55">
        <f>IF(AN1969=21,I1969,0)</f>
        <v>0</v>
      </c>
      <c r="AN1969" s="55">
        <v>21</v>
      </c>
      <c r="AO1969" s="55">
        <f>H1969*0</f>
        <v>0</v>
      </c>
      <c r="AP1969" s="55">
        <f>H1969*(1-0)</f>
        <v>0</v>
      </c>
      <c r="AQ1969" s="58" t="s">
        <v>125</v>
      </c>
      <c r="AV1969" s="55">
        <f>AW1969+AX1969</f>
        <v>0</v>
      </c>
      <c r="AW1969" s="55">
        <f>G1969*AO1969</f>
        <v>0</v>
      </c>
      <c r="AX1969" s="55">
        <f>G1969*AP1969</f>
        <v>0</v>
      </c>
      <c r="AY1969" s="58" t="s">
        <v>2334</v>
      </c>
      <c r="AZ1969" s="58" t="s">
        <v>2633</v>
      </c>
      <c r="BA1969" s="34" t="s">
        <v>2634</v>
      </c>
      <c r="BC1969" s="55">
        <f>AW1969+AX1969</f>
        <v>0</v>
      </c>
      <c r="BD1969" s="55">
        <f>H1969/(100-BE1969)*100</f>
        <v>0</v>
      </c>
      <c r="BE1969" s="55">
        <v>0</v>
      </c>
      <c r="BF1969" s="55">
        <f>K1969</f>
        <v>0</v>
      </c>
      <c r="BH1969" s="55">
        <f>G1969*AO1969</f>
        <v>0</v>
      </c>
      <c r="BI1969" s="55">
        <f>G1969*AP1969</f>
        <v>0</v>
      </c>
      <c r="BJ1969" s="55">
        <f>G1969*H1969</f>
        <v>0</v>
      </c>
      <c r="BK1969" s="55"/>
      <c r="BL1969" s="55"/>
      <c r="BW1969" s="55">
        <v>21</v>
      </c>
    </row>
    <row r="1970" spans="1:12" ht="13.5" customHeight="1">
      <c r="A1970" s="59"/>
      <c r="D1970" s="218" t="s">
        <v>3649</v>
      </c>
      <c r="E1970" s="219"/>
      <c r="F1970" s="219"/>
      <c r="G1970" s="219"/>
      <c r="H1970" s="220"/>
      <c r="I1970" s="219"/>
      <c r="J1970" s="219"/>
      <c r="K1970" s="219"/>
      <c r="L1970" s="221"/>
    </row>
    <row r="1971" spans="1:75" ht="27" customHeight="1">
      <c r="A1971" s="1" t="s">
        <v>3650</v>
      </c>
      <c r="B1971" s="2" t="s">
        <v>2629</v>
      </c>
      <c r="C1971" s="2" t="s">
        <v>3645</v>
      </c>
      <c r="D1971" s="147" t="s">
        <v>3646</v>
      </c>
      <c r="E1971" s="148"/>
      <c r="F1971" s="2" t="s">
        <v>360</v>
      </c>
      <c r="G1971" s="55">
        <v>8</v>
      </c>
      <c r="H1971" s="56">
        <v>0</v>
      </c>
      <c r="I1971" s="55">
        <f>G1971*H1971</f>
        <v>0</v>
      </c>
      <c r="J1971" s="55">
        <v>0</v>
      </c>
      <c r="K1971" s="55">
        <f>G1971*J1971</f>
        <v>0</v>
      </c>
      <c r="L1971" s="57" t="s">
        <v>124</v>
      </c>
      <c r="Z1971" s="55">
        <f>IF(AQ1971="5",BJ1971,0)</f>
        <v>0</v>
      </c>
      <c r="AB1971" s="55">
        <f>IF(AQ1971="1",BH1971,0)</f>
        <v>0</v>
      </c>
      <c r="AC1971" s="55">
        <f>IF(AQ1971="1",BI1971,0)</f>
        <v>0</v>
      </c>
      <c r="AD1971" s="55">
        <f>IF(AQ1971="7",BH1971,0)</f>
        <v>0</v>
      </c>
      <c r="AE1971" s="55">
        <f>IF(AQ1971="7",BI1971,0)</f>
        <v>0</v>
      </c>
      <c r="AF1971" s="55">
        <f>IF(AQ1971="2",BH1971,0)</f>
        <v>0</v>
      </c>
      <c r="AG1971" s="55">
        <f>IF(AQ1971="2",BI1971,0)</f>
        <v>0</v>
      </c>
      <c r="AH1971" s="55">
        <f>IF(AQ1971="0",BJ1971,0)</f>
        <v>0</v>
      </c>
      <c r="AI1971" s="34" t="s">
        <v>2629</v>
      </c>
      <c r="AJ1971" s="55">
        <f>IF(AN1971=0,I1971,0)</f>
        <v>0</v>
      </c>
      <c r="AK1971" s="55">
        <f>IF(AN1971=12,I1971,0)</f>
        <v>0</v>
      </c>
      <c r="AL1971" s="55">
        <f>IF(AN1971=21,I1971,0)</f>
        <v>0</v>
      </c>
      <c r="AN1971" s="55">
        <v>21</v>
      </c>
      <c r="AO1971" s="55">
        <f>H1971*0</f>
        <v>0</v>
      </c>
      <c r="AP1971" s="55">
        <f>H1971*(1-0)</f>
        <v>0</v>
      </c>
      <c r="AQ1971" s="58" t="s">
        <v>125</v>
      </c>
      <c r="AV1971" s="55">
        <f>AW1971+AX1971</f>
        <v>0</v>
      </c>
      <c r="AW1971" s="55">
        <f>G1971*AO1971</f>
        <v>0</v>
      </c>
      <c r="AX1971" s="55">
        <f>G1971*AP1971</f>
        <v>0</v>
      </c>
      <c r="AY1971" s="58" t="s">
        <v>2334</v>
      </c>
      <c r="AZ1971" s="58" t="s">
        <v>2633</v>
      </c>
      <c r="BA1971" s="34" t="s">
        <v>2634</v>
      </c>
      <c r="BC1971" s="55">
        <f>AW1971+AX1971</f>
        <v>0</v>
      </c>
      <c r="BD1971" s="55">
        <f>H1971/(100-BE1971)*100</f>
        <v>0</v>
      </c>
      <c r="BE1971" s="55">
        <v>0</v>
      </c>
      <c r="BF1971" s="55">
        <f>K1971</f>
        <v>0</v>
      </c>
      <c r="BH1971" s="55">
        <f>G1971*AO1971</f>
        <v>0</v>
      </c>
      <c r="BI1971" s="55">
        <f>G1971*AP1971</f>
        <v>0</v>
      </c>
      <c r="BJ1971" s="55">
        <f>G1971*H1971</f>
        <v>0</v>
      </c>
      <c r="BK1971" s="55"/>
      <c r="BL1971" s="55"/>
      <c r="BW1971" s="55">
        <v>21</v>
      </c>
    </row>
    <row r="1972" spans="1:12" ht="13.5" customHeight="1">
      <c r="A1972" s="59"/>
      <c r="D1972" s="218" t="s">
        <v>3651</v>
      </c>
      <c r="E1972" s="219"/>
      <c r="F1972" s="219"/>
      <c r="G1972" s="219"/>
      <c r="H1972" s="220"/>
      <c r="I1972" s="219"/>
      <c r="J1972" s="219"/>
      <c r="K1972" s="219"/>
      <c r="L1972" s="221"/>
    </row>
    <row r="1973" spans="1:75" ht="27" customHeight="1">
      <c r="A1973" s="1" t="s">
        <v>3652</v>
      </c>
      <c r="B1973" s="2" t="s">
        <v>2629</v>
      </c>
      <c r="C1973" s="2" t="s">
        <v>3645</v>
      </c>
      <c r="D1973" s="147" t="s">
        <v>3646</v>
      </c>
      <c r="E1973" s="148"/>
      <c r="F1973" s="2" t="s">
        <v>360</v>
      </c>
      <c r="G1973" s="55">
        <v>30</v>
      </c>
      <c r="H1973" s="56">
        <v>0</v>
      </c>
      <c r="I1973" s="55">
        <f>G1973*H1973</f>
        <v>0</v>
      </c>
      <c r="J1973" s="55">
        <v>0</v>
      </c>
      <c r="K1973" s="55">
        <f>G1973*J1973</f>
        <v>0</v>
      </c>
      <c r="L1973" s="57" t="s">
        <v>124</v>
      </c>
      <c r="Z1973" s="55">
        <f>IF(AQ1973="5",BJ1973,0)</f>
        <v>0</v>
      </c>
      <c r="AB1973" s="55">
        <f>IF(AQ1973="1",BH1973,0)</f>
        <v>0</v>
      </c>
      <c r="AC1973" s="55">
        <f>IF(AQ1973="1",BI1973,0)</f>
        <v>0</v>
      </c>
      <c r="AD1973" s="55">
        <f>IF(AQ1973="7",BH1973,0)</f>
        <v>0</v>
      </c>
      <c r="AE1973" s="55">
        <f>IF(AQ1973="7",BI1973,0)</f>
        <v>0</v>
      </c>
      <c r="AF1973" s="55">
        <f>IF(AQ1973="2",BH1973,0)</f>
        <v>0</v>
      </c>
      <c r="AG1973" s="55">
        <f>IF(AQ1973="2",BI1973,0)</f>
        <v>0</v>
      </c>
      <c r="AH1973" s="55">
        <f>IF(AQ1973="0",BJ1973,0)</f>
        <v>0</v>
      </c>
      <c r="AI1973" s="34" t="s">
        <v>2629</v>
      </c>
      <c r="AJ1973" s="55">
        <f>IF(AN1973=0,I1973,0)</f>
        <v>0</v>
      </c>
      <c r="AK1973" s="55">
        <f>IF(AN1973=12,I1973,0)</f>
        <v>0</v>
      </c>
      <c r="AL1973" s="55">
        <f>IF(AN1973=21,I1973,0)</f>
        <v>0</v>
      </c>
      <c r="AN1973" s="55">
        <v>21</v>
      </c>
      <c r="AO1973" s="55">
        <f>H1973*0</f>
        <v>0</v>
      </c>
      <c r="AP1973" s="55">
        <f>H1973*(1-0)</f>
        <v>0</v>
      </c>
      <c r="AQ1973" s="58" t="s">
        <v>125</v>
      </c>
      <c r="AV1973" s="55">
        <f>AW1973+AX1973</f>
        <v>0</v>
      </c>
      <c r="AW1973" s="55">
        <f>G1973*AO1973</f>
        <v>0</v>
      </c>
      <c r="AX1973" s="55">
        <f>G1973*AP1973</f>
        <v>0</v>
      </c>
      <c r="AY1973" s="58" t="s">
        <v>2334</v>
      </c>
      <c r="AZ1973" s="58" t="s">
        <v>2633</v>
      </c>
      <c r="BA1973" s="34" t="s">
        <v>2634</v>
      </c>
      <c r="BC1973" s="55">
        <f>AW1973+AX1973</f>
        <v>0</v>
      </c>
      <c r="BD1973" s="55">
        <f>H1973/(100-BE1973)*100</f>
        <v>0</v>
      </c>
      <c r="BE1973" s="55">
        <v>0</v>
      </c>
      <c r="BF1973" s="55">
        <f>K1973</f>
        <v>0</v>
      </c>
      <c r="BH1973" s="55">
        <f>G1973*AO1973</f>
        <v>0</v>
      </c>
      <c r="BI1973" s="55">
        <f>G1973*AP1973</f>
        <v>0</v>
      </c>
      <c r="BJ1973" s="55">
        <f>G1973*H1973</f>
        <v>0</v>
      </c>
      <c r="BK1973" s="55"/>
      <c r="BL1973" s="55"/>
      <c r="BW1973" s="55">
        <v>21</v>
      </c>
    </row>
    <row r="1974" spans="1:12" ht="13.5" customHeight="1">
      <c r="A1974" s="59"/>
      <c r="D1974" s="218" t="s">
        <v>3653</v>
      </c>
      <c r="E1974" s="219"/>
      <c r="F1974" s="219"/>
      <c r="G1974" s="219"/>
      <c r="H1974" s="220"/>
      <c r="I1974" s="219"/>
      <c r="J1974" s="219"/>
      <c r="K1974" s="219"/>
      <c r="L1974" s="221"/>
    </row>
    <row r="1975" spans="1:75" ht="27" customHeight="1">
      <c r="A1975" s="1" t="s">
        <v>3654</v>
      </c>
      <c r="B1975" s="2" t="s">
        <v>2629</v>
      </c>
      <c r="C1975" s="2" t="s">
        <v>3645</v>
      </c>
      <c r="D1975" s="147" t="s">
        <v>3646</v>
      </c>
      <c r="E1975" s="148"/>
      <c r="F1975" s="2" t="s">
        <v>360</v>
      </c>
      <c r="G1975" s="55">
        <v>20</v>
      </c>
      <c r="H1975" s="56">
        <v>0</v>
      </c>
      <c r="I1975" s="55">
        <f>G1975*H1975</f>
        <v>0</v>
      </c>
      <c r="J1975" s="55">
        <v>0</v>
      </c>
      <c r="K1975" s="55">
        <f>G1975*J1975</f>
        <v>0</v>
      </c>
      <c r="L1975" s="57" t="s">
        <v>124</v>
      </c>
      <c r="Z1975" s="55">
        <f>IF(AQ1975="5",BJ1975,0)</f>
        <v>0</v>
      </c>
      <c r="AB1975" s="55">
        <f>IF(AQ1975="1",BH1975,0)</f>
        <v>0</v>
      </c>
      <c r="AC1975" s="55">
        <f>IF(AQ1975="1",BI1975,0)</f>
        <v>0</v>
      </c>
      <c r="AD1975" s="55">
        <f>IF(AQ1975="7",BH1975,0)</f>
        <v>0</v>
      </c>
      <c r="AE1975" s="55">
        <f>IF(AQ1975="7",BI1975,0)</f>
        <v>0</v>
      </c>
      <c r="AF1975" s="55">
        <f>IF(AQ1975="2",BH1975,0)</f>
        <v>0</v>
      </c>
      <c r="AG1975" s="55">
        <f>IF(AQ1975="2",BI1975,0)</f>
        <v>0</v>
      </c>
      <c r="AH1975" s="55">
        <f>IF(AQ1975="0",BJ1975,0)</f>
        <v>0</v>
      </c>
      <c r="AI1975" s="34" t="s">
        <v>2629</v>
      </c>
      <c r="AJ1975" s="55">
        <f>IF(AN1975=0,I1975,0)</f>
        <v>0</v>
      </c>
      <c r="AK1975" s="55">
        <f>IF(AN1975=12,I1975,0)</f>
        <v>0</v>
      </c>
      <c r="AL1975" s="55">
        <f>IF(AN1975=21,I1975,0)</f>
        <v>0</v>
      </c>
      <c r="AN1975" s="55">
        <v>21</v>
      </c>
      <c r="AO1975" s="55">
        <f>H1975*0</f>
        <v>0</v>
      </c>
      <c r="AP1975" s="55">
        <f>H1975*(1-0)</f>
        <v>0</v>
      </c>
      <c r="AQ1975" s="58" t="s">
        <v>125</v>
      </c>
      <c r="AV1975" s="55">
        <f>AW1975+AX1975</f>
        <v>0</v>
      </c>
      <c r="AW1975" s="55">
        <f>G1975*AO1975</f>
        <v>0</v>
      </c>
      <c r="AX1975" s="55">
        <f>G1975*AP1975</f>
        <v>0</v>
      </c>
      <c r="AY1975" s="58" t="s">
        <v>2334</v>
      </c>
      <c r="AZ1975" s="58" t="s">
        <v>2633</v>
      </c>
      <c r="BA1975" s="34" t="s">
        <v>2634</v>
      </c>
      <c r="BC1975" s="55">
        <f>AW1975+AX1975</f>
        <v>0</v>
      </c>
      <c r="BD1975" s="55">
        <f>H1975/(100-BE1975)*100</f>
        <v>0</v>
      </c>
      <c r="BE1975" s="55">
        <v>0</v>
      </c>
      <c r="BF1975" s="55">
        <f>K1975</f>
        <v>0</v>
      </c>
      <c r="BH1975" s="55">
        <f>G1975*AO1975</f>
        <v>0</v>
      </c>
      <c r="BI1975" s="55">
        <f>G1975*AP1975</f>
        <v>0</v>
      </c>
      <c r="BJ1975" s="55">
        <f>G1975*H1975</f>
        <v>0</v>
      </c>
      <c r="BK1975" s="55"/>
      <c r="BL1975" s="55"/>
      <c r="BW1975" s="55">
        <v>21</v>
      </c>
    </row>
    <row r="1976" spans="1:12" ht="13.5" customHeight="1">
      <c r="A1976" s="59"/>
      <c r="D1976" s="218" t="s">
        <v>3655</v>
      </c>
      <c r="E1976" s="219"/>
      <c r="F1976" s="219"/>
      <c r="G1976" s="219"/>
      <c r="H1976" s="220"/>
      <c r="I1976" s="219"/>
      <c r="J1976" s="219"/>
      <c r="K1976" s="219"/>
      <c r="L1976" s="221"/>
    </row>
    <row r="1977" spans="1:75" ht="13.5" customHeight="1">
      <c r="A1977" s="1" t="s">
        <v>3656</v>
      </c>
      <c r="B1977" s="2" t="s">
        <v>2629</v>
      </c>
      <c r="C1977" s="2" t="s">
        <v>3657</v>
      </c>
      <c r="D1977" s="147" t="s">
        <v>3658</v>
      </c>
      <c r="E1977" s="148"/>
      <c r="F1977" s="2" t="s">
        <v>360</v>
      </c>
      <c r="G1977" s="55">
        <v>30</v>
      </c>
      <c r="H1977" s="56">
        <v>0</v>
      </c>
      <c r="I1977" s="55">
        <f>G1977*H1977</f>
        <v>0</v>
      </c>
      <c r="J1977" s="55">
        <v>0</v>
      </c>
      <c r="K1977" s="55">
        <f>G1977*J1977</f>
        <v>0</v>
      </c>
      <c r="L1977" s="57" t="s">
        <v>124</v>
      </c>
      <c r="Z1977" s="55">
        <f>IF(AQ1977="5",BJ1977,0)</f>
        <v>0</v>
      </c>
      <c r="AB1977" s="55">
        <f>IF(AQ1977="1",BH1977,0)</f>
        <v>0</v>
      </c>
      <c r="AC1977" s="55">
        <f>IF(AQ1977="1",BI1977,0)</f>
        <v>0</v>
      </c>
      <c r="AD1977" s="55">
        <f>IF(AQ1977="7",BH1977,0)</f>
        <v>0</v>
      </c>
      <c r="AE1977" s="55">
        <f>IF(AQ1977="7",BI1977,0)</f>
        <v>0</v>
      </c>
      <c r="AF1977" s="55">
        <f>IF(AQ1977="2",BH1977,0)</f>
        <v>0</v>
      </c>
      <c r="AG1977" s="55">
        <f>IF(AQ1977="2",BI1977,0)</f>
        <v>0</v>
      </c>
      <c r="AH1977" s="55">
        <f>IF(AQ1977="0",BJ1977,0)</f>
        <v>0</v>
      </c>
      <c r="AI1977" s="34" t="s">
        <v>2629</v>
      </c>
      <c r="AJ1977" s="55">
        <f>IF(AN1977=0,I1977,0)</f>
        <v>0</v>
      </c>
      <c r="AK1977" s="55">
        <f>IF(AN1977=12,I1977,0)</f>
        <v>0</v>
      </c>
      <c r="AL1977" s="55">
        <f>IF(AN1977=21,I1977,0)</f>
        <v>0</v>
      </c>
      <c r="AN1977" s="55">
        <v>21</v>
      </c>
      <c r="AO1977" s="55">
        <f>H1977*0</f>
        <v>0</v>
      </c>
      <c r="AP1977" s="55">
        <f>H1977*(1-0)</f>
        <v>0</v>
      </c>
      <c r="AQ1977" s="58" t="s">
        <v>125</v>
      </c>
      <c r="AV1977" s="55">
        <f>AW1977+AX1977</f>
        <v>0</v>
      </c>
      <c r="AW1977" s="55">
        <f>G1977*AO1977</f>
        <v>0</v>
      </c>
      <c r="AX1977" s="55">
        <f>G1977*AP1977</f>
        <v>0</v>
      </c>
      <c r="AY1977" s="58" t="s">
        <v>2334</v>
      </c>
      <c r="AZ1977" s="58" t="s">
        <v>2633</v>
      </c>
      <c r="BA1977" s="34" t="s">
        <v>2634</v>
      </c>
      <c r="BC1977" s="55">
        <f>AW1977+AX1977</f>
        <v>0</v>
      </c>
      <c r="BD1977" s="55">
        <f>H1977/(100-BE1977)*100</f>
        <v>0</v>
      </c>
      <c r="BE1977" s="55">
        <v>0</v>
      </c>
      <c r="BF1977" s="55">
        <f>K1977</f>
        <v>0</v>
      </c>
      <c r="BH1977" s="55">
        <f>G1977*AO1977</f>
        <v>0</v>
      </c>
      <c r="BI1977" s="55">
        <f>G1977*AP1977</f>
        <v>0</v>
      </c>
      <c r="BJ1977" s="55">
        <f>G1977*H1977</f>
        <v>0</v>
      </c>
      <c r="BK1977" s="55"/>
      <c r="BL1977" s="55"/>
      <c r="BW1977" s="55">
        <v>21</v>
      </c>
    </row>
    <row r="1978" spans="1:12" ht="13.5" customHeight="1">
      <c r="A1978" s="59"/>
      <c r="D1978" s="218" t="s">
        <v>3659</v>
      </c>
      <c r="E1978" s="219"/>
      <c r="F1978" s="219"/>
      <c r="G1978" s="219"/>
      <c r="H1978" s="220"/>
      <c r="I1978" s="219"/>
      <c r="J1978" s="219"/>
      <c r="K1978" s="219"/>
      <c r="L1978" s="221"/>
    </row>
    <row r="1979" spans="1:75" ht="13.5" customHeight="1">
      <c r="A1979" s="1" t="s">
        <v>3660</v>
      </c>
      <c r="B1979" s="2" t="s">
        <v>2629</v>
      </c>
      <c r="C1979" s="2" t="s">
        <v>2817</v>
      </c>
      <c r="D1979" s="147" t="s">
        <v>2818</v>
      </c>
      <c r="E1979" s="148"/>
      <c r="F1979" s="2" t="s">
        <v>360</v>
      </c>
      <c r="G1979" s="55">
        <v>30</v>
      </c>
      <c r="H1979" s="56">
        <v>0</v>
      </c>
      <c r="I1979" s="55">
        <f>G1979*H1979</f>
        <v>0</v>
      </c>
      <c r="J1979" s="55">
        <v>0</v>
      </c>
      <c r="K1979" s="55">
        <f>G1979*J1979</f>
        <v>0</v>
      </c>
      <c r="L1979" s="57" t="s">
        <v>124</v>
      </c>
      <c r="Z1979" s="55">
        <f>IF(AQ1979="5",BJ1979,0)</f>
        <v>0</v>
      </c>
      <c r="AB1979" s="55">
        <f>IF(AQ1979="1",BH1979,0)</f>
        <v>0</v>
      </c>
      <c r="AC1979" s="55">
        <f>IF(AQ1979="1",BI1979,0)</f>
        <v>0</v>
      </c>
      <c r="AD1979" s="55">
        <f>IF(AQ1979="7",BH1979,0)</f>
        <v>0</v>
      </c>
      <c r="AE1979" s="55">
        <f>IF(AQ1979="7",BI1979,0)</f>
        <v>0</v>
      </c>
      <c r="AF1979" s="55">
        <f>IF(AQ1979="2",BH1979,0)</f>
        <v>0</v>
      </c>
      <c r="AG1979" s="55">
        <f>IF(AQ1979="2",BI1979,0)</f>
        <v>0</v>
      </c>
      <c r="AH1979" s="55">
        <f>IF(AQ1979="0",BJ1979,0)</f>
        <v>0</v>
      </c>
      <c r="AI1979" s="34" t="s">
        <v>2629</v>
      </c>
      <c r="AJ1979" s="55">
        <f>IF(AN1979=0,I1979,0)</f>
        <v>0</v>
      </c>
      <c r="AK1979" s="55">
        <f>IF(AN1979=12,I1979,0)</f>
        <v>0</v>
      </c>
      <c r="AL1979" s="55">
        <f>IF(AN1979=21,I1979,0)</f>
        <v>0</v>
      </c>
      <c r="AN1979" s="55">
        <v>21</v>
      </c>
      <c r="AO1979" s="55">
        <f>H1979*0</f>
        <v>0</v>
      </c>
      <c r="AP1979" s="55">
        <f>H1979*(1-0)</f>
        <v>0</v>
      </c>
      <c r="AQ1979" s="58" t="s">
        <v>125</v>
      </c>
      <c r="AV1979" s="55">
        <f>AW1979+AX1979</f>
        <v>0</v>
      </c>
      <c r="AW1979" s="55">
        <f>G1979*AO1979</f>
        <v>0</v>
      </c>
      <c r="AX1979" s="55">
        <f>G1979*AP1979</f>
        <v>0</v>
      </c>
      <c r="AY1979" s="58" t="s">
        <v>2334</v>
      </c>
      <c r="AZ1979" s="58" t="s">
        <v>2633</v>
      </c>
      <c r="BA1979" s="34" t="s">
        <v>2634</v>
      </c>
      <c r="BC1979" s="55">
        <f>AW1979+AX1979</f>
        <v>0</v>
      </c>
      <c r="BD1979" s="55">
        <f>H1979/(100-BE1979)*100</f>
        <v>0</v>
      </c>
      <c r="BE1979" s="55">
        <v>0</v>
      </c>
      <c r="BF1979" s="55">
        <f>K1979</f>
        <v>0</v>
      </c>
      <c r="BH1979" s="55">
        <f>G1979*AO1979</f>
        <v>0</v>
      </c>
      <c r="BI1979" s="55">
        <f>G1979*AP1979</f>
        <v>0</v>
      </c>
      <c r="BJ1979" s="55">
        <f>G1979*H1979</f>
        <v>0</v>
      </c>
      <c r="BK1979" s="55"/>
      <c r="BL1979" s="55"/>
      <c r="BW1979" s="55">
        <v>21</v>
      </c>
    </row>
    <row r="1980" spans="1:12" ht="13.5" customHeight="1">
      <c r="A1980" s="59"/>
      <c r="D1980" s="218" t="s">
        <v>3661</v>
      </c>
      <c r="E1980" s="219"/>
      <c r="F1980" s="219"/>
      <c r="G1980" s="219"/>
      <c r="H1980" s="220"/>
      <c r="I1980" s="219"/>
      <c r="J1980" s="219"/>
      <c r="K1980" s="219"/>
      <c r="L1980" s="221"/>
    </row>
    <row r="1981" spans="1:47" ht="14.4">
      <c r="A1981" s="50" t="s">
        <v>4</v>
      </c>
      <c r="B1981" s="51" t="s">
        <v>2629</v>
      </c>
      <c r="C1981" s="51" t="s">
        <v>422</v>
      </c>
      <c r="D1981" s="222" t="s">
        <v>2339</v>
      </c>
      <c r="E1981" s="223"/>
      <c r="F1981" s="52" t="s">
        <v>79</v>
      </c>
      <c r="G1981" s="52" t="s">
        <v>79</v>
      </c>
      <c r="H1981" s="53" t="s">
        <v>79</v>
      </c>
      <c r="I1981" s="27">
        <f>SUM(I1982:I1998)</f>
        <v>0</v>
      </c>
      <c r="J1981" s="34" t="s">
        <v>4</v>
      </c>
      <c r="K1981" s="27">
        <f>SUM(K1982:K1998)</f>
        <v>0.5054399999999999</v>
      </c>
      <c r="L1981" s="54" t="s">
        <v>4</v>
      </c>
      <c r="AI1981" s="34" t="s">
        <v>2629</v>
      </c>
      <c r="AS1981" s="27">
        <f>SUM(AJ1982:AJ1998)</f>
        <v>0</v>
      </c>
      <c r="AT1981" s="27">
        <f>SUM(AK1982:AK1998)</f>
        <v>0</v>
      </c>
      <c r="AU1981" s="27">
        <f>SUM(AL1982:AL1998)</f>
        <v>0</v>
      </c>
    </row>
    <row r="1982" spans="1:75" ht="13.5" customHeight="1">
      <c r="A1982" s="1" t="s">
        <v>3662</v>
      </c>
      <c r="B1982" s="2" t="s">
        <v>2629</v>
      </c>
      <c r="C1982" s="2" t="s">
        <v>3663</v>
      </c>
      <c r="D1982" s="147" t="s">
        <v>3664</v>
      </c>
      <c r="E1982" s="148"/>
      <c r="F1982" s="2" t="s">
        <v>400</v>
      </c>
      <c r="G1982" s="55">
        <v>1</v>
      </c>
      <c r="H1982" s="56">
        <v>0</v>
      </c>
      <c r="I1982" s="55">
        <f>G1982*H1982</f>
        <v>0</v>
      </c>
      <c r="J1982" s="55">
        <v>0</v>
      </c>
      <c r="K1982" s="55">
        <f>G1982*J1982</f>
        <v>0</v>
      </c>
      <c r="L1982" s="57" t="s">
        <v>124</v>
      </c>
      <c r="Z1982" s="55">
        <f>IF(AQ1982="5",BJ1982,0)</f>
        <v>0</v>
      </c>
      <c r="AB1982" s="55">
        <f>IF(AQ1982="1",BH1982,0)</f>
        <v>0</v>
      </c>
      <c r="AC1982" s="55">
        <f>IF(AQ1982="1",BI1982,0)</f>
        <v>0</v>
      </c>
      <c r="AD1982" s="55">
        <f>IF(AQ1982="7",BH1982,0)</f>
        <v>0</v>
      </c>
      <c r="AE1982" s="55">
        <f>IF(AQ1982="7",BI1982,0)</f>
        <v>0</v>
      </c>
      <c r="AF1982" s="55">
        <f>IF(AQ1982="2",BH1982,0)</f>
        <v>0</v>
      </c>
      <c r="AG1982" s="55">
        <f>IF(AQ1982="2",BI1982,0)</f>
        <v>0</v>
      </c>
      <c r="AH1982" s="55">
        <f>IF(AQ1982="0",BJ1982,0)</f>
        <v>0</v>
      </c>
      <c r="AI1982" s="34" t="s">
        <v>2629</v>
      </c>
      <c r="AJ1982" s="55">
        <f>IF(AN1982=0,I1982,0)</f>
        <v>0</v>
      </c>
      <c r="AK1982" s="55">
        <f>IF(AN1982=12,I1982,0)</f>
        <v>0</v>
      </c>
      <c r="AL1982" s="55">
        <f>IF(AN1982=21,I1982,0)</f>
        <v>0</v>
      </c>
      <c r="AN1982" s="55">
        <v>21</v>
      </c>
      <c r="AO1982" s="55">
        <f>H1982*0</f>
        <v>0</v>
      </c>
      <c r="AP1982" s="55">
        <f>H1982*(1-0)</f>
        <v>0</v>
      </c>
      <c r="AQ1982" s="58" t="s">
        <v>120</v>
      </c>
      <c r="AV1982" s="55">
        <f>AW1982+AX1982</f>
        <v>0</v>
      </c>
      <c r="AW1982" s="55">
        <f>G1982*AO1982</f>
        <v>0</v>
      </c>
      <c r="AX1982" s="55">
        <f>G1982*AP1982</f>
        <v>0</v>
      </c>
      <c r="AY1982" s="58" t="s">
        <v>2343</v>
      </c>
      <c r="AZ1982" s="58" t="s">
        <v>3665</v>
      </c>
      <c r="BA1982" s="34" t="s">
        <v>2634</v>
      </c>
      <c r="BB1982" s="67">
        <v>100019</v>
      </c>
      <c r="BC1982" s="55">
        <f>AW1982+AX1982</f>
        <v>0</v>
      </c>
      <c r="BD1982" s="55">
        <f>H1982/(100-BE1982)*100</f>
        <v>0</v>
      </c>
      <c r="BE1982" s="55">
        <v>0</v>
      </c>
      <c r="BF1982" s="55">
        <f>K1982</f>
        <v>0</v>
      </c>
      <c r="BH1982" s="55">
        <f>G1982*AO1982</f>
        <v>0</v>
      </c>
      <c r="BI1982" s="55">
        <f>G1982*AP1982</f>
        <v>0</v>
      </c>
      <c r="BJ1982" s="55">
        <f>G1982*H1982</f>
        <v>0</v>
      </c>
      <c r="BK1982" s="55"/>
      <c r="BL1982" s="55">
        <v>94</v>
      </c>
      <c r="BW1982" s="55">
        <v>21</v>
      </c>
    </row>
    <row r="1983" spans="1:12" ht="14.4">
      <c r="A1983" s="59"/>
      <c r="D1983" s="60" t="s">
        <v>120</v>
      </c>
      <c r="E1983" s="60" t="s">
        <v>4</v>
      </c>
      <c r="G1983" s="68">
        <v>1</v>
      </c>
      <c r="L1983" s="69"/>
    </row>
    <row r="1984" spans="1:75" ht="13.5" customHeight="1">
      <c r="A1984" s="1" t="s">
        <v>3666</v>
      </c>
      <c r="B1984" s="2" t="s">
        <v>2629</v>
      </c>
      <c r="C1984" s="2" t="s">
        <v>3667</v>
      </c>
      <c r="D1984" s="147" t="s">
        <v>3668</v>
      </c>
      <c r="E1984" s="148"/>
      <c r="F1984" s="2" t="s">
        <v>174</v>
      </c>
      <c r="G1984" s="55">
        <v>140.4</v>
      </c>
      <c r="H1984" s="56">
        <v>0</v>
      </c>
      <c r="I1984" s="55">
        <f>G1984*H1984</f>
        <v>0</v>
      </c>
      <c r="J1984" s="55">
        <v>0</v>
      </c>
      <c r="K1984" s="55">
        <f>G1984*J1984</f>
        <v>0</v>
      </c>
      <c r="L1984" s="57" t="s">
        <v>785</v>
      </c>
      <c r="Z1984" s="55">
        <f>IF(AQ1984="5",BJ1984,0)</f>
        <v>0</v>
      </c>
      <c r="AB1984" s="55">
        <f>IF(AQ1984="1",BH1984,0)</f>
        <v>0</v>
      </c>
      <c r="AC1984" s="55">
        <f>IF(AQ1984="1",BI1984,0)</f>
        <v>0</v>
      </c>
      <c r="AD1984" s="55">
        <f>IF(AQ1984="7",BH1984,0)</f>
        <v>0</v>
      </c>
      <c r="AE1984" s="55">
        <f>IF(AQ1984="7",BI1984,0)</f>
        <v>0</v>
      </c>
      <c r="AF1984" s="55">
        <f>IF(AQ1984="2",BH1984,0)</f>
        <v>0</v>
      </c>
      <c r="AG1984" s="55">
        <f>IF(AQ1984="2",BI1984,0)</f>
        <v>0</v>
      </c>
      <c r="AH1984" s="55">
        <f>IF(AQ1984="0",BJ1984,0)</f>
        <v>0</v>
      </c>
      <c r="AI1984" s="34" t="s">
        <v>2629</v>
      </c>
      <c r="AJ1984" s="55">
        <f>IF(AN1984=0,I1984,0)</f>
        <v>0</v>
      </c>
      <c r="AK1984" s="55">
        <f>IF(AN1984=12,I1984,0)</f>
        <v>0</v>
      </c>
      <c r="AL1984" s="55">
        <f>IF(AN1984=21,I1984,0)</f>
        <v>0</v>
      </c>
      <c r="AN1984" s="55">
        <v>21</v>
      </c>
      <c r="AO1984" s="55">
        <f>H1984*0.124578471</f>
        <v>0</v>
      </c>
      <c r="AP1984" s="55">
        <f>H1984*(1-0.124578471)</f>
        <v>0</v>
      </c>
      <c r="AQ1984" s="58" t="s">
        <v>120</v>
      </c>
      <c r="AV1984" s="55">
        <f>AW1984+AX1984</f>
        <v>0</v>
      </c>
      <c r="AW1984" s="55">
        <f>G1984*AO1984</f>
        <v>0</v>
      </c>
      <c r="AX1984" s="55">
        <f>G1984*AP1984</f>
        <v>0</v>
      </c>
      <c r="AY1984" s="58" t="s">
        <v>2343</v>
      </c>
      <c r="AZ1984" s="58" t="s">
        <v>3665</v>
      </c>
      <c r="BA1984" s="34" t="s">
        <v>2634</v>
      </c>
      <c r="BB1984" s="67">
        <v>100019</v>
      </c>
      <c r="BC1984" s="55">
        <f>AW1984+AX1984</f>
        <v>0</v>
      </c>
      <c r="BD1984" s="55">
        <f>H1984/(100-BE1984)*100</f>
        <v>0</v>
      </c>
      <c r="BE1984" s="55">
        <v>0</v>
      </c>
      <c r="BF1984" s="55">
        <f>K1984</f>
        <v>0</v>
      </c>
      <c r="BH1984" s="55">
        <f>G1984*AO1984</f>
        <v>0</v>
      </c>
      <c r="BI1984" s="55">
        <f>G1984*AP1984</f>
        <v>0</v>
      </c>
      <c r="BJ1984" s="55">
        <f>G1984*H1984</f>
        <v>0</v>
      </c>
      <c r="BK1984" s="55"/>
      <c r="BL1984" s="55">
        <v>94</v>
      </c>
      <c r="BW1984" s="55">
        <v>21</v>
      </c>
    </row>
    <row r="1985" spans="1:12" ht="13.5" customHeight="1">
      <c r="A1985" s="59"/>
      <c r="D1985" s="218" t="s">
        <v>3669</v>
      </c>
      <c r="E1985" s="219"/>
      <c r="F1985" s="219"/>
      <c r="G1985" s="219"/>
      <c r="H1985" s="220"/>
      <c r="I1985" s="219"/>
      <c r="J1985" s="219"/>
      <c r="K1985" s="219"/>
      <c r="L1985" s="221"/>
    </row>
    <row r="1986" spans="1:12" ht="14.4">
      <c r="A1986" s="59"/>
      <c r="D1986" s="60" t="s">
        <v>3670</v>
      </c>
      <c r="E1986" s="60" t="s">
        <v>869</v>
      </c>
      <c r="G1986" s="68">
        <v>135.4</v>
      </c>
      <c r="L1986" s="69"/>
    </row>
    <row r="1987" spans="1:12" ht="14.4">
      <c r="A1987" s="59"/>
      <c r="D1987" s="60" t="s">
        <v>3671</v>
      </c>
      <c r="E1987" s="60" t="s">
        <v>3672</v>
      </c>
      <c r="G1987" s="68">
        <v>5</v>
      </c>
      <c r="L1987" s="69"/>
    </row>
    <row r="1988" spans="1:75" ht="13.5" customHeight="1">
      <c r="A1988" s="1" t="s">
        <v>3673</v>
      </c>
      <c r="B1988" s="2" t="s">
        <v>2629</v>
      </c>
      <c r="C1988" s="2" t="s">
        <v>3674</v>
      </c>
      <c r="D1988" s="147" t="s">
        <v>3675</v>
      </c>
      <c r="E1988" s="148"/>
      <c r="F1988" s="2" t="s">
        <v>174</v>
      </c>
      <c r="G1988" s="55">
        <v>4174.5</v>
      </c>
      <c r="H1988" s="56">
        <v>0</v>
      </c>
      <c r="I1988" s="55">
        <f>G1988*H1988</f>
        <v>0</v>
      </c>
      <c r="J1988" s="55">
        <v>0</v>
      </c>
      <c r="K1988" s="55">
        <f>G1988*J1988</f>
        <v>0</v>
      </c>
      <c r="L1988" s="57" t="s">
        <v>785</v>
      </c>
      <c r="Z1988" s="55">
        <f>IF(AQ1988="5",BJ1988,0)</f>
        <v>0</v>
      </c>
      <c r="AB1988" s="55">
        <f>IF(AQ1988="1",BH1988,0)</f>
        <v>0</v>
      </c>
      <c r="AC1988" s="55">
        <f>IF(AQ1988="1",BI1988,0)</f>
        <v>0</v>
      </c>
      <c r="AD1988" s="55">
        <f>IF(AQ1988="7",BH1988,0)</f>
        <v>0</v>
      </c>
      <c r="AE1988" s="55">
        <f>IF(AQ1988="7",BI1988,0)</f>
        <v>0</v>
      </c>
      <c r="AF1988" s="55">
        <f>IF(AQ1988="2",BH1988,0)</f>
        <v>0</v>
      </c>
      <c r="AG1988" s="55">
        <f>IF(AQ1988="2",BI1988,0)</f>
        <v>0</v>
      </c>
      <c r="AH1988" s="55">
        <f>IF(AQ1988="0",BJ1988,0)</f>
        <v>0</v>
      </c>
      <c r="AI1988" s="34" t="s">
        <v>2629</v>
      </c>
      <c r="AJ1988" s="55">
        <f>IF(AN1988=0,I1988,0)</f>
        <v>0</v>
      </c>
      <c r="AK1988" s="55">
        <f>IF(AN1988=12,I1988,0)</f>
        <v>0</v>
      </c>
      <c r="AL1988" s="55">
        <f>IF(AN1988=21,I1988,0)</f>
        <v>0</v>
      </c>
      <c r="AN1988" s="55">
        <v>21</v>
      </c>
      <c r="AO1988" s="55">
        <f>H1988*0</f>
        <v>0</v>
      </c>
      <c r="AP1988" s="55">
        <f>H1988*(1-0)</f>
        <v>0</v>
      </c>
      <c r="AQ1988" s="58" t="s">
        <v>120</v>
      </c>
      <c r="AV1988" s="55">
        <f>AW1988+AX1988</f>
        <v>0</v>
      </c>
      <c r="AW1988" s="55">
        <f>G1988*AO1988</f>
        <v>0</v>
      </c>
      <c r="AX1988" s="55">
        <f>G1988*AP1988</f>
        <v>0</v>
      </c>
      <c r="AY1988" s="58" t="s">
        <v>2343</v>
      </c>
      <c r="AZ1988" s="58" t="s">
        <v>3665</v>
      </c>
      <c r="BA1988" s="34" t="s">
        <v>2634</v>
      </c>
      <c r="BB1988" s="67">
        <v>100019</v>
      </c>
      <c r="BC1988" s="55">
        <f>AW1988+AX1988</f>
        <v>0</v>
      </c>
      <c r="BD1988" s="55">
        <f>H1988/(100-BE1988)*100</f>
        <v>0</v>
      </c>
      <c r="BE1988" s="55">
        <v>0</v>
      </c>
      <c r="BF1988" s="55">
        <f>K1988</f>
        <v>0</v>
      </c>
      <c r="BH1988" s="55">
        <f>G1988*AO1988</f>
        <v>0</v>
      </c>
      <c r="BI1988" s="55">
        <f>G1988*AP1988</f>
        <v>0</v>
      </c>
      <c r="BJ1988" s="55">
        <f>G1988*H1988</f>
        <v>0</v>
      </c>
      <c r="BK1988" s="55"/>
      <c r="BL1988" s="55">
        <v>94</v>
      </c>
      <c r="BW1988" s="55">
        <v>21</v>
      </c>
    </row>
    <row r="1989" spans="1:12" ht="13.5" customHeight="1">
      <c r="A1989" s="59"/>
      <c r="D1989" s="218" t="s">
        <v>3676</v>
      </c>
      <c r="E1989" s="219"/>
      <c r="F1989" s="219"/>
      <c r="G1989" s="219"/>
      <c r="H1989" s="220"/>
      <c r="I1989" s="219"/>
      <c r="J1989" s="219"/>
      <c r="K1989" s="219"/>
      <c r="L1989" s="221"/>
    </row>
    <row r="1990" spans="1:12" ht="14.4">
      <c r="A1990" s="59"/>
      <c r="D1990" s="60" t="s">
        <v>3677</v>
      </c>
      <c r="E1990" s="60" t="s">
        <v>4</v>
      </c>
      <c r="G1990" s="68">
        <v>4174.5</v>
      </c>
      <c r="L1990" s="69"/>
    </row>
    <row r="1991" spans="1:75" ht="13.5" customHeight="1">
      <c r="A1991" s="1" t="s">
        <v>3678</v>
      </c>
      <c r="B1991" s="2" t="s">
        <v>2629</v>
      </c>
      <c r="C1991" s="2" t="s">
        <v>3679</v>
      </c>
      <c r="D1991" s="147" t="s">
        <v>3680</v>
      </c>
      <c r="E1991" s="148"/>
      <c r="F1991" s="2" t="s">
        <v>174</v>
      </c>
      <c r="G1991" s="55">
        <v>139.15</v>
      </c>
      <c r="H1991" s="56">
        <v>0</v>
      </c>
      <c r="I1991" s="55">
        <f>G1991*H1991</f>
        <v>0</v>
      </c>
      <c r="J1991" s="55">
        <v>0</v>
      </c>
      <c r="K1991" s="55">
        <f>G1991*J1991</f>
        <v>0</v>
      </c>
      <c r="L1991" s="57" t="s">
        <v>785</v>
      </c>
      <c r="Z1991" s="55">
        <f>IF(AQ1991="5",BJ1991,0)</f>
        <v>0</v>
      </c>
      <c r="AB1991" s="55">
        <f>IF(AQ1991="1",BH1991,0)</f>
        <v>0</v>
      </c>
      <c r="AC1991" s="55">
        <f>IF(AQ1991="1",BI1991,0)</f>
        <v>0</v>
      </c>
      <c r="AD1991" s="55">
        <f>IF(AQ1991="7",BH1991,0)</f>
        <v>0</v>
      </c>
      <c r="AE1991" s="55">
        <f>IF(AQ1991="7",BI1991,0)</f>
        <v>0</v>
      </c>
      <c r="AF1991" s="55">
        <f>IF(AQ1991="2",BH1991,0)</f>
        <v>0</v>
      </c>
      <c r="AG1991" s="55">
        <f>IF(AQ1991="2",BI1991,0)</f>
        <v>0</v>
      </c>
      <c r="AH1991" s="55">
        <f>IF(AQ1991="0",BJ1991,0)</f>
        <v>0</v>
      </c>
      <c r="AI1991" s="34" t="s">
        <v>2629</v>
      </c>
      <c r="AJ1991" s="55">
        <f>IF(AN1991=0,I1991,0)</f>
        <v>0</v>
      </c>
      <c r="AK1991" s="55">
        <f>IF(AN1991=12,I1991,0)</f>
        <v>0</v>
      </c>
      <c r="AL1991" s="55">
        <f>IF(AN1991=21,I1991,0)</f>
        <v>0</v>
      </c>
      <c r="AN1991" s="55">
        <v>21</v>
      </c>
      <c r="AO1991" s="55">
        <f>H1991*0</f>
        <v>0</v>
      </c>
      <c r="AP1991" s="55">
        <f>H1991*(1-0)</f>
        <v>0</v>
      </c>
      <c r="AQ1991" s="58" t="s">
        <v>120</v>
      </c>
      <c r="AV1991" s="55">
        <f>AW1991+AX1991</f>
        <v>0</v>
      </c>
      <c r="AW1991" s="55">
        <f>G1991*AO1991</f>
        <v>0</v>
      </c>
      <c r="AX1991" s="55">
        <f>G1991*AP1991</f>
        <v>0</v>
      </c>
      <c r="AY1991" s="58" t="s">
        <v>2343</v>
      </c>
      <c r="AZ1991" s="58" t="s">
        <v>3665</v>
      </c>
      <c r="BA1991" s="34" t="s">
        <v>2634</v>
      </c>
      <c r="BB1991" s="67">
        <v>100019</v>
      </c>
      <c r="BC1991" s="55">
        <f>AW1991+AX1991</f>
        <v>0</v>
      </c>
      <c r="BD1991" s="55">
        <f>H1991/(100-BE1991)*100</f>
        <v>0</v>
      </c>
      <c r="BE1991" s="55">
        <v>0</v>
      </c>
      <c r="BF1991" s="55">
        <f>K1991</f>
        <v>0</v>
      </c>
      <c r="BH1991" s="55">
        <f>G1991*AO1991</f>
        <v>0</v>
      </c>
      <c r="BI1991" s="55">
        <f>G1991*AP1991</f>
        <v>0</v>
      </c>
      <c r="BJ1991" s="55">
        <f>G1991*H1991</f>
        <v>0</v>
      </c>
      <c r="BK1991" s="55"/>
      <c r="BL1991" s="55">
        <v>94</v>
      </c>
      <c r="BW1991" s="55">
        <v>21</v>
      </c>
    </row>
    <row r="1992" spans="1:12" ht="13.5" customHeight="1">
      <c r="A1992" s="59"/>
      <c r="D1992" s="218" t="s">
        <v>3669</v>
      </c>
      <c r="E1992" s="219"/>
      <c r="F1992" s="219"/>
      <c r="G1992" s="219"/>
      <c r="H1992" s="220"/>
      <c r="I1992" s="219"/>
      <c r="J1992" s="219"/>
      <c r="K1992" s="219"/>
      <c r="L1992" s="221"/>
    </row>
    <row r="1993" spans="1:12" ht="14.4">
      <c r="A1993" s="59"/>
      <c r="D1993" s="60" t="s">
        <v>3681</v>
      </c>
      <c r="E1993" s="60" t="s">
        <v>4</v>
      </c>
      <c r="G1993" s="68">
        <v>139.15</v>
      </c>
      <c r="L1993" s="69"/>
    </row>
    <row r="1994" spans="1:75" ht="13.5" customHeight="1">
      <c r="A1994" s="1" t="s">
        <v>3682</v>
      </c>
      <c r="B1994" s="2" t="s">
        <v>2629</v>
      </c>
      <c r="C1994" s="2" t="s">
        <v>3683</v>
      </c>
      <c r="D1994" s="147" t="s">
        <v>3684</v>
      </c>
      <c r="E1994" s="148"/>
      <c r="F1994" s="2" t="s">
        <v>729</v>
      </c>
      <c r="G1994" s="55">
        <v>421.2</v>
      </c>
      <c r="H1994" s="56">
        <v>0</v>
      </c>
      <c r="I1994" s="55">
        <f>G1994*H1994</f>
        <v>0</v>
      </c>
      <c r="J1994" s="55">
        <v>0.0006</v>
      </c>
      <c r="K1994" s="55">
        <f>G1994*J1994</f>
        <v>0.25271999999999994</v>
      </c>
      <c r="L1994" s="57" t="s">
        <v>785</v>
      </c>
      <c r="Z1994" s="55">
        <f>IF(AQ1994="5",BJ1994,0)</f>
        <v>0</v>
      </c>
      <c r="AB1994" s="55">
        <f>IF(AQ1994="1",BH1994,0)</f>
        <v>0</v>
      </c>
      <c r="AC1994" s="55">
        <f>IF(AQ1994="1",BI1994,0)</f>
        <v>0</v>
      </c>
      <c r="AD1994" s="55">
        <f>IF(AQ1994="7",BH1994,0)</f>
        <v>0</v>
      </c>
      <c r="AE1994" s="55">
        <f>IF(AQ1994="7",BI1994,0)</f>
        <v>0</v>
      </c>
      <c r="AF1994" s="55">
        <f>IF(AQ1994="2",BH1994,0)</f>
        <v>0</v>
      </c>
      <c r="AG1994" s="55">
        <f>IF(AQ1994="2",BI1994,0)</f>
        <v>0</v>
      </c>
      <c r="AH1994" s="55">
        <f>IF(AQ1994="0",BJ1994,0)</f>
        <v>0</v>
      </c>
      <c r="AI1994" s="34" t="s">
        <v>2629</v>
      </c>
      <c r="AJ1994" s="55">
        <f>IF(AN1994=0,I1994,0)</f>
        <v>0</v>
      </c>
      <c r="AK1994" s="55">
        <f>IF(AN1994=12,I1994,0)</f>
        <v>0</v>
      </c>
      <c r="AL1994" s="55">
        <f>IF(AN1994=21,I1994,0)</f>
        <v>0</v>
      </c>
      <c r="AN1994" s="55">
        <v>21</v>
      </c>
      <c r="AO1994" s="55">
        <f>H1994*0.685405565</f>
        <v>0</v>
      </c>
      <c r="AP1994" s="55">
        <f>H1994*(1-0.685405565)</f>
        <v>0</v>
      </c>
      <c r="AQ1994" s="58" t="s">
        <v>120</v>
      </c>
      <c r="AV1994" s="55">
        <f>AW1994+AX1994</f>
        <v>0</v>
      </c>
      <c r="AW1994" s="55">
        <f>G1994*AO1994</f>
        <v>0</v>
      </c>
      <c r="AX1994" s="55">
        <f>G1994*AP1994</f>
        <v>0</v>
      </c>
      <c r="AY1994" s="58" t="s">
        <v>2343</v>
      </c>
      <c r="AZ1994" s="58" t="s">
        <v>3665</v>
      </c>
      <c r="BA1994" s="34" t="s">
        <v>2634</v>
      </c>
      <c r="BB1994" s="67">
        <v>100019</v>
      </c>
      <c r="BC1994" s="55">
        <f>AW1994+AX1994</f>
        <v>0</v>
      </c>
      <c r="BD1994" s="55">
        <f>H1994/(100-BE1994)*100</f>
        <v>0</v>
      </c>
      <c r="BE1994" s="55">
        <v>0</v>
      </c>
      <c r="BF1994" s="55">
        <f>K1994</f>
        <v>0.25271999999999994</v>
      </c>
      <c r="BH1994" s="55">
        <f>G1994*AO1994</f>
        <v>0</v>
      </c>
      <c r="BI1994" s="55">
        <f>G1994*AP1994</f>
        <v>0</v>
      </c>
      <c r="BJ1994" s="55">
        <f>G1994*H1994</f>
        <v>0</v>
      </c>
      <c r="BK1994" s="55"/>
      <c r="BL1994" s="55">
        <v>94</v>
      </c>
      <c r="BW1994" s="55">
        <v>21</v>
      </c>
    </row>
    <row r="1995" spans="1:12" ht="13.5" customHeight="1">
      <c r="A1995" s="59"/>
      <c r="D1995" s="218" t="s">
        <v>3685</v>
      </c>
      <c r="E1995" s="219"/>
      <c r="F1995" s="219"/>
      <c r="G1995" s="219"/>
      <c r="H1995" s="220"/>
      <c r="I1995" s="219"/>
      <c r="J1995" s="219"/>
      <c r="K1995" s="219"/>
      <c r="L1995" s="221"/>
    </row>
    <row r="1996" spans="1:12" ht="14.4">
      <c r="A1996" s="59"/>
      <c r="D1996" s="60" t="s">
        <v>3686</v>
      </c>
      <c r="E1996" s="60" t="s">
        <v>3687</v>
      </c>
      <c r="G1996" s="68">
        <v>210.6</v>
      </c>
      <c r="L1996" s="69"/>
    </row>
    <row r="1997" spans="1:12" ht="14.4">
      <c r="A1997" s="59"/>
      <c r="D1997" s="60" t="s">
        <v>3686</v>
      </c>
      <c r="E1997" s="60" t="s">
        <v>3688</v>
      </c>
      <c r="G1997" s="68">
        <v>210.6</v>
      </c>
      <c r="L1997" s="69"/>
    </row>
    <row r="1998" spans="1:75" ht="13.5" customHeight="1">
      <c r="A1998" s="1" t="s">
        <v>3689</v>
      </c>
      <c r="B1998" s="2" t="s">
        <v>2629</v>
      </c>
      <c r="C1998" s="2" t="s">
        <v>3690</v>
      </c>
      <c r="D1998" s="147" t="s">
        <v>3691</v>
      </c>
      <c r="E1998" s="148"/>
      <c r="F1998" s="2" t="s">
        <v>729</v>
      </c>
      <c r="G1998" s="55">
        <v>421.2</v>
      </c>
      <c r="H1998" s="56">
        <v>0</v>
      </c>
      <c r="I1998" s="55">
        <f>G1998*H1998</f>
        <v>0</v>
      </c>
      <c r="J1998" s="55">
        <v>0.0006</v>
      </c>
      <c r="K1998" s="55">
        <f>G1998*J1998</f>
        <v>0.25271999999999994</v>
      </c>
      <c r="L1998" s="57" t="s">
        <v>785</v>
      </c>
      <c r="Z1998" s="55">
        <f>IF(AQ1998="5",BJ1998,0)</f>
        <v>0</v>
      </c>
      <c r="AB1998" s="55">
        <f>IF(AQ1998="1",BH1998,0)</f>
        <v>0</v>
      </c>
      <c r="AC1998" s="55">
        <f>IF(AQ1998="1",BI1998,0)</f>
        <v>0</v>
      </c>
      <c r="AD1998" s="55">
        <f>IF(AQ1998="7",BH1998,0)</f>
        <v>0</v>
      </c>
      <c r="AE1998" s="55">
        <f>IF(AQ1998="7",BI1998,0)</f>
        <v>0</v>
      </c>
      <c r="AF1998" s="55">
        <f>IF(AQ1998="2",BH1998,0)</f>
        <v>0</v>
      </c>
      <c r="AG1998" s="55">
        <f>IF(AQ1998="2",BI1998,0)</f>
        <v>0</v>
      </c>
      <c r="AH1998" s="55">
        <f>IF(AQ1998="0",BJ1998,0)</f>
        <v>0</v>
      </c>
      <c r="AI1998" s="34" t="s">
        <v>2629</v>
      </c>
      <c r="AJ1998" s="55">
        <f>IF(AN1998=0,I1998,0)</f>
        <v>0</v>
      </c>
      <c r="AK1998" s="55">
        <f>IF(AN1998=12,I1998,0)</f>
        <v>0</v>
      </c>
      <c r="AL1998" s="55">
        <f>IF(AN1998=21,I1998,0)</f>
        <v>0</v>
      </c>
      <c r="AN1998" s="55">
        <v>21</v>
      </c>
      <c r="AO1998" s="55">
        <f>H1998*0</f>
        <v>0</v>
      </c>
      <c r="AP1998" s="55">
        <f>H1998*(1-0)</f>
        <v>0</v>
      </c>
      <c r="AQ1998" s="58" t="s">
        <v>120</v>
      </c>
      <c r="AV1998" s="55">
        <f>AW1998+AX1998</f>
        <v>0</v>
      </c>
      <c r="AW1998" s="55">
        <f>G1998*AO1998</f>
        <v>0</v>
      </c>
      <c r="AX1998" s="55">
        <f>G1998*AP1998</f>
        <v>0</v>
      </c>
      <c r="AY1998" s="58" t="s">
        <v>2343</v>
      </c>
      <c r="AZ1998" s="58" t="s">
        <v>3665</v>
      </c>
      <c r="BA1998" s="34" t="s">
        <v>2634</v>
      </c>
      <c r="BB1998" s="67">
        <v>100019</v>
      </c>
      <c r="BC1998" s="55">
        <f>AW1998+AX1998</f>
        <v>0</v>
      </c>
      <c r="BD1998" s="55">
        <f>H1998/(100-BE1998)*100</f>
        <v>0</v>
      </c>
      <c r="BE1998" s="55">
        <v>0</v>
      </c>
      <c r="BF1998" s="55">
        <f>K1998</f>
        <v>0.25271999999999994</v>
      </c>
      <c r="BH1998" s="55">
        <f>G1998*AO1998</f>
        <v>0</v>
      </c>
      <c r="BI1998" s="55">
        <f>G1998*AP1998</f>
        <v>0</v>
      </c>
      <c r="BJ1998" s="55">
        <f>G1998*H1998</f>
        <v>0</v>
      </c>
      <c r="BK1998" s="55"/>
      <c r="BL1998" s="55">
        <v>94</v>
      </c>
      <c r="BW1998" s="55">
        <v>21</v>
      </c>
    </row>
    <row r="1999" spans="1:12" ht="14.4">
      <c r="A1999" s="59"/>
      <c r="D1999" s="60" t="s">
        <v>3692</v>
      </c>
      <c r="E1999" s="60" t="s">
        <v>4</v>
      </c>
      <c r="G1999" s="68">
        <v>421.2</v>
      </c>
      <c r="L1999" s="69"/>
    </row>
    <row r="2000" spans="1:47" ht="14.4">
      <c r="A2000" s="50" t="s">
        <v>4</v>
      </c>
      <c r="B2000" s="51" t="s">
        <v>2629</v>
      </c>
      <c r="C2000" s="51" t="s">
        <v>428</v>
      </c>
      <c r="D2000" s="222" t="s">
        <v>2421</v>
      </c>
      <c r="E2000" s="223"/>
      <c r="F2000" s="52" t="s">
        <v>79</v>
      </c>
      <c r="G2000" s="52" t="s">
        <v>79</v>
      </c>
      <c r="H2000" s="53" t="s">
        <v>79</v>
      </c>
      <c r="I2000" s="27">
        <f>SUM(I2001:I2001)</f>
        <v>0</v>
      </c>
      <c r="J2000" s="34" t="s">
        <v>4</v>
      </c>
      <c r="K2000" s="27">
        <f>SUM(K2001:K2001)</f>
        <v>0.1710324</v>
      </c>
      <c r="L2000" s="54" t="s">
        <v>4</v>
      </c>
      <c r="AI2000" s="34" t="s">
        <v>2629</v>
      </c>
      <c r="AS2000" s="27">
        <f>SUM(AJ2001:AJ2001)</f>
        <v>0</v>
      </c>
      <c r="AT2000" s="27">
        <f>SUM(AK2001:AK2001)</f>
        <v>0</v>
      </c>
      <c r="AU2000" s="27">
        <f>SUM(AL2001:AL2001)</f>
        <v>0</v>
      </c>
    </row>
    <row r="2001" spans="1:75" ht="13.5" customHeight="1">
      <c r="A2001" s="1" t="s">
        <v>3693</v>
      </c>
      <c r="B2001" s="2" t="s">
        <v>2629</v>
      </c>
      <c r="C2001" s="2" t="s">
        <v>2462</v>
      </c>
      <c r="D2001" s="147" t="s">
        <v>2463</v>
      </c>
      <c r="E2001" s="148"/>
      <c r="F2001" s="2" t="s">
        <v>729</v>
      </c>
      <c r="G2001" s="55">
        <v>3.96</v>
      </c>
      <c r="H2001" s="56">
        <v>0</v>
      </c>
      <c r="I2001" s="55">
        <f>G2001*H2001</f>
        <v>0</v>
      </c>
      <c r="J2001" s="55">
        <v>0.04319</v>
      </c>
      <c r="K2001" s="55">
        <f>G2001*J2001</f>
        <v>0.1710324</v>
      </c>
      <c r="L2001" s="57" t="s">
        <v>785</v>
      </c>
      <c r="Z2001" s="55">
        <f>IF(AQ2001="5",BJ2001,0)</f>
        <v>0</v>
      </c>
      <c r="AB2001" s="55">
        <f>IF(AQ2001="1",BH2001,0)</f>
        <v>0</v>
      </c>
      <c r="AC2001" s="55">
        <f>IF(AQ2001="1",BI2001,0)</f>
        <v>0</v>
      </c>
      <c r="AD2001" s="55">
        <f>IF(AQ2001="7",BH2001,0)</f>
        <v>0</v>
      </c>
      <c r="AE2001" s="55">
        <f>IF(AQ2001="7",BI2001,0)</f>
        <v>0</v>
      </c>
      <c r="AF2001" s="55">
        <f>IF(AQ2001="2",BH2001,0)</f>
        <v>0</v>
      </c>
      <c r="AG2001" s="55">
        <f>IF(AQ2001="2",BI2001,0)</f>
        <v>0</v>
      </c>
      <c r="AH2001" s="55">
        <f>IF(AQ2001="0",BJ2001,0)</f>
        <v>0</v>
      </c>
      <c r="AI2001" s="34" t="s">
        <v>2629</v>
      </c>
      <c r="AJ2001" s="55">
        <f>IF(AN2001=0,I2001,0)</f>
        <v>0</v>
      </c>
      <c r="AK2001" s="55">
        <f>IF(AN2001=12,I2001,0)</f>
        <v>0</v>
      </c>
      <c r="AL2001" s="55">
        <f>IF(AN2001=21,I2001,0)</f>
        <v>0</v>
      </c>
      <c r="AN2001" s="55">
        <v>21</v>
      </c>
      <c r="AO2001" s="55">
        <f>H2001*0.209604695</f>
        <v>0</v>
      </c>
      <c r="AP2001" s="55">
        <f>H2001*(1-0.209604695)</f>
        <v>0</v>
      </c>
      <c r="AQ2001" s="58" t="s">
        <v>120</v>
      </c>
      <c r="AV2001" s="55">
        <f>AW2001+AX2001</f>
        <v>0</v>
      </c>
      <c r="AW2001" s="55">
        <f>G2001*AO2001</f>
        <v>0</v>
      </c>
      <c r="AX2001" s="55">
        <f>G2001*AP2001</f>
        <v>0</v>
      </c>
      <c r="AY2001" s="58" t="s">
        <v>2425</v>
      </c>
      <c r="AZ2001" s="58" t="s">
        <v>3665</v>
      </c>
      <c r="BA2001" s="34" t="s">
        <v>2634</v>
      </c>
      <c r="BB2001" s="67">
        <v>100020</v>
      </c>
      <c r="BC2001" s="55">
        <f>AW2001+AX2001</f>
        <v>0</v>
      </c>
      <c r="BD2001" s="55">
        <f>H2001/(100-BE2001)*100</f>
        <v>0</v>
      </c>
      <c r="BE2001" s="55">
        <v>0</v>
      </c>
      <c r="BF2001" s="55">
        <f>K2001</f>
        <v>0.1710324</v>
      </c>
      <c r="BH2001" s="55">
        <f>G2001*AO2001</f>
        <v>0</v>
      </c>
      <c r="BI2001" s="55">
        <f>G2001*AP2001</f>
        <v>0</v>
      </c>
      <c r="BJ2001" s="55">
        <f>G2001*H2001</f>
        <v>0</v>
      </c>
      <c r="BK2001" s="55"/>
      <c r="BL2001" s="55">
        <v>96</v>
      </c>
      <c r="BW2001" s="55">
        <v>21</v>
      </c>
    </row>
    <row r="2002" spans="1:12" ht="14.4">
      <c r="A2002" s="59"/>
      <c r="D2002" s="60" t="s">
        <v>3694</v>
      </c>
      <c r="E2002" s="60" t="s">
        <v>4</v>
      </c>
      <c r="G2002" s="68">
        <v>3.96</v>
      </c>
      <c r="L2002" s="69"/>
    </row>
    <row r="2003" spans="1:47" ht="14.4">
      <c r="A2003" s="50" t="s">
        <v>4</v>
      </c>
      <c r="B2003" s="51" t="s">
        <v>2629</v>
      </c>
      <c r="C2003" s="51" t="s">
        <v>431</v>
      </c>
      <c r="D2003" s="222" t="s">
        <v>2472</v>
      </c>
      <c r="E2003" s="223"/>
      <c r="F2003" s="52" t="s">
        <v>79</v>
      </c>
      <c r="G2003" s="52" t="s">
        <v>79</v>
      </c>
      <c r="H2003" s="53" t="s">
        <v>79</v>
      </c>
      <c r="I2003" s="27">
        <f>SUM(I2004:I2004)</f>
        <v>0</v>
      </c>
      <c r="J2003" s="34" t="s">
        <v>4</v>
      </c>
      <c r="K2003" s="27">
        <f>SUM(K2004:K2004)</f>
        <v>0</v>
      </c>
      <c r="L2003" s="54" t="s">
        <v>4</v>
      </c>
      <c r="AI2003" s="34" t="s">
        <v>2629</v>
      </c>
      <c r="AS2003" s="27">
        <f>SUM(AJ2004:AJ2004)</f>
        <v>0</v>
      </c>
      <c r="AT2003" s="27">
        <f>SUM(AK2004:AK2004)</f>
        <v>0</v>
      </c>
      <c r="AU2003" s="27">
        <f>SUM(AL2004:AL2004)</f>
        <v>0</v>
      </c>
    </row>
    <row r="2004" spans="1:75" ht="13.5" customHeight="1">
      <c r="A2004" s="1" t="s">
        <v>3695</v>
      </c>
      <c r="B2004" s="2" t="s">
        <v>2629</v>
      </c>
      <c r="C2004" s="2" t="s">
        <v>2474</v>
      </c>
      <c r="D2004" s="147" t="s">
        <v>2475</v>
      </c>
      <c r="E2004" s="148"/>
      <c r="F2004" s="2" t="s">
        <v>792</v>
      </c>
      <c r="G2004" s="55">
        <v>9.69</v>
      </c>
      <c r="H2004" s="56">
        <v>0</v>
      </c>
      <c r="I2004" s="55">
        <f>G2004*H2004</f>
        <v>0</v>
      </c>
      <c r="J2004" s="55">
        <v>0</v>
      </c>
      <c r="K2004" s="55">
        <f>G2004*J2004</f>
        <v>0</v>
      </c>
      <c r="L2004" s="57" t="s">
        <v>124</v>
      </c>
      <c r="Z2004" s="55">
        <f>IF(AQ2004="5",BJ2004,0)</f>
        <v>0</v>
      </c>
      <c r="AB2004" s="55">
        <f>IF(AQ2004="1",BH2004,0)</f>
        <v>0</v>
      </c>
      <c r="AC2004" s="55">
        <f>IF(AQ2004="1",BI2004,0)</f>
        <v>0</v>
      </c>
      <c r="AD2004" s="55">
        <f>IF(AQ2004="7",BH2004,0)</f>
        <v>0</v>
      </c>
      <c r="AE2004" s="55">
        <f>IF(AQ2004="7",BI2004,0)</f>
        <v>0</v>
      </c>
      <c r="AF2004" s="55">
        <f>IF(AQ2004="2",BH2004,0)</f>
        <v>0</v>
      </c>
      <c r="AG2004" s="55">
        <f>IF(AQ2004="2",BI2004,0)</f>
        <v>0</v>
      </c>
      <c r="AH2004" s="55">
        <f>IF(AQ2004="0",BJ2004,0)</f>
        <v>0</v>
      </c>
      <c r="AI2004" s="34" t="s">
        <v>2629</v>
      </c>
      <c r="AJ2004" s="55">
        <f>IF(AN2004=0,I2004,0)</f>
        <v>0</v>
      </c>
      <c r="AK2004" s="55">
        <f>IF(AN2004=12,I2004,0)</f>
        <v>0</v>
      </c>
      <c r="AL2004" s="55">
        <f>IF(AN2004=21,I2004,0)</f>
        <v>0</v>
      </c>
      <c r="AN2004" s="55">
        <v>21</v>
      </c>
      <c r="AO2004" s="55">
        <f>H2004*0</f>
        <v>0</v>
      </c>
      <c r="AP2004" s="55">
        <f>H2004*(1-0)</f>
        <v>0</v>
      </c>
      <c r="AQ2004" s="58" t="s">
        <v>120</v>
      </c>
      <c r="AV2004" s="55">
        <f>AW2004+AX2004</f>
        <v>0</v>
      </c>
      <c r="AW2004" s="55">
        <f>G2004*AO2004</f>
        <v>0</v>
      </c>
      <c r="AX2004" s="55">
        <f>G2004*AP2004</f>
        <v>0</v>
      </c>
      <c r="AY2004" s="58" t="s">
        <v>2476</v>
      </c>
      <c r="AZ2004" s="58" t="s">
        <v>3665</v>
      </c>
      <c r="BA2004" s="34" t="s">
        <v>2634</v>
      </c>
      <c r="BC2004" s="55">
        <f>AW2004+AX2004</f>
        <v>0</v>
      </c>
      <c r="BD2004" s="55">
        <f>H2004/(100-BE2004)*100</f>
        <v>0</v>
      </c>
      <c r="BE2004" s="55">
        <v>0</v>
      </c>
      <c r="BF2004" s="55">
        <f>K2004</f>
        <v>0</v>
      </c>
      <c r="BH2004" s="55">
        <f>G2004*AO2004</f>
        <v>0</v>
      </c>
      <c r="BI2004" s="55">
        <f>G2004*AP2004</f>
        <v>0</v>
      </c>
      <c r="BJ2004" s="55">
        <f>G2004*H2004</f>
        <v>0</v>
      </c>
      <c r="BK2004" s="55"/>
      <c r="BL2004" s="55">
        <v>97</v>
      </c>
      <c r="BW2004" s="55">
        <v>21</v>
      </c>
    </row>
    <row r="2005" spans="1:12" ht="13.5" customHeight="1">
      <c r="A2005" s="59"/>
      <c r="D2005" s="218" t="s">
        <v>2477</v>
      </c>
      <c r="E2005" s="219"/>
      <c r="F2005" s="219"/>
      <c r="G2005" s="219"/>
      <c r="H2005" s="220"/>
      <c r="I2005" s="219"/>
      <c r="J2005" s="219"/>
      <c r="K2005" s="219"/>
      <c r="L2005" s="221"/>
    </row>
    <row r="2006" spans="1:12" ht="14.4">
      <c r="A2006" s="59"/>
      <c r="D2006" s="60" t="s">
        <v>3696</v>
      </c>
      <c r="E2006" s="60" t="s">
        <v>2479</v>
      </c>
      <c r="G2006" s="68">
        <v>9.69</v>
      </c>
      <c r="L2006" s="69"/>
    </row>
    <row r="2007" spans="1:47" ht="14.4">
      <c r="A2007" s="50" t="s">
        <v>4</v>
      </c>
      <c r="B2007" s="51" t="s">
        <v>2629</v>
      </c>
      <c r="C2007" s="51" t="s">
        <v>2499</v>
      </c>
      <c r="D2007" s="222" t="s">
        <v>2500</v>
      </c>
      <c r="E2007" s="223"/>
      <c r="F2007" s="52" t="s">
        <v>79</v>
      </c>
      <c r="G2007" s="52" t="s">
        <v>79</v>
      </c>
      <c r="H2007" s="53" t="s">
        <v>79</v>
      </c>
      <c r="I2007" s="27">
        <f>SUM(I2008:I2008)</f>
        <v>0</v>
      </c>
      <c r="J2007" s="34" t="s">
        <v>4</v>
      </c>
      <c r="K2007" s="27">
        <f>SUM(K2008:K2008)</f>
        <v>0</v>
      </c>
      <c r="L2007" s="54" t="s">
        <v>4</v>
      </c>
      <c r="AI2007" s="34" t="s">
        <v>2629</v>
      </c>
      <c r="AS2007" s="27">
        <f>SUM(AJ2008:AJ2008)</f>
        <v>0</v>
      </c>
      <c r="AT2007" s="27">
        <f>SUM(AK2008:AK2008)</f>
        <v>0</v>
      </c>
      <c r="AU2007" s="27">
        <f>SUM(AL2008:AL2008)</f>
        <v>0</v>
      </c>
    </row>
    <row r="2008" spans="1:75" ht="13.5" customHeight="1">
      <c r="A2008" s="1" t="s">
        <v>3697</v>
      </c>
      <c r="B2008" s="2" t="s">
        <v>2629</v>
      </c>
      <c r="C2008" s="2" t="s">
        <v>2502</v>
      </c>
      <c r="D2008" s="147" t="s">
        <v>2503</v>
      </c>
      <c r="E2008" s="148"/>
      <c r="F2008" s="2" t="s">
        <v>939</v>
      </c>
      <c r="G2008" s="55">
        <v>0.73</v>
      </c>
      <c r="H2008" s="56">
        <v>0</v>
      </c>
      <c r="I2008" s="55">
        <f>G2008*H2008</f>
        <v>0</v>
      </c>
      <c r="J2008" s="55">
        <v>0</v>
      </c>
      <c r="K2008" s="55">
        <f>G2008*J2008</f>
        <v>0</v>
      </c>
      <c r="L2008" s="57" t="s">
        <v>785</v>
      </c>
      <c r="Z2008" s="55">
        <f>IF(AQ2008="5",BJ2008,0)</f>
        <v>0</v>
      </c>
      <c r="AB2008" s="55">
        <f>IF(AQ2008="1",BH2008,0)</f>
        <v>0</v>
      </c>
      <c r="AC2008" s="55">
        <f>IF(AQ2008="1",BI2008,0)</f>
        <v>0</v>
      </c>
      <c r="AD2008" s="55">
        <f>IF(AQ2008="7",BH2008,0)</f>
        <v>0</v>
      </c>
      <c r="AE2008" s="55">
        <f>IF(AQ2008="7",BI2008,0)</f>
        <v>0</v>
      </c>
      <c r="AF2008" s="55">
        <f>IF(AQ2008="2",BH2008,0)</f>
        <v>0</v>
      </c>
      <c r="AG2008" s="55">
        <f>IF(AQ2008="2",BI2008,0)</f>
        <v>0</v>
      </c>
      <c r="AH2008" s="55">
        <f>IF(AQ2008="0",BJ2008,0)</f>
        <v>0</v>
      </c>
      <c r="AI2008" s="34" t="s">
        <v>2629</v>
      </c>
      <c r="AJ2008" s="55">
        <f>IF(AN2008=0,I2008,0)</f>
        <v>0</v>
      </c>
      <c r="AK2008" s="55">
        <f>IF(AN2008=12,I2008,0)</f>
        <v>0</v>
      </c>
      <c r="AL2008" s="55">
        <f>IF(AN2008=21,I2008,0)</f>
        <v>0</v>
      </c>
      <c r="AN2008" s="55">
        <v>21</v>
      </c>
      <c r="AO2008" s="55">
        <f>H2008*0</f>
        <v>0</v>
      </c>
      <c r="AP2008" s="55">
        <f>H2008*(1-0)</f>
        <v>0</v>
      </c>
      <c r="AQ2008" s="58" t="s">
        <v>139</v>
      </c>
      <c r="AV2008" s="55">
        <f>AW2008+AX2008</f>
        <v>0</v>
      </c>
      <c r="AW2008" s="55">
        <f>G2008*AO2008</f>
        <v>0</v>
      </c>
      <c r="AX2008" s="55">
        <f>G2008*AP2008</f>
        <v>0</v>
      </c>
      <c r="AY2008" s="58" t="s">
        <v>2504</v>
      </c>
      <c r="AZ2008" s="58" t="s">
        <v>3665</v>
      </c>
      <c r="BA2008" s="34" t="s">
        <v>2634</v>
      </c>
      <c r="BC2008" s="55">
        <f>AW2008+AX2008</f>
        <v>0</v>
      </c>
      <c r="BD2008" s="55">
        <f>H2008/(100-BE2008)*100</f>
        <v>0</v>
      </c>
      <c r="BE2008" s="55">
        <v>0</v>
      </c>
      <c r="BF2008" s="55">
        <f>K2008</f>
        <v>0</v>
      </c>
      <c r="BH2008" s="55">
        <f>G2008*AO2008</f>
        <v>0</v>
      </c>
      <c r="BI2008" s="55">
        <f>G2008*AP2008</f>
        <v>0</v>
      </c>
      <c r="BJ2008" s="55">
        <f>G2008*H2008</f>
        <v>0</v>
      </c>
      <c r="BK2008" s="55"/>
      <c r="BL2008" s="55"/>
      <c r="BW2008" s="55">
        <v>21</v>
      </c>
    </row>
    <row r="2009" spans="1:12" ht="14.4">
      <c r="A2009" s="59"/>
      <c r="D2009" s="60" t="s">
        <v>3698</v>
      </c>
      <c r="E2009" s="60" t="s">
        <v>4</v>
      </c>
      <c r="G2009" s="68">
        <v>0.73</v>
      </c>
      <c r="L2009" s="69"/>
    </row>
    <row r="2010" spans="1:47" ht="14.4">
      <c r="A2010" s="50" t="s">
        <v>4</v>
      </c>
      <c r="B2010" s="51" t="s">
        <v>2629</v>
      </c>
      <c r="C2010" s="51" t="s">
        <v>2506</v>
      </c>
      <c r="D2010" s="222" t="s">
        <v>2507</v>
      </c>
      <c r="E2010" s="223"/>
      <c r="F2010" s="52" t="s">
        <v>79</v>
      </c>
      <c r="G2010" s="52" t="s">
        <v>79</v>
      </c>
      <c r="H2010" s="53" t="s">
        <v>79</v>
      </c>
      <c r="I2010" s="27">
        <f>SUM(I2011:I2012)</f>
        <v>0</v>
      </c>
      <c r="J2010" s="34" t="s">
        <v>4</v>
      </c>
      <c r="K2010" s="27">
        <f>SUM(K2011:K2012)</f>
        <v>0</v>
      </c>
      <c r="L2010" s="54" t="s">
        <v>4</v>
      </c>
      <c r="AI2010" s="34" t="s">
        <v>2629</v>
      </c>
      <c r="AS2010" s="27">
        <f>SUM(AJ2011:AJ2012)</f>
        <v>0</v>
      </c>
      <c r="AT2010" s="27">
        <f>SUM(AK2011:AK2012)</f>
        <v>0</v>
      </c>
      <c r="AU2010" s="27">
        <f>SUM(AL2011:AL2012)</f>
        <v>0</v>
      </c>
    </row>
    <row r="2011" spans="1:75" ht="13.5" customHeight="1">
      <c r="A2011" s="1" t="s">
        <v>3699</v>
      </c>
      <c r="B2011" s="2" t="s">
        <v>2629</v>
      </c>
      <c r="C2011" s="2" t="s">
        <v>3700</v>
      </c>
      <c r="D2011" s="147" t="s">
        <v>3701</v>
      </c>
      <c r="E2011" s="148"/>
      <c r="F2011" s="2" t="s">
        <v>374</v>
      </c>
      <c r="G2011" s="55">
        <v>2</v>
      </c>
      <c r="H2011" s="56">
        <v>0</v>
      </c>
      <c r="I2011" s="55">
        <f>G2011*H2011</f>
        <v>0</v>
      </c>
      <c r="J2011" s="55">
        <v>0</v>
      </c>
      <c r="K2011" s="55">
        <f>G2011*J2011</f>
        <v>0</v>
      </c>
      <c r="L2011" s="57" t="s">
        <v>124</v>
      </c>
      <c r="Z2011" s="55">
        <f>IF(AQ2011="5",BJ2011,0)</f>
        <v>0</v>
      </c>
      <c r="AB2011" s="55">
        <f>IF(AQ2011="1",BH2011,0)</f>
        <v>0</v>
      </c>
      <c r="AC2011" s="55">
        <f>IF(AQ2011="1",BI2011,0)</f>
        <v>0</v>
      </c>
      <c r="AD2011" s="55">
        <f>IF(AQ2011="7",BH2011,0)</f>
        <v>0</v>
      </c>
      <c r="AE2011" s="55">
        <f>IF(AQ2011="7",BI2011,0)</f>
        <v>0</v>
      </c>
      <c r="AF2011" s="55">
        <f>IF(AQ2011="2",BH2011,0)</f>
        <v>0</v>
      </c>
      <c r="AG2011" s="55">
        <f>IF(AQ2011="2",BI2011,0)</f>
        <v>0</v>
      </c>
      <c r="AH2011" s="55">
        <f>IF(AQ2011="0",BJ2011,0)</f>
        <v>0</v>
      </c>
      <c r="AI2011" s="34" t="s">
        <v>2629</v>
      </c>
      <c r="AJ2011" s="55">
        <f>IF(AN2011=0,I2011,0)</f>
        <v>0</v>
      </c>
      <c r="AK2011" s="55">
        <f>IF(AN2011=12,I2011,0)</f>
        <v>0</v>
      </c>
      <c r="AL2011" s="55">
        <f>IF(AN2011=21,I2011,0)</f>
        <v>0</v>
      </c>
      <c r="AN2011" s="55">
        <v>21</v>
      </c>
      <c r="AO2011" s="55">
        <f>H2011*0</f>
        <v>0</v>
      </c>
      <c r="AP2011" s="55">
        <f>H2011*(1-0)</f>
        <v>0</v>
      </c>
      <c r="AQ2011" s="58" t="s">
        <v>130</v>
      </c>
      <c r="AV2011" s="55">
        <f>AW2011+AX2011</f>
        <v>0</v>
      </c>
      <c r="AW2011" s="55">
        <f>G2011*AO2011</f>
        <v>0</v>
      </c>
      <c r="AX2011" s="55">
        <f>G2011*AP2011</f>
        <v>0</v>
      </c>
      <c r="AY2011" s="58" t="s">
        <v>2511</v>
      </c>
      <c r="AZ2011" s="58" t="s">
        <v>3665</v>
      </c>
      <c r="BA2011" s="34" t="s">
        <v>2634</v>
      </c>
      <c r="BC2011" s="55">
        <f>AW2011+AX2011</f>
        <v>0</v>
      </c>
      <c r="BD2011" s="55">
        <f>H2011/(100-BE2011)*100</f>
        <v>0</v>
      </c>
      <c r="BE2011" s="55">
        <v>0</v>
      </c>
      <c r="BF2011" s="55">
        <f>K2011</f>
        <v>0</v>
      </c>
      <c r="BH2011" s="55">
        <f>G2011*AO2011</f>
        <v>0</v>
      </c>
      <c r="BI2011" s="55">
        <f>G2011*AP2011</f>
        <v>0</v>
      </c>
      <c r="BJ2011" s="55">
        <f>G2011*H2011</f>
        <v>0</v>
      </c>
      <c r="BK2011" s="55"/>
      <c r="BL2011" s="55"/>
      <c r="BW2011" s="55">
        <v>21</v>
      </c>
    </row>
    <row r="2012" spans="1:75" ht="13.5" customHeight="1">
      <c r="A2012" s="61" t="s">
        <v>3702</v>
      </c>
      <c r="B2012" s="62" t="s">
        <v>2629</v>
      </c>
      <c r="C2012" s="62" t="s">
        <v>3703</v>
      </c>
      <c r="D2012" s="224" t="s">
        <v>3704</v>
      </c>
      <c r="E2012" s="225"/>
      <c r="F2012" s="62" t="s">
        <v>123</v>
      </c>
      <c r="G2012" s="63">
        <v>2</v>
      </c>
      <c r="H2012" s="64">
        <v>0</v>
      </c>
      <c r="I2012" s="63">
        <f>G2012*H2012</f>
        <v>0</v>
      </c>
      <c r="J2012" s="63">
        <v>0</v>
      </c>
      <c r="K2012" s="63">
        <f>G2012*J2012</f>
        <v>0</v>
      </c>
      <c r="L2012" s="65" t="s">
        <v>124</v>
      </c>
      <c r="Z2012" s="55">
        <f>IF(AQ2012="5",BJ2012,0)</f>
        <v>0</v>
      </c>
      <c r="AB2012" s="55">
        <f>IF(AQ2012="1",BH2012,0)</f>
        <v>0</v>
      </c>
      <c r="AC2012" s="55">
        <f>IF(AQ2012="1",BI2012,0)</f>
        <v>0</v>
      </c>
      <c r="AD2012" s="55">
        <f>IF(AQ2012="7",BH2012,0)</f>
        <v>0</v>
      </c>
      <c r="AE2012" s="55">
        <f>IF(AQ2012="7",BI2012,0)</f>
        <v>0</v>
      </c>
      <c r="AF2012" s="55">
        <f>IF(AQ2012="2",BH2012,0)</f>
        <v>0</v>
      </c>
      <c r="AG2012" s="55">
        <f>IF(AQ2012="2",BI2012,0)</f>
        <v>0</v>
      </c>
      <c r="AH2012" s="55">
        <f>IF(AQ2012="0",BJ2012,0)</f>
        <v>0</v>
      </c>
      <c r="AI2012" s="34" t="s">
        <v>2629</v>
      </c>
      <c r="AJ2012" s="63">
        <f>IF(AN2012=0,I2012,0)</f>
        <v>0</v>
      </c>
      <c r="AK2012" s="63">
        <f>IF(AN2012=12,I2012,0)</f>
        <v>0</v>
      </c>
      <c r="AL2012" s="63">
        <f>IF(AN2012=21,I2012,0)</f>
        <v>0</v>
      </c>
      <c r="AN2012" s="55">
        <v>21</v>
      </c>
      <c r="AO2012" s="55">
        <f>H2012*1</f>
        <v>0</v>
      </c>
      <c r="AP2012" s="55">
        <f>H2012*(1-1)</f>
        <v>0</v>
      </c>
      <c r="AQ2012" s="66" t="s">
        <v>120</v>
      </c>
      <c r="AV2012" s="55">
        <f>AW2012+AX2012</f>
        <v>0</v>
      </c>
      <c r="AW2012" s="55">
        <f>G2012*AO2012</f>
        <v>0</v>
      </c>
      <c r="AX2012" s="55">
        <f>G2012*AP2012</f>
        <v>0</v>
      </c>
      <c r="AY2012" s="58" t="s">
        <v>2511</v>
      </c>
      <c r="AZ2012" s="58" t="s">
        <v>3665</v>
      </c>
      <c r="BA2012" s="34" t="s">
        <v>2634</v>
      </c>
      <c r="BC2012" s="55">
        <f>AW2012+AX2012</f>
        <v>0</v>
      </c>
      <c r="BD2012" s="55">
        <f>H2012/(100-BE2012)*100</f>
        <v>0</v>
      </c>
      <c r="BE2012" s="55">
        <v>0</v>
      </c>
      <c r="BF2012" s="55">
        <f>K2012</f>
        <v>0</v>
      </c>
      <c r="BH2012" s="63">
        <f>G2012*AO2012</f>
        <v>0</v>
      </c>
      <c r="BI2012" s="63">
        <f>G2012*AP2012</f>
        <v>0</v>
      </c>
      <c r="BJ2012" s="63">
        <f>G2012*H2012</f>
        <v>0</v>
      </c>
      <c r="BK2012" s="63"/>
      <c r="BL2012" s="55"/>
      <c r="BW2012" s="55">
        <v>21</v>
      </c>
    </row>
    <row r="2013" spans="1:47" ht="14.4">
      <c r="A2013" s="50" t="s">
        <v>4</v>
      </c>
      <c r="B2013" s="51" t="s">
        <v>2629</v>
      </c>
      <c r="C2013" s="51" t="s">
        <v>2571</v>
      </c>
      <c r="D2013" s="222" t="s">
        <v>2572</v>
      </c>
      <c r="E2013" s="223"/>
      <c r="F2013" s="52" t="s">
        <v>79</v>
      </c>
      <c r="G2013" s="52" t="s">
        <v>79</v>
      </c>
      <c r="H2013" s="53" t="s">
        <v>79</v>
      </c>
      <c r="I2013" s="27">
        <f>SUM(I2014:I2044)</f>
        <v>0</v>
      </c>
      <c r="J2013" s="34" t="s">
        <v>4</v>
      </c>
      <c r="K2013" s="27">
        <f>SUM(K2014:K2044)</f>
        <v>0</v>
      </c>
      <c r="L2013" s="54" t="s">
        <v>4</v>
      </c>
      <c r="AI2013" s="34" t="s">
        <v>2629</v>
      </c>
      <c r="AS2013" s="27">
        <f>SUM(AJ2014:AJ2044)</f>
        <v>0</v>
      </c>
      <c r="AT2013" s="27">
        <f>SUM(AK2014:AK2044)</f>
        <v>0</v>
      </c>
      <c r="AU2013" s="27">
        <f>SUM(AL2014:AL2044)</f>
        <v>0</v>
      </c>
    </row>
    <row r="2014" spans="1:75" ht="13.5" customHeight="1">
      <c r="A2014" s="1" t="s">
        <v>3705</v>
      </c>
      <c r="B2014" s="2" t="s">
        <v>2629</v>
      </c>
      <c r="C2014" s="2" t="s">
        <v>2574</v>
      </c>
      <c r="D2014" s="147" t="s">
        <v>2575</v>
      </c>
      <c r="E2014" s="148"/>
      <c r="F2014" s="2" t="s">
        <v>939</v>
      </c>
      <c r="G2014" s="55">
        <v>0.17</v>
      </c>
      <c r="H2014" s="56">
        <v>0</v>
      </c>
      <c r="I2014" s="55">
        <f>G2014*H2014</f>
        <v>0</v>
      </c>
      <c r="J2014" s="55">
        <v>0</v>
      </c>
      <c r="K2014" s="55">
        <f>G2014*J2014</f>
        <v>0</v>
      </c>
      <c r="L2014" s="57" t="s">
        <v>785</v>
      </c>
      <c r="Z2014" s="55">
        <f>IF(AQ2014="5",BJ2014,0)</f>
        <v>0</v>
      </c>
      <c r="AB2014" s="55">
        <f>IF(AQ2014="1",BH2014,0)</f>
        <v>0</v>
      </c>
      <c r="AC2014" s="55">
        <f>IF(AQ2014="1",BI2014,0)</f>
        <v>0</v>
      </c>
      <c r="AD2014" s="55">
        <f>IF(AQ2014="7",BH2014,0)</f>
        <v>0</v>
      </c>
      <c r="AE2014" s="55">
        <f>IF(AQ2014="7",BI2014,0)</f>
        <v>0</v>
      </c>
      <c r="AF2014" s="55">
        <f>IF(AQ2014="2",BH2014,0)</f>
        <v>0</v>
      </c>
      <c r="AG2014" s="55">
        <f>IF(AQ2014="2",BI2014,0)</f>
        <v>0</v>
      </c>
      <c r="AH2014" s="55">
        <f>IF(AQ2014="0",BJ2014,0)</f>
        <v>0</v>
      </c>
      <c r="AI2014" s="34" t="s">
        <v>2629</v>
      </c>
      <c r="AJ2014" s="55">
        <f>IF(AN2014=0,I2014,0)</f>
        <v>0</v>
      </c>
      <c r="AK2014" s="55">
        <f>IF(AN2014=12,I2014,0)</f>
        <v>0</v>
      </c>
      <c r="AL2014" s="55">
        <f>IF(AN2014=21,I2014,0)</f>
        <v>0</v>
      </c>
      <c r="AN2014" s="55">
        <v>21</v>
      </c>
      <c r="AO2014" s="55">
        <f>H2014*0</f>
        <v>0</v>
      </c>
      <c r="AP2014" s="55">
        <f>H2014*(1-0)</f>
        <v>0</v>
      </c>
      <c r="AQ2014" s="58" t="s">
        <v>139</v>
      </c>
      <c r="AV2014" s="55">
        <f>AW2014+AX2014</f>
        <v>0</v>
      </c>
      <c r="AW2014" s="55">
        <f>G2014*AO2014</f>
        <v>0</v>
      </c>
      <c r="AX2014" s="55">
        <f>G2014*AP2014</f>
        <v>0</v>
      </c>
      <c r="AY2014" s="58" t="s">
        <v>2576</v>
      </c>
      <c r="AZ2014" s="58" t="s">
        <v>3665</v>
      </c>
      <c r="BA2014" s="34" t="s">
        <v>2634</v>
      </c>
      <c r="BB2014" s="67">
        <v>100021</v>
      </c>
      <c r="BC2014" s="55">
        <f>AW2014+AX2014</f>
        <v>0</v>
      </c>
      <c r="BD2014" s="55">
        <f>H2014/(100-BE2014)*100</f>
        <v>0</v>
      </c>
      <c r="BE2014" s="55">
        <v>0</v>
      </c>
      <c r="BF2014" s="55">
        <f>K2014</f>
        <v>0</v>
      </c>
      <c r="BH2014" s="55">
        <f>G2014*AO2014</f>
        <v>0</v>
      </c>
      <c r="BI2014" s="55">
        <f>G2014*AP2014</f>
        <v>0</v>
      </c>
      <c r="BJ2014" s="55">
        <f>G2014*H2014</f>
        <v>0</v>
      </c>
      <c r="BK2014" s="55"/>
      <c r="BL2014" s="55"/>
      <c r="BW2014" s="55">
        <v>21</v>
      </c>
    </row>
    <row r="2015" spans="1:12" ht="14.4">
      <c r="A2015" s="59"/>
      <c r="D2015" s="60" t="s">
        <v>3706</v>
      </c>
      <c r="E2015" s="60" t="s">
        <v>4</v>
      </c>
      <c r="G2015" s="68">
        <v>0.17</v>
      </c>
      <c r="L2015" s="69"/>
    </row>
    <row r="2016" spans="1:75" ht="13.5" customHeight="1">
      <c r="A2016" s="1" t="s">
        <v>3707</v>
      </c>
      <c r="B2016" s="2" t="s">
        <v>2629</v>
      </c>
      <c r="C2016" s="2" t="s">
        <v>2587</v>
      </c>
      <c r="D2016" s="147" t="s">
        <v>2588</v>
      </c>
      <c r="E2016" s="148"/>
      <c r="F2016" s="2" t="s">
        <v>939</v>
      </c>
      <c r="G2016" s="55">
        <v>13.93</v>
      </c>
      <c r="H2016" s="56">
        <v>0</v>
      </c>
      <c r="I2016" s="55">
        <f>G2016*H2016</f>
        <v>0</v>
      </c>
      <c r="J2016" s="55">
        <v>0</v>
      </c>
      <c r="K2016" s="55">
        <f>G2016*J2016</f>
        <v>0</v>
      </c>
      <c r="L2016" s="57" t="s">
        <v>785</v>
      </c>
      <c r="Z2016" s="55">
        <f>IF(AQ2016="5",BJ2016,0)</f>
        <v>0</v>
      </c>
      <c r="AB2016" s="55">
        <f>IF(AQ2016="1",BH2016,0)</f>
        <v>0</v>
      </c>
      <c r="AC2016" s="55">
        <f>IF(AQ2016="1",BI2016,0)</f>
        <v>0</v>
      </c>
      <c r="AD2016" s="55">
        <f>IF(AQ2016="7",BH2016,0)</f>
        <v>0</v>
      </c>
      <c r="AE2016" s="55">
        <f>IF(AQ2016="7",BI2016,0)</f>
        <v>0</v>
      </c>
      <c r="AF2016" s="55">
        <f>IF(AQ2016="2",BH2016,0)</f>
        <v>0</v>
      </c>
      <c r="AG2016" s="55">
        <f>IF(AQ2016="2",BI2016,0)</f>
        <v>0</v>
      </c>
      <c r="AH2016" s="55">
        <f>IF(AQ2016="0",BJ2016,0)</f>
        <v>0</v>
      </c>
      <c r="AI2016" s="34" t="s">
        <v>2629</v>
      </c>
      <c r="AJ2016" s="55">
        <f>IF(AN2016=0,I2016,0)</f>
        <v>0</v>
      </c>
      <c r="AK2016" s="55">
        <f>IF(AN2016=12,I2016,0)</f>
        <v>0</v>
      </c>
      <c r="AL2016" s="55">
        <f>IF(AN2016=21,I2016,0)</f>
        <v>0</v>
      </c>
      <c r="AN2016" s="55">
        <v>21</v>
      </c>
      <c r="AO2016" s="55">
        <f>H2016*0</f>
        <v>0</v>
      </c>
      <c r="AP2016" s="55">
        <f>H2016*(1-0)</f>
        <v>0</v>
      </c>
      <c r="AQ2016" s="58" t="s">
        <v>139</v>
      </c>
      <c r="AV2016" s="55">
        <f>AW2016+AX2016</f>
        <v>0</v>
      </c>
      <c r="AW2016" s="55">
        <f>G2016*AO2016</f>
        <v>0</v>
      </c>
      <c r="AX2016" s="55">
        <f>G2016*AP2016</f>
        <v>0</v>
      </c>
      <c r="AY2016" s="58" t="s">
        <v>2576</v>
      </c>
      <c r="AZ2016" s="58" t="s">
        <v>3665</v>
      </c>
      <c r="BA2016" s="34" t="s">
        <v>2634</v>
      </c>
      <c r="BB2016" s="67">
        <v>100021</v>
      </c>
      <c r="BC2016" s="55">
        <f>AW2016+AX2016</f>
        <v>0</v>
      </c>
      <c r="BD2016" s="55">
        <f>H2016/(100-BE2016)*100</f>
        <v>0</v>
      </c>
      <c r="BE2016" s="55">
        <v>0</v>
      </c>
      <c r="BF2016" s="55">
        <f>K2016</f>
        <v>0</v>
      </c>
      <c r="BH2016" s="55">
        <f>G2016*AO2016</f>
        <v>0</v>
      </c>
      <c r="BI2016" s="55">
        <f>G2016*AP2016</f>
        <v>0</v>
      </c>
      <c r="BJ2016" s="55">
        <f>G2016*H2016</f>
        <v>0</v>
      </c>
      <c r="BK2016" s="55"/>
      <c r="BL2016" s="55"/>
      <c r="BW2016" s="55">
        <v>21</v>
      </c>
    </row>
    <row r="2017" spans="1:12" ht="14.4">
      <c r="A2017" s="59"/>
      <c r="D2017" s="60" t="s">
        <v>3708</v>
      </c>
      <c r="E2017" s="60" t="s">
        <v>2590</v>
      </c>
      <c r="G2017" s="68">
        <v>7.27</v>
      </c>
      <c r="L2017" s="69"/>
    </row>
    <row r="2018" spans="1:12" ht="14.4">
      <c r="A2018" s="59"/>
      <c r="D2018" s="60" t="s">
        <v>3709</v>
      </c>
      <c r="E2018" s="60" t="s">
        <v>3710</v>
      </c>
      <c r="G2018" s="68">
        <v>6.66</v>
      </c>
      <c r="L2018" s="69"/>
    </row>
    <row r="2019" spans="1:75" ht="13.5" customHeight="1">
      <c r="A2019" s="1" t="s">
        <v>3711</v>
      </c>
      <c r="B2019" s="2" t="s">
        <v>2629</v>
      </c>
      <c r="C2019" s="2" t="s">
        <v>2592</v>
      </c>
      <c r="D2019" s="147" t="s">
        <v>2593</v>
      </c>
      <c r="E2019" s="148"/>
      <c r="F2019" s="2" t="s">
        <v>939</v>
      </c>
      <c r="G2019" s="55">
        <v>55.72</v>
      </c>
      <c r="H2019" s="56">
        <v>0</v>
      </c>
      <c r="I2019" s="55">
        <f>G2019*H2019</f>
        <v>0</v>
      </c>
      <c r="J2019" s="55">
        <v>0</v>
      </c>
      <c r="K2019" s="55">
        <f>G2019*J2019</f>
        <v>0</v>
      </c>
      <c r="L2019" s="57" t="s">
        <v>785</v>
      </c>
      <c r="Z2019" s="55">
        <f>IF(AQ2019="5",BJ2019,0)</f>
        <v>0</v>
      </c>
      <c r="AB2019" s="55">
        <f>IF(AQ2019="1",BH2019,0)</f>
        <v>0</v>
      </c>
      <c r="AC2019" s="55">
        <f>IF(AQ2019="1",BI2019,0)</f>
        <v>0</v>
      </c>
      <c r="AD2019" s="55">
        <f>IF(AQ2019="7",BH2019,0)</f>
        <v>0</v>
      </c>
      <c r="AE2019" s="55">
        <f>IF(AQ2019="7",BI2019,0)</f>
        <v>0</v>
      </c>
      <c r="AF2019" s="55">
        <f>IF(AQ2019="2",BH2019,0)</f>
        <v>0</v>
      </c>
      <c r="AG2019" s="55">
        <f>IF(AQ2019="2",BI2019,0)</f>
        <v>0</v>
      </c>
      <c r="AH2019" s="55">
        <f>IF(AQ2019="0",BJ2019,0)</f>
        <v>0</v>
      </c>
      <c r="AI2019" s="34" t="s">
        <v>2629</v>
      </c>
      <c r="AJ2019" s="55">
        <f>IF(AN2019=0,I2019,0)</f>
        <v>0</v>
      </c>
      <c r="AK2019" s="55">
        <f>IF(AN2019=12,I2019,0)</f>
        <v>0</v>
      </c>
      <c r="AL2019" s="55">
        <f>IF(AN2019=21,I2019,0)</f>
        <v>0</v>
      </c>
      <c r="AN2019" s="55">
        <v>21</v>
      </c>
      <c r="AO2019" s="55">
        <f>H2019*0</f>
        <v>0</v>
      </c>
      <c r="AP2019" s="55">
        <f>H2019*(1-0)</f>
        <v>0</v>
      </c>
      <c r="AQ2019" s="58" t="s">
        <v>139</v>
      </c>
      <c r="AV2019" s="55">
        <f>AW2019+AX2019</f>
        <v>0</v>
      </c>
      <c r="AW2019" s="55">
        <f>G2019*AO2019</f>
        <v>0</v>
      </c>
      <c r="AX2019" s="55">
        <f>G2019*AP2019</f>
        <v>0</v>
      </c>
      <c r="AY2019" s="58" t="s">
        <v>2576</v>
      </c>
      <c r="AZ2019" s="58" t="s">
        <v>3665</v>
      </c>
      <c r="BA2019" s="34" t="s">
        <v>2634</v>
      </c>
      <c r="BB2019" s="67">
        <v>100021</v>
      </c>
      <c r="BC2019" s="55">
        <f>AW2019+AX2019</f>
        <v>0</v>
      </c>
      <c r="BD2019" s="55">
        <f>H2019/(100-BE2019)*100</f>
        <v>0</v>
      </c>
      <c r="BE2019" s="55">
        <v>0</v>
      </c>
      <c r="BF2019" s="55">
        <f>K2019</f>
        <v>0</v>
      </c>
      <c r="BH2019" s="55">
        <f>G2019*AO2019</f>
        <v>0</v>
      </c>
      <c r="BI2019" s="55">
        <f>G2019*AP2019</f>
        <v>0</v>
      </c>
      <c r="BJ2019" s="55">
        <f>G2019*H2019</f>
        <v>0</v>
      </c>
      <c r="BK2019" s="55"/>
      <c r="BL2019" s="55"/>
      <c r="BW2019" s="55">
        <v>21</v>
      </c>
    </row>
    <row r="2020" spans="1:12" ht="13.5" customHeight="1">
      <c r="A2020" s="59"/>
      <c r="D2020" s="218" t="s">
        <v>2594</v>
      </c>
      <c r="E2020" s="219"/>
      <c r="F2020" s="219"/>
      <c r="G2020" s="219"/>
      <c r="H2020" s="220"/>
      <c r="I2020" s="219"/>
      <c r="J2020" s="219"/>
      <c r="K2020" s="219"/>
      <c r="L2020" s="221"/>
    </row>
    <row r="2021" spans="1:12" ht="14.4">
      <c r="A2021" s="59"/>
      <c r="D2021" s="60" t="s">
        <v>3712</v>
      </c>
      <c r="E2021" s="60" t="s">
        <v>4</v>
      </c>
      <c r="G2021" s="68">
        <v>55.72</v>
      </c>
      <c r="L2021" s="69"/>
    </row>
    <row r="2022" spans="1:75" ht="13.5" customHeight="1">
      <c r="A2022" s="1" t="s">
        <v>3713</v>
      </c>
      <c r="B2022" s="2" t="s">
        <v>2629</v>
      </c>
      <c r="C2022" s="2" t="s">
        <v>2597</v>
      </c>
      <c r="D2022" s="147" t="s">
        <v>2598</v>
      </c>
      <c r="E2022" s="148"/>
      <c r="F2022" s="2" t="s">
        <v>939</v>
      </c>
      <c r="G2022" s="55">
        <v>2.43</v>
      </c>
      <c r="H2022" s="56">
        <v>0</v>
      </c>
      <c r="I2022" s="55">
        <f>G2022*H2022</f>
        <v>0</v>
      </c>
      <c r="J2022" s="55">
        <v>0</v>
      </c>
      <c r="K2022" s="55">
        <f>G2022*J2022</f>
        <v>0</v>
      </c>
      <c r="L2022" s="57" t="s">
        <v>785</v>
      </c>
      <c r="Z2022" s="55">
        <f>IF(AQ2022="5",BJ2022,0)</f>
        <v>0</v>
      </c>
      <c r="AB2022" s="55">
        <f>IF(AQ2022="1",BH2022,0)</f>
        <v>0</v>
      </c>
      <c r="AC2022" s="55">
        <f>IF(AQ2022="1",BI2022,0)</f>
        <v>0</v>
      </c>
      <c r="AD2022" s="55">
        <f>IF(AQ2022="7",BH2022,0)</f>
        <v>0</v>
      </c>
      <c r="AE2022" s="55">
        <f>IF(AQ2022="7",BI2022,0)</f>
        <v>0</v>
      </c>
      <c r="AF2022" s="55">
        <f>IF(AQ2022="2",BH2022,0)</f>
        <v>0</v>
      </c>
      <c r="AG2022" s="55">
        <f>IF(AQ2022="2",BI2022,0)</f>
        <v>0</v>
      </c>
      <c r="AH2022" s="55">
        <f>IF(AQ2022="0",BJ2022,0)</f>
        <v>0</v>
      </c>
      <c r="AI2022" s="34" t="s">
        <v>2629</v>
      </c>
      <c r="AJ2022" s="55">
        <f>IF(AN2022=0,I2022,0)</f>
        <v>0</v>
      </c>
      <c r="AK2022" s="55">
        <f>IF(AN2022=12,I2022,0)</f>
        <v>0</v>
      </c>
      <c r="AL2022" s="55">
        <f>IF(AN2022=21,I2022,0)</f>
        <v>0</v>
      </c>
      <c r="AN2022" s="55">
        <v>21</v>
      </c>
      <c r="AO2022" s="55">
        <f>H2022*0</f>
        <v>0</v>
      </c>
      <c r="AP2022" s="55">
        <f>H2022*(1-0)</f>
        <v>0</v>
      </c>
      <c r="AQ2022" s="58" t="s">
        <v>139</v>
      </c>
      <c r="AV2022" s="55">
        <f>AW2022+AX2022</f>
        <v>0</v>
      </c>
      <c r="AW2022" s="55">
        <f>G2022*AO2022</f>
        <v>0</v>
      </c>
      <c r="AX2022" s="55">
        <f>G2022*AP2022</f>
        <v>0</v>
      </c>
      <c r="AY2022" s="58" t="s">
        <v>2576</v>
      </c>
      <c r="AZ2022" s="58" t="s">
        <v>3665</v>
      </c>
      <c r="BA2022" s="34" t="s">
        <v>2634</v>
      </c>
      <c r="BB2022" s="67">
        <v>100021</v>
      </c>
      <c r="BC2022" s="55">
        <f>AW2022+AX2022</f>
        <v>0</v>
      </c>
      <c r="BD2022" s="55">
        <f>H2022/(100-BE2022)*100</f>
        <v>0</v>
      </c>
      <c r="BE2022" s="55">
        <v>0</v>
      </c>
      <c r="BF2022" s="55">
        <f>K2022</f>
        <v>0</v>
      </c>
      <c r="BH2022" s="55">
        <f>G2022*AO2022</f>
        <v>0</v>
      </c>
      <c r="BI2022" s="55">
        <f>G2022*AP2022</f>
        <v>0</v>
      </c>
      <c r="BJ2022" s="55">
        <f>G2022*H2022</f>
        <v>0</v>
      </c>
      <c r="BK2022" s="55"/>
      <c r="BL2022" s="55"/>
      <c r="BW2022" s="55">
        <v>21</v>
      </c>
    </row>
    <row r="2023" spans="1:12" ht="13.5" customHeight="1">
      <c r="A2023" s="59"/>
      <c r="D2023" s="218" t="s">
        <v>2599</v>
      </c>
      <c r="E2023" s="219"/>
      <c r="F2023" s="219"/>
      <c r="G2023" s="219"/>
      <c r="H2023" s="220"/>
      <c r="I2023" s="219"/>
      <c r="J2023" s="219"/>
      <c r="K2023" s="219"/>
      <c r="L2023" s="221"/>
    </row>
    <row r="2024" spans="1:12" ht="14.4">
      <c r="A2024" s="59"/>
      <c r="D2024" s="60" t="s">
        <v>3714</v>
      </c>
      <c r="E2024" s="60" t="s">
        <v>2601</v>
      </c>
      <c r="G2024" s="68">
        <v>1.45</v>
      </c>
      <c r="L2024" s="69"/>
    </row>
    <row r="2025" spans="1:12" ht="14.4">
      <c r="A2025" s="59"/>
      <c r="D2025" s="60" t="s">
        <v>3715</v>
      </c>
      <c r="E2025" s="60" t="s">
        <v>3716</v>
      </c>
      <c r="G2025" s="68">
        <v>0.81</v>
      </c>
      <c r="L2025" s="69"/>
    </row>
    <row r="2026" spans="1:12" ht="14.4">
      <c r="A2026" s="59"/>
      <c r="D2026" s="60" t="s">
        <v>3717</v>
      </c>
      <c r="E2026" s="60" t="s">
        <v>3718</v>
      </c>
      <c r="G2026" s="68">
        <v>0.17</v>
      </c>
      <c r="L2026" s="69"/>
    </row>
    <row r="2027" spans="1:75" ht="13.5" customHeight="1">
      <c r="A2027" s="1" t="s">
        <v>3719</v>
      </c>
      <c r="B2027" s="2" t="s">
        <v>2629</v>
      </c>
      <c r="C2027" s="2" t="s">
        <v>2607</v>
      </c>
      <c r="D2027" s="147" t="s">
        <v>2608</v>
      </c>
      <c r="E2027" s="148"/>
      <c r="F2027" s="2" t="s">
        <v>939</v>
      </c>
      <c r="G2027" s="55">
        <v>12.15</v>
      </c>
      <c r="H2027" s="56">
        <v>0</v>
      </c>
      <c r="I2027" s="55">
        <f>G2027*H2027</f>
        <v>0</v>
      </c>
      <c r="J2027" s="55">
        <v>0</v>
      </c>
      <c r="K2027" s="55">
        <f>G2027*J2027</f>
        <v>0</v>
      </c>
      <c r="L2027" s="57" t="s">
        <v>785</v>
      </c>
      <c r="Z2027" s="55">
        <f>IF(AQ2027="5",BJ2027,0)</f>
        <v>0</v>
      </c>
      <c r="AB2027" s="55">
        <f>IF(AQ2027="1",BH2027,0)</f>
        <v>0</v>
      </c>
      <c r="AC2027" s="55">
        <f>IF(AQ2027="1",BI2027,0)</f>
        <v>0</v>
      </c>
      <c r="AD2027" s="55">
        <f>IF(AQ2027="7",BH2027,0)</f>
        <v>0</v>
      </c>
      <c r="AE2027" s="55">
        <f>IF(AQ2027="7",BI2027,0)</f>
        <v>0</v>
      </c>
      <c r="AF2027" s="55">
        <f>IF(AQ2027="2",BH2027,0)</f>
        <v>0</v>
      </c>
      <c r="AG2027" s="55">
        <f>IF(AQ2027="2",BI2027,0)</f>
        <v>0</v>
      </c>
      <c r="AH2027" s="55">
        <f>IF(AQ2027="0",BJ2027,0)</f>
        <v>0</v>
      </c>
      <c r="AI2027" s="34" t="s">
        <v>2629</v>
      </c>
      <c r="AJ2027" s="55">
        <f>IF(AN2027=0,I2027,0)</f>
        <v>0</v>
      </c>
      <c r="AK2027" s="55">
        <f>IF(AN2027=12,I2027,0)</f>
        <v>0</v>
      </c>
      <c r="AL2027" s="55">
        <f>IF(AN2027=21,I2027,0)</f>
        <v>0</v>
      </c>
      <c r="AN2027" s="55">
        <v>21</v>
      </c>
      <c r="AO2027" s="55">
        <f>H2027*0</f>
        <v>0</v>
      </c>
      <c r="AP2027" s="55">
        <f>H2027*(1-0)</f>
        <v>0</v>
      </c>
      <c r="AQ2027" s="58" t="s">
        <v>139</v>
      </c>
      <c r="AV2027" s="55">
        <f>AW2027+AX2027</f>
        <v>0</v>
      </c>
      <c r="AW2027" s="55">
        <f>G2027*AO2027</f>
        <v>0</v>
      </c>
      <c r="AX2027" s="55">
        <f>G2027*AP2027</f>
        <v>0</v>
      </c>
      <c r="AY2027" s="58" t="s">
        <v>2576</v>
      </c>
      <c r="AZ2027" s="58" t="s">
        <v>3665</v>
      </c>
      <c r="BA2027" s="34" t="s">
        <v>2634</v>
      </c>
      <c r="BB2027" s="67">
        <v>100021</v>
      </c>
      <c r="BC2027" s="55">
        <f>AW2027+AX2027</f>
        <v>0</v>
      </c>
      <c r="BD2027" s="55">
        <f>H2027/(100-BE2027)*100</f>
        <v>0</v>
      </c>
      <c r="BE2027" s="55">
        <v>0</v>
      </c>
      <c r="BF2027" s="55">
        <f>K2027</f>
        <v>0</v>
      </c>
      <c r="BH2027" s="55">
        <f>G2027*AO2027</f>
        <v>0</v>
      </c>
      <c r="BI2027" s="55">
        <f>G2027*AP2027</f>
        <v>0</v>
      </c>
      <c r="BJ2027" s="55">
        <f>G2027*H2027</f>
        <v>0</v>
      </c>
      <c r="BK2027" s="55"/>
      <c r="BL2027" s="55"/>
      <c r="BW2027" s="55">
        <v>21</v>
      </c>
    </row>
    <row r="2028" spans="1:12" ht="14.4">
      <c r="A2028" s="59"/>
      <c r="D2028" s="60" t="s">
        <v>3720</v>
      </c>
      <c r="E2028" s="60" t="s">
        <v>4</v>
      </c>
      <c r="G2028" s="68">
        <v>12.15</v>
      </c>
      <c r="L2028" s="69"/>
    </row>
    <row r="2029" spans="1:75" ht="13.5" customHeight="1">
      <c r="A2029" s="1" t="s">
        <v>3721</v>
      </c>
      <c r="B2029" s="2" t="s">
        <v>2629</v>
      </c>
      <c r="C2029" s="2" t="s">
        <v>2611</v>
      </c>
      <c r="D2029" s="147" t="s">
        <v>2612</v>
      </c>
      <c r="E2029" s="148"/>
      <c r="F2029" s="2" t="s">
        <v>939</v>
      </c>
      <c r="G2029" s="55">
        <v>14.1</v>
      </c>
      <c r="H2029" s="56">
        <v>0</v>
      </c>
      <c r="I2029" s="55">
        <f>G2029*H2029</f>
        <v>0</v>
      </c>
      <c r="J2029" s="55">
        <v>0</v>
      </c>
      <c r="K2029" s="55">
        <f>G2029*J2029</f>
        <v>0</v>
      </c>
      <c r="L2029" s="57" t="s">
        <v>785</v>
      </c>
      <c r="Z2029" s="55">
        <f>IF(AQ2029="5",BJ2029,0)</f>
        <v>0</v>
      </c>
      <c r="AB2029" s="55">
        <f>IF(AQ2029="1",BH2029,0)</f>
        <v>0</v>
      </c>
      <c r="AC2029" s="55">
        <f>IF(AQ2029="1",BI2029,0)</f>
        <v>0</v>
      </c>
      <c r="AD2029" s="55">
        <f>IF(AQ2029="7",BH2029,0)</f>
        <v>0</v>
      </c>
      <c r="AE2029" s="55">
        <f>IF(AQ2029="7",BI2029,0)</f>
        <v>0</v>
      </c>
      <c r="AF2029" s="55">
        <f>IF(AQ2029="2",BH2029,0)</f>
        <v>0</v>
      </c>
      <c r="AG2029" s="55">
        <f>IF(AQ2029="2",BI2029,0)</f>
        <v>0</v>
      </c>
      <c r="AH2029" s="55">
        <f>IF(AQ2029="0",BJ2029,0)</f>
        <v>0</v>
      </c>
      <c r="AI2029" s="34" t="s">
        <v>2629</v>
      </c>
      <c r="AJ2029" s="55">
        <f>IF(AN2029=0,I2029,0)</f>
        <v>0</v>
      </c>
      <c r="AK2029" s="55">
        <f>IF(AN2029=12,I2029,0)</f>
        <v>0</v>
      </c>
      <c r="AL2029" s="55">
        <f>IF(AN2029=21,I2029,0)</f>
        <v>0</v>
      </c>
      <c r="AN2029" s="55">
        <v>21</v>
      </c>
      <c r="AO2029" s="55">
        <f>H2029*0</f>
        <v>0</v>
      </c>
      <c r="AP2029" s="55">
        <f>H2029*(1-0)</f>
        <v>0</v>
      </c>
      <c r="AQ2029" s="58" t="s">
        <v>139</v>
      </c>
      <c r="AV2029" s="55">
        <f>AW2029+AX2029</f>
        <v>0</v>
      </c>
      <c r="AW2029" s="55">
        <f>G2029*AO2029</f>
        <v>0</v>
      </c>
      <c r="AX2029" s="55">
        <f>G2029*AP2029</f>
        <v>0</v>
      </c>
      <c r="AY2029" s="58" t="s">
        <v>2576</v>
      </c>
      <c r="AZ2029" s="58" t="s">
        <v>3665</v>
      </c>
      <c r="BA2029" s="34" t="s">
        <v>2634</v>
      </c>
      <c r="BB2029" s="67">
        <v>100021</v>
      </c>
      <c r="BC2029" s="55">
        <f>AW2029+AX2029</f>
        <v>0</v>
      </c>
      <c r="BD2029" s="55">
        <f>H2029/(100-BE2029)*100</f>
        <v>0</v>
      </c>
      <c r="BE2029" s="55">
        <v>0</v>
      </c>
      <c r="BF2029" s="55">
        <f>K2029</f>
        <v>0</v>
      </c>
      <c r="BH2029" s="55">
        <f>G2029*AO2029</f>
        <v>0</v>
      </c>
      <c r="BI2029" s="55">
        <f>G2029*AP2029</f>
        <v>0</v>
      </c>
      <c r="BJ2029" s="55">
        <f>G2029*H2029</f>
        <v>0</v>
      </c>
      <c r="BK2029" s="55"/>
      <c r="BL2029" s="55"/>
      <c r="BW2029" s="55">
        <v>21</v>
      </c>
    </row>
    <row r="2030" spans="1:12" ht="14.4">
      <c r="A2030" s="59"/>
      <c r="D2030" s="60" t="s">
        <v>3722</v>
      </c>
      <c r="E2030" s="60" t="s">
        <v>4</v>
      </c>
      <c r="G2030" s="68">
        <v>14.1</v>
      </c>
      <c r="L2030" s="69"/>
    </row>
    <row r="2031" spans="1:75" ht="13.5" customHeight="1">
      <c r="A2031" s="1" t="s">
        <v>3723</v>
      </c>
      <c r="B2031" s="2" t="s">
        <v>2629</v>
      </c>
      <c r="C2031" s="2" t="s">
        <v>2615</v>
      </c>
      <c r="D2031" s="147" t="s">
        <v>2616</v>
      </c>
      <c r="E2031" s="148"/>
      <c r="F2031" s="2" t="s">
        <v>939</v>
      </c>
      <c r="G2031" s="55">
        <v>42.3</v>
      </c>
      <c r="H2031" s="56">
        <v>0</v>
      </c>
      <c r="I2031" s="55">
        <f>G2031*H2031</f>
        <v>0</v>
      </c>
      <c r="J2031" s="55">
        <v>0</v>
      </c>
      <c r="K2031" s="55">
        <f>G2031*J2031</f>
        <v>0</v>
      </c>
      <c r="L2031" s="57" t="s">
        <v>785</v>
      </c>
      <c r="Z2031" s="55">
        <f>IF(AQ2031="5",BJ2031,0)</f>
        <v>0</v>
      </c>
      <c r="AB2031" s="55">
        <f>IF(AQ2031="1",BH2031,0)</f>
        <v>0</v>
      </c>
      <c r="AC2031" s="55">
        <f>IF(AQ2031="1",BI2031,0)</f>
        <v>0</v>
      </c>
      <c r="AD2031" s="55">
        <f>IF(AQ2031="7",BH2031,0)</f>
        <v>0</v>
      </c>
      <c r="AE2031" s="55">
        <f>IF(AQ2031="7",BI2031,0)</f>
        <v>0</v>
      </c>
      <c r="AF2031" s="55">
        <f>IF(AQ2031="2",BH2031,0)</f>
        <v>0</v>
      </c>
      <c r="AG2031" s="55">
        <f>IF(AQ2031="2",BI2031,0)</f>
        <v>0</v>
      </c>
      <c r="AH2031" s="55">
        <f>IF(AQ2031="0",BJ2031,0)</f>
        <v>0</v>
      </c>
      <c r="AI2031" s="34" t="s">
        <v>2629</v>
      </c>
      <c r="AJ2031" s="55">
        <f>IF(AN2031=0,I2031,0)</f>
        <v>0</v>
      </c>
      <c r="AK2031" s="55">
        <f>IF(AN2031=12,I2031,0)</f>
        <v>0</v>
      </c>
      <c r="AL2031" s="55">
        <f>IF(AN2031=21,I2031,0)</f>
        <v>0</v>
      </c>
      <c r="AN2031" s="55">
        <v>21</v>
      </c>
      <c r="AO2031" s="55">
        <f>H2031*0</f>
        <v>0</v>
      </c>
      <c r="AP2031" s="55">
        <f>H2031*(1-0)</f>
        <v>0</v>
      </c>
      <c r="AQ2031" s="58" t="s">
        <v>139</v>
      </c>
      <c r="AV2031" s="55">
        <f>AW2031+AX2031</f>
        <v>0</v>
      </c>
      <c r="AW2031" s="55">
        <f>G2031*AO2031</f>
        <v>0</v>
      </c>
      <c r="AX2031" s="55">
        <f>G2031*AP2031</f>
        <v>0</v>
      </c>
      <c r="AY2031" s="58" t="s">
        <v>2576</v>
      </c>
      <c r="AZ2031" s="58" t="s">
        <v>3665</v>
      </c>
      <c r="BA2031" s="34" t="s">
        <v>2634</v>
      </c>
      <c r="BB2031" s="67">
        <v>100021</v>
      </c>
      <c r="BC2031" s="55">
        <f>AW2031+AX2031</f>
        <v>0</v>
      </c>
      <c r="BD2031" s="55">
        <f>H2031/(100-BE2031)*100</f>
        <v>0</v>
      </c>
      <c r="BE2031" s="55">
        <v>0</v>
      </c>
      <c r="BF2031" s="55">
        <f>K2031</f>
        <v>0</v>
      </c>
      <c r="BH2031" s="55">
        <f>G2031*AO2031</f>
        <v>0</v>
      </c>
      <c r="BI2031" s="55">
        <f>G2031*AP2031</f>
        <v>0</v>
      </c>
      <c r="BJ2031" s="55">
        <f>G2031*H2031</f>
        <v>0</v>
      </c>
      <c r="BK2031" s="55"/>
      <c r="BL2031" s="55"/>
      <c r="BW2031" s="55">
        <v>21</v>
      </c>
    </row>
    <row r="2032" spans="1:12" ht="14.4">
      <c r="A2032" s="59"/>
      <c r="D2032" s="60" t="s">
        <v>3724</v>
      </c>
      <c r="E2032" s="60" t="s">
        <v>4</v>
      </c>
      <c r="G2032" s="68">
        <v>42.3</v>
      </c>
      <c r="L2032" s="69"/>
    </row>
    <row r="2033" spans="1:75" ht="13.5" customHeight="1">
      <c r="A2033" s="1" t="s">
        <v>3725</v>
      </c>
      <c r="B2033" s="2" t="s">
        <v>2629</v>
      </c>
      <c r="C2033" s="2" t="s">
        <v>2619</v>
      </c>
      <c r="D2033" s="147" t="s">
        <v>3726</v>
      </c>
      <c r="E2033" s="148"/>
      <c r="F2033" s="2" t="s">
        <v>939</v>
      </c>
      <c r="G2033" s="55">
        <v>11.66</v>
      </c>
      <c r="H2033" s="56">
        <v>0</v>
      </c>
      <c r="I2033" s="55">
        <f>G2033*H2033</f>
        <v>0</v>
      </c>
      <c r="J2033" s="55">
        <v>0</v>
      </c>
      <c r="K2033" s="55">
        <f>G2033*J2033</f>
        <v>0</v>
      </c>
      <c r="L2033" s="57" t="s">
        <v>785</v>
      </c>
      <c r="Z2033" s="55">
        <f>IF(AQ2033="5",BJ2033,0)</f>
        <v>0</v>
      </c>
      <c r="AB2033" s="55">
        <f>IF(AQ2033="1",BH2033,0)</f>
        <v>0</v>
      </c>
      <c r="AC2033" s="55">
        <f>IF(AQ2033="1",BI2033,0)</f>
        <v>0</v>
      </c>
      <c r="AD2033" s="55">
        <f>IF(AQ2033="7",BH2033,0)</f>
        <v>0</v>
      </c>
      <c r="AE2033" s="55">
        <f>IF(AQ2033="7",BI2033,0)</f>
        <v>0</v>
      </c>
      <c r="AF2033" s="55">
        <f>IF(AQ2033="2",BH2033,0)</f>
        <v>0</v>
      </c>
      <c r="AG2033" s="55">
        <f>IF(AQ2033="2",BI2033,0)</f>
        <v>0</v>
      </c>
      <c r="AH2033" s="55">
        <f>IF(AQ2033="0",BJ2033,0)</f>
        <v>0</v>
      </c>
      <c r="AI2033" s="34" t="s">
        <v>2629</v>
      </c>
      <c r="AJ2033" s="55">
        <f>IF(AN2033=0,I2033,0)</f>
        <v>0</v>
      </c>
      <c r="AK2033" s="55">
        <f>IF(AN2033=12,I2033,0)</f>
        <v>0</v>
      </c>
      <c r="AL2033" s="55">
        <f>IF(AN2033=21,I2033,0)</f>
        <v>0</v>
      </c>
      <c r="AN2033" s="55">
        <v>21</v>
      </c>
      <c r="AO2033" s="55">
        <f>H2033*0.011728273</f>
        <v>0</v>
      </c>
      <c r="AP2033" s="55">
        <f>H2033*(1-0.011728273)</f>
        <v>0</v>
      </c>
      <c r="AQ2033" s="58" t="s">
        <v>139</v>
      </c>
      <c r="AV2033" s="55">
        <f>AW2033+AX2033</f>
        <v>0</v>
      </c>
      <c r="AW2033" s="55">
        <f>G2033*AO2033</f>
        <v>0</v>
      </c>
      <c r="AX2033" s="55">
        <f>G2033*AP2033</f>
        <v>0</v>
      </c>
      <c r="AY2033" s="58" t="s">
        <v>2576</v>
      </c>
      <c r="AZ2033" s="58" t="s">
        <v>3665</v>
      </c>
      <c r="BA2033" s="34" t="s">
        <v>2634</v>
      </c>
      <c r="BB2033" s="67">
        <v>100021</v>
      </c>
      <c r="BC2033" s="55">
        <f>AW2033+AX2033</f>
        <v>0</v>
      </c>
      <c r="BD2033" s="55">
        <f>H2033/(100-BE2033)*100</f>
        <v>0</v>
      </c>
      <c r="BE2033" s="55">
        <v>0</v>
      </c>
      <c r="BF2033" s="55">
        <f>K2033</f>
        <v>0</v>
      </c>
      <c r="BH2033" s="55">
        <f>G2033*AO2033</f>
        <v>0</v>
      </c>
      <c r="BI2033" s="55">
        <f>G2033*AP2033</f>
        <v>0</v>
      </c>
      <c r="BJ2033" s="55">
        <f>G2033*H2033</f>
        <v>0</v>
      </c>
      <c r="BK2033" s="55"/>
      <c r="BL2033" s="55"/>
      <c r="BW2033" s="55">
        <v>21</v>
      </c>
    </row>
    <row r="2034" spans="1:12" ht="13.5" customHeight="1">
      <c r="A2034" s="59"/>
      <c r="D2034" s="218" t="s">
        <v>2621</v>
      </c>
      <c r="E2034" s="219"/>
      <c r="F2034" s="219"/>
      <c r="G2034" s="219"/>
      <c r="H2034" s="220"/>
      <c r="I2034" s="219"/>
      <c r="J2034" s="219"/>
      <c r="K2034" s="219"/>
      <c r="L2034" s="221"/>
    </row>
    <row r="2035" spans="1:12" ht="14.4">
      <c r="A2035" s="59"/>
      <c r="D2035" s="60" t="s">
        <v>3727</v>
      </c>
      <c r="E2035" s="60" t="s">
        <v>2624</v>
      </c>
      <c r="G2035" s="68">
        <v>5.81</v>
      </c>
      <c r="L2035" s="69"/>
    </row>
    <row r="2036" spans="1:12" ht="14.4">
      <c r="A2036" s="59"/>
      <c r="D2036" s="60" t="s">
        <v>3728</v>
      </c>
      <c r="E2036" s="60" t="s">
        <v>3729</v>
      </c>
      <c r="G2036" s="68">
        <v>5.85</v>
      </c>
      <c r="L2036" s="69"/>
    </row>
    <row r="2037" spans="1:75" ht="27" customHeight="1">
      <c r="A2037" s="1" t="s">
        <v>3730</v>
      </c>
      <c r="B2037" s="2" t="s">
        <v>2629</v>
      </c>
      <c r="C2037" s="2" t="s">
        <v>2626</v>
      </c>
      <c r="D2037" s="147" t="s">
        <v>2627</v>
      </c>
      <c r="E2037" s="148"/>
      <c r="F2037" s="2" t="s">
        <v>939</v>
      </c>
      <c r="G2037" s="55">
        <v>2.43</v>
      </c>
      <c r="H2037" s="56">
        <v>0</v>
      </c>
      <c r="I2037" s="55">
        <f>G2037*H2037</f>
        <v>0</v>
      </c>
      <c r="J2037" s="55">
        <v>0</v>
      </c>
      <c r="K2037" s="55">
        <f>G2037*J2037</f>
        <v>0</v>
      </c>
      <c r="L2037" s="57" t="s">
        <v>124</v>
      </c>
      <c r="Z2037" s="55">
        <f>IF(AQ2037="5",BJ2037,0)</f>
        <v>0</v>
      </c>
      <c r="AB2037" s="55">
        <f>IF(AQ2037="1",BH2037,0)</f>
        <v>0</v>
      </c>
      <c r="AC2037" s="55">
        <f>IF(AQ2037="1",BI2037,0)</f>
        <v>0</v>
      </c>
      <c r="AD2037" s="55">
        <f>IF(AQ2037="7",BH2037,0)</f>
        <v>0</v>
      </c>
      <c r="AE2037" s="55">
        <f>IF(AQ2037="7",BI2037,0)</f>
        <v>0</v>
      </c>
      <c r="AF2037" s="55">
        <f>IF(AQ2037="2",BH2037,0)</f>
        <v>0</v>
      </c>
      <c r="AG2037" s="55">
        <f>IF(AQ2037="2",BI2037,0)</f>
        <v>0</v>
      </c>
      <c r="AH2037" s="55">
        <f>IF(AQ2037="0",BJ2037,0)</f>
        <v>0</v>
      </c>
      <c r="AI2037" s="34" t="s">
        <v>2629</v>
      </c>
      <c r="AJ2037" s="55">
        <f>IF(AN2037=0,I2037,0)</f>
        <v>0</v>
      </c>
      <c r="AK2037" s="55">
        <f>IF(AN2037=12,I2037,0)</f>
        <v>0</v>
      </c>
      <c r="AL2037" s="55">
        <f>IF(AN2037=21,I2037,0)</f>
        <v>0</v>
      </c>
      <c r="AN2037" s="55">
        <v>21</v>
      </c>
      <c r="AO2037" s="55">
        <f>H2037*0</f>
        <v>0</v>
      </c>
      <c r="AP2037" s="55">
        <f>H2037*(1-0)</f>
        <v>0</v>
      </c>
      <c r="AQ2037" s="58" t="s">
        <v>139</v>
      </c>
      <c r="AV2037" s="55">
        <f>AW2037+AX2037</f>
        <v>0</v>
      </c>
      <c r="AW2037" s="55">
        <f>G2037*AO2037</f>
        <v>0</v>
      </c>
      <c r="AX2037" s="55">
        <f>G2037*AP2037</f>
        <v>0</v>
      </c>
      <c r="AY2037" s="58" t="s">
        <v>2576</v>
      </c>
      <c r="AZ2037" s="58" t="s">
        <v>3665</v>
      </c>
      <c r="BA2037" s="34" t="s">
        <v>2634</v>
      </c>
      <c r="BB2037" s="67">
        <v>100021</v>
      </c>
      <c r="BC2037" s="55">
        <f>AW2037+AX2037</f>
        <v>0</v>
      </c>
      <c r="BD2037" s="55">
        <f>H2037/(100-BE2037)*100</f>
        <v>0</v>
      </c>
      <c r="BE2037" s="55">
        <v>0</v>
      </c>
      <c r="BF2037" s="55">
        <f>K2037</f>
        <v>0</v>
      </c>
      <c r="BH2037" s="55">
        <f>G2037*AO2037</f>
        <v>0</v>
      </c>
      <c r="BI2037" s="55">
        <f>G2037*AP2037</f>
        <v>0</v>
      </c>
      <c r="BJ2037" s="55">
        <f>G2037*H2037</f>
        <v>0</v>
      </c>
      <c r="BK2037" s="55"/>
      <c r="BL2037" s="55"/>
      <c r="BW2037" s="55">
        <v>21</v>
      </c>
    </row>
    <row r="2038" spans="1:12" ht="14.4">
      <c r="A2038" s="59"/>
      <c r="D2038" s="60" t="s">
        <v>3714</v>
      </c>
      <c r="E2038" s="60" t="s">
        <v>3731</v>
      </c>
      <c r="G2038" s="68">
        <v>1.45</v>
      </c>
      <c r="L2038" s="69"/>
    </row>
    <row r="2039" spans="1:12" ht="14.4">
      <c r="A2039" s="59"/>
      <c r="D2039" s="60" t="s">
        <v>3732</v>
      </c>
      <c r="E2039" s="60" t="s">
        <v>3733</v>
      </c>
      <c r="G2039" s="68">
        <v>0.65</v>
      </c>
      <c r="L2039" s="69"/>
    </row>
    <row r="2040" spans="1:12" ht="14.4">
      <c r="A2040" s="59"/>
      <c r="D2040" s="60" t="s">
        <v>3734</v>
      </c>
      <c r="E2040" s="60" t="s">
        <v>3735</v>
      </c>
      <c r="G2040" s="68">
        <v>0.16</v>
      </c>
      <c r="L2040" s="69"/>
    </row>
    <row r="2041" spans="1:12" ht="14.4">
      <c r="A2041" s="59"/>
      <c r="D2041" s="60" t="s">
        <v>3717</v>
      </c>
      <c r="E2041" s="60" t="s">
        <v>3736</v>
      </c>
      <c r="G2041" s="68">
        <v>0.17</v>
      </c>
      <c r="L2041" s="69"/>
    </row>
    <row r="2042" spans="1:75" ht="13.5" customHeight="1">
      <c r="A2042" s="1" t="s">
        <v>3737</v>
      </c>
      <c r="B2042" s="2" t="s">
        <v>2629</v>
      </c>
      <c r="C2042" s="2" t="s">
        <v>3738</v>
      </c>
      <c r="D2042" s="147" t="s">
        <v>3739</v>
      </c>
      <c r="E2042" s="148"/>
      <c r="F2042" s="2" t="s">
        <v>939</v>
      </c>
      <c r="G2042" s="55">
        <v>3.23</v>
      </c>
      <c r="H2042" s="56">
        <v>0</v>
      </c>
      <c r="I2042" s="55">
        <f>G2042*H2042</f>
        <v>0</v>
      </c>
      <c r="J2042" s="55">
        <v>0</v>
      </c>
      <c r="K2042" s="55">
        <f>G2042*J2042</f>
        <v>0</v>
      </c>
      <c r="L2042" s="57" t="s">
        <v>785</v>
      </c>
      <c r="Z2042" s="55">
        <f>IF(AQ2042="5",BJ2042,0)</f>
        <v>0</v>
      </c>
      <c r="AB2042" s="55">
        <f>IF(AQ2042="1",BH2042,0)</f>
        <v>0</v>
      </c>
      <c r="AC2042" s="55">
        <f>IF(AQ2042="1",BI2042,0)</f>
        <v>0</v>
      </c>
      <c r="AD2042" s="55">
        <f>IF(AQ2042="7",BH2042,0)</f>
        <v>0</v>
      </c>
      <c r="AE2042" s="55">
        <f>IF(AQ2042="7",BI2042,0)</f>
        <v>0</v>
      </c>
      <c r="AF2042" s="55">
        <f>IF(AQ2042="2",BH2042,0)</f>
        <v>0</v>
      </c>
      <c r="AG2042" s="55">
        <f>IF(AQ2042="2",BI2042,0)</f>
        <v>0</v>
      </c>
      <c r="AH2042" s="55">
        <f>IF(AQ2042="0",BJ2042,0)</f>
        <v>0</v>
      </c>
      <c r="AI2042" s="34" t="s">
        <v>2629</v>
      </c>
      <c r="AJ2042" s="55">
        <f>IF(AN2042=0,I2042,0)</f>
        <v>0</v>
      </c>
      <c r="AK2042" s="55">
        <f>IF(AN2042=12,I2042,0)</f>
        <v>0</v>
      </c>
      <c r="AL2042" s="55">
        <f>IF(AN2042=21,I2042,0)</f>
        <v>0</v>
      </c>
      <c r="AN2042" s="55">
        <v>21</v>
      </c>
      <c r="AO2042" s="55">
        <f>H2042*0</f>
        <v>0</v>
      </c>
      <c r="AP2042" s="55">
        <f>H2042*(1-0)</f>
        <v>0</v>
      </c>
      <c r="AQ2042" s="58" t="s">
        <v>139</v>
      </c>
      <c r="AV2042" s="55">
        <f>AW2042+AX2042</f>
        <v>0</v>
      </c>
      <c r="AW2042" s="55">
        <f>G2042*AO2042</f>
        <v>0</v>
      </c>
      <c r="AX2042" s="55">
        <f>G2042*AP2042</f>
        <v>0</v>
      </c>
      <c r="AY2042" s="58" t="s">
        <v>2576</v>
      </c>
      <c r="AZ2042" s="58" t="s">
        <v>3665</v>
      </c>
      <c r="BA2042" s="34" t="s">
        <v>2634</v>
      </c>
      <c r="BB2042" s="67">
        <v>100021</v>
      </c>
      <c r="BC2042" s="55">
        <f>AW2042+AX2042</f>
        <v>0</v>
      </c>
      <c r="BD2042" s="55">
        <f>H2042/(100-BE2042)*100</f>
        <v>0</v>
      </c>
      <c r="BE2042" s="55">
        <v>0</v>
      </c>
      <c r="BF2042" s="55">
        <f>K2042</f>
        <v>0</v>
      </c>
      <c r="BH2042" s="55">
        <f>G2042*AO2042</f>
        <v>0</v>
      </c>
      <c r="BI2042" s="55">
        <f>G2042*AP2042</f>
        <v>0</v>
      </c>
      <c r="BJ2042" s="55">
        <f>G2042*H2042</f>
        <v>0</v>
      </c>
      <c r="BK2042" s="55"/>
      <c r="BL2042" s="55"/>
      <c r="BW2042" s="55">
        <v>21</v>
      </c>
    </row>
    <row r="2043" spans="1:12" ht="14.4">
      <c r="A2043" s="59"/>
      <c r="D2043" s="60" t="s">
        <v>3740</v>
      </c>
      <c r="E2043" s="60" t="s">
        <v>4</v>
      </c>
      <c r="G2043" s="68">
        <v>3.23</v>
      </c>
      <c r="L2043" s="69"/>
    </row>
    <row r="2044" spans="1:75" ht="13.5" customHeight="1">
      <c r="A2044" s="1" t="s">
        <v>3741</v>
      </c>
      <c r="B2044" s="2" t="s">
        <v>2629</v>
      </c>
      <c r="C2044" s="2" t="s">
        <v>3742</v>
      </c>
      <c r="D2044" s="147" t="s">
        <v>3743</v>
      </c>
      <c r="E2044" s="148"/>
      <c r="F2044" s="2" t="s">
        <v>939</v>
      </c>
      <c r="G2044" s="55">
        <v>3.43</v>
      </c>
      <c r="H2044" s="56">
        <v>0</v>
      </c>
      <c r="I2044" s="55">
        <f>G2044*H2044</f>
        <v>0</v>
      </c>
      <c r="J2044" s="55">
        <v>0</v>
      </c>
      <c r="K2044" s="55">
        <f>G2044*J2044</f>
        <v>0</v>
      </c>
      <c r="L2044" s="57" t="s">
        <v>785</v>
      </c>
      <c r="Z2044" s="55">
        <f>IF(AQ2044="5",BJ2044,0)</f>
        <v>0</v>
      </c>
      <c r="AB2044" s="55">
        <f>IF(AQ2044="1",BH2044,0)</f>
        <v>0</v>
      </c>
      <c r="AC2044" s="55">
        <f>IF(AQ2044="1",BI2044,0)</f>
        <v>0</v>
      </c>
      <c r="AD2044" s="55">
        <f>IF(AQ2044="7",BH2044,0)</f>
        <v>0</v>
      </c>
      <c r="AE2044" s="55">
        <f>IF(AQ2044="7",BI2044,0)</f>
        <v>0</v>
      </c>
      <c r="AF2044" s="55">
        <f>IF(AQ2044="2",BH2044,0)</f>
        <v>0</v>
      </c>
      <c r="AG2044" s="55">
        <f>IF(AQ2044="2",BI2044,0)</f>
        <v>0</v>
      </c>
      <c r="AH2044" s="55">
        <f>IF(AQ2044="0",BJ2044,0)</f>
        <v>0</v>
      </c>
      <c r="AI2044" s="34" t="s">
        <v>2629</v>
      </c>
      <c r="AJ2044" s="55">
        <f>IF(AN2044=0,I2044,0)</f>
        <v>0</v>
      </c>
      <c r="AK2044" s="55">
        <f>IF(AN2044=12,I2044,0)</f>
        <v>0</v>
      </c>
      <c r="AL2044" s="55">
        <f>IF(AN2044=21,I2044,0)</f>
        <v>0</v>
      </c>
      <c r="AN2044" s="55">
        <v>21</v>
      </c>
      <c r="AO2044" s="55">
        <f>H2044*0</f>
        <v>0</v>
      </c>
      <c r="AP2044" s="55">
        <f>H2044*(1-0)</f>
        <v>0</v>
      </c>
      <c r="AQ2044" s="58" t="s">
        <v>139</v>
      </c>
      <c r="AV2044" s="55">
        <f>AW2044+AX2044</f>
        <v>0</v>
      </c>
      <c r="AW2044" s="55">
        <f>G2044*AO2044</f>
        <v>0</v>
      </c>
      <c r="AX2044" s="55">
        <f>G2044*AP2044</f>
        <v>0</v>
      </c>
      <c r="AY2044" s="58" t="s">
        <v>2576</v>
      </c>
      <c r="AZ2044" s="58" t="s">
        <v>3665</v>
      </c>
      <c r="BA2044" s="34" t="s">
        <v>2634</v>
      </c>
      <c r="BB2044" s="67">
        <v>100021</v>
      </c>
      <c r="BC2044" s="55">
        <f>AW2044+AX2044</f>
        <v>0</v>
      </c>
      <c r="BD2044" s="55">
        <f>H2044/(100-BE2044)*100</f>
        <v>0</v>
      </c>
      <c r="BE2044" s="55">
        <v>0</v>
      </c>
      <c r="BF2044" s="55">
        <f>K2044</f>
        <v>0</v>
      </c>
      <c r="BH2044" s="55">
        <f>G2044*AO2044</f>
        <v>0</v>
      </c>
      <c r="BI2044" s="55">
        <f>G2044*AP2044</f>
        <v>0</v>
      </c>
      <c r="BJ2044" s="55">
        <f>G2044*H2044</f>
        <v>0</v>
      </c>
      <c r="BK2044" s="55"/>
      <c r="BL2044" s="55"/>
      <c r="BW2044" s="55">
        <v>21</v>
      </c>
    </row>
    <row r="2045" spans="1:12" ht="14.4">
      <c r="A2045" s="59"/>
      <c r="D2045" s="60" t="s">
        <v>3744</v>
      </c>
      <c r="E2045" s="60" t="s">
        <v>4</v>
      </c>
      <c r="G2045" s="68">
        <v>3.43</v>
      </c>
      <c r="L2045" s="69"/>
    </row>
    <row r="2046" spans="1:12" ht="14.4">
      <c r="A2046" s="50" t="s">
        <v>4</v>
      </c>
      <c r="B2046" s="51" t="s">
        <v>3745</v>
      </c>
      <c r="C2046" s="51" t="s">
        <v>4</v>
      </c>
      <c r="D2046" s="222" t="s">
        <v>57</v>
      </c>
      <c r="E2046" s="223"/>
      <c r="F2046" s="52" t="s">
        <v>79</v>
      </c>
      <c r="G2046" s="52" t="s">
        <v>79</v>
      </c>
      <c r="H2046" s="53" t="s">
        <v>79</v>
      </c>
      <c r="I2046" s="27">
        <f>I2048+I2052+I2056</f>
        <v>0</v>
      </c>
      <c r="J2046" s="34" t="s">
        <v>4</v>
      </c>
      <c r="K2046" s="27">
        <f>K2048+K2052+K2056</f>
        <v>0</v>
      </c>
      <c r="L2046" s="54" t="s">
        <v>4</v>
      </c>
    </row>
    <row r="2047" spans="1:35" ht="14.4">
      <c r="A2047" s="50" t="s">
        <v>4</v>
      </c>
      <c r="B2047" s="51" t="s">
        <v>3745</v>
      </c>
      <c r="C2047" s="51" t="s">
        <v>4</v>
      </c>
      <c r="D2047" s="222" t="s">
        <v>3746</v>
      </c>
      <c r="E2047" s="223"/>
      <c r="F2047" s="52" t="s">
        <v>79</v>
      </c>
      <c r="G2047" s="52" t="s">
        <v>79</v>
      </c>
      <c r="H2047" s="53" t="s">
        <v>79</v>
      </c>
      <c r="I2047" s="27">
        <f>I2048+I2052+I2056</f>
        <v>0</v>
      </c>
      <c r="J2047" s="34" t="s">
        <v>4</v>
      </c>
      <c r="K2047" s="27">
        <f>K2048+K2052+K2056</f>
        <v>0</v>
      </c>
      <c r="L2047" s="54" t="s">
        <v>4</v>
      </c>
      <c r="AI2047" s="34" t="s">
        <v>3745</v>
      </c>
    </row>
    <row r="2048" spans="1:47" ht="14.4">
      <c r="A2048" s="50" t="s">
        <v>4</v>
      </c>
      <c r="B2048" s="51" t="s">
        <v>3745</v>
      </c>
      <c r="C2048" s="51" t="s">
        <v>3747</v>
      </c>
      <c r="D2048" s="222" t="s">
        <v>25</v>
      </c>
      <c r="E2048" s="223"/>
      <c r="F2048" s="52" t="s">
        <v>79</v>
      </c>
      <c r="G2048" s="52" t="s">
        <v>79</v>
      </c>
      <c r="H2048" s="53" t="s">
        <v>79</v>
      </c>
      <c r="I2048" s="27">
        <f>SUM(I2049:I2049)</f>
        <v>0</v>
      </c>
      <c r="J2048" s="34" t="s">
        <v>4</v>
      </c>
      <c r="K2048" s="27">
        <f>SUM(K2049:K2049)</f>
        <v>0</v>
      </c>
      <c r="L2048" s="54" t="s">
        <v>4</v>
      </c>
      <c r="AI2048" s="34" t="s">
        <v>3745</v>
      </c>
      <c r="AS2048" s="27">
        <f>SUM(AJ2049:AJ2049)</f>
        <v>0</v>
      </c>
      <c r="AT2048" s="27">
        <f>SUM(AK2049:AK2049)</f>
        <v>0</v>
      </c>
      <c r="AU2048" s="27">
        <f>SUM(AL2049:AL2049)</f>
        <v>0</v>
      </c>
    </row>
    <row r="2049" spans="1:75" ht="13.5" customHeight="1">
      <c r="A2049" s="1" t="s">
        <v>3748</v>
      </c>
      <c r="B2049" s="2" t="s">
        <v>3745</v>
      </c>
      <c r="C2049" s="2" t="s">
        <v>3749</v>
      </c>
      <c r="D2049" s="147" t="s">
        <v>25</v>
      </c>
      <c r="E2049" s="148"/>
      <c r="F2049" s="2" t="s">
        <v>3750</v>
      </c>
      <c r="G2049" s="55">
        <v>1</v>
      </c>
      <c r="H2049" s="56">
        <v>0</v>
      </c>
      <c r="I2049" s="55">
        <f>G2049*H2049</f>
        <v>0</v>
      </c>
      <c r="J2049" s="55">
        <v>0</v>
      </c>
      <c r="K2049" s="55">
        <f>G2049*J2049</f>
        <v>0</v>
      </c>
      <c r="L2049" s="57" t="s">
        <v>124</v>
      </c>
      <c r="Z2049" s="55">
        <f>IF(AQ2049="5",BJ2049,0)</f>
        <v>0</v>
      </c>
      <c r="AB2049" s="55">
        <f>IF(AQ2049="1",BH2049,0)</f>
        <v>0</v>
      </c>
      <c r="AC2049" s="55">
        <f>IF(AQ2049="1",BI2049,0)</f>
        <v>0</v>
      </c>
      <c r="AD2049" s="55">
        <f>IF(AQ2049="7",BH2049,0)</f>
        <v>0</v>
      </c>
      <c r="AE2049" s="55">
        <f>IF(AQ2049="7",BI2049,0)</f>
        <v>0</v>
      </c>
      <c r="AF2049" s="55">
        <f>IF(AQ2049="2",BH2049,0)</f>
        <v>0</v>
      </c>
      <c r="AG2049" s="55">
        <f>IF(AQ2049="2",BI2049,0)</f>
        <v>0</v>
      </c>
      <c r="AH2049" s="55">
        <f>IF(AQ2049="0",BJ2049,0)</f>
        <v>0</v>
      </c>
      <c r="AI2049" s="34" t="s">
        <v>3745</v>
      </c>
      <c r="AJ2049" s="55">
        <f>IF(AN2049=0,I2049,0)</f>
        <v>0</v>
      </c>
      <c r="AK2049" s="55">
        <f>IF(AN2049=12,I2049,0)</f>
        <v>0</v>
      </c>
      <c r="AL2049" s="55">
        <f>IF(AN2049=21,I2049,0)</f>
        <v>0</v>
      </c>
      <c r="AN2049" s="55">
        <v>21</v>
      </c>
      <c r="AO2049" s="55">
        <f>H2049*0</f>
        <v>0</v>
      </c>
      <c r="AP2049" s="55">
        <f>H2049*(1-0)</f>
        <v>0</v>
      </c>
      <c r="AQ2049" s="58" t="s">
        <v>439</v>
      </c>
      <c r="AV2049" s="55">
        <f>AW2049+AX2049</f>
        <v>0</v>
      </c>
      <c r="AW2049" s="55">
        <f>G2049*AO2049</f>
        <v>0</v>
      </c>
      <c r="AX2049" s="55">
        <f>G2049*AP2049</f>
        <v>0</v>
      </c>
      <c r="AY2049" s="58" t="s">
        <v>3751</v>
      </c>
      <c r="AZ2049" s="58" t="s">
        <v>3752</v>
      </c>
      <c r="BA2049" s="34" t="s">
        <v>3753</v>
      </c>
      <c r="BC2049" s="55">
        <f>AW2049+AX2049</f>
        <v>0</v>
      </c>
      <c r="BD2049" s="55">
        <f>H2049/(100-BE2049)*100</f>
        <v>0</v>
      </c>
      <c r="BE2049" s="55">
        <v>0</v>
      </c>
      <c r="BF2049" s="55">
        <f>K2049</f>
        <v>0</v>
      </c>
      <c r="BH2049" s="55">
        <f>G2049*AO2049</f>
        <v>0</v>
      </c>
      <c r="BI2049" s="55">
        <f>G2049*AP2049</f>
        <v>0</v>
      </c>
      <c r="BJ2049" s="55">
        <f>G2049*H2049</f>
        <v>0</v>
      </c>
      <c r="BK2049" s="55"/>
      <c r="BL2049" s="55"/>
      <c r="BO2049" s="55">
        <f>G2049*H2049</f>
        <v>0</v>
      </c>
      <c r="BW2049" s="55">
        <v>21</v>
      </c>
    </row>
    <row r="2050" spans="1:12" ht="27" customHeight="1">
      <c r="A2050" s="59"/>
      <c r="D2050" s="218" t="s">
        <v>3754</v>
      </c>
      <c r="E2050" s="219"/>
      <c r="F2050" s="219"/>
      <c r="G2050" s="219"/>
      <c r="H2050" s="220"/>
      <c r="I2050" s="219"/>
      <c r="J2050" s="219"/>
      <c r="K2050" s="219"/>
      <c r="L2050" s="221"/>
    </row>
    <row r="2051" spans="1:12" ht="14.4">
      <c r="A2051" s="59"/>
      <c r="D2051" s="60" t="s">
        <v>120</v>
      </c>
      <c r="E2051" s="60" t="s">
        <v>4</v>
      </c>
      <c r="G2051" s="68">
        <v>1</v>
      </c>
      <c r="L2051" s="69"/>
    </row>
    <row r="2052" spans="1:47" ht="14.4">
      <c r="A2052" s="50" t="s">
        <v>4</v>
      </c>
      <c r="B2052" s="51" t="s">
        <v>3745</v>
      </c>
      <c r="C2052" s="51" t="s">
        <v>3755</v>
      </c>
      <c r="D2052" s="222" t="s">
        <v>32</v>
      </c>
      <c r="E2052" s="223"/>
      <c r="F2052" s="52" t="s">
        <v>79</v>
      </c>
      <c r="G2052" s="52" t="s">
        <v>79</v>
      </c>
      <c r="H2052" s="53" t="s">
        <v>79</v>
      </c>
      <c r="I2052" s="27">
        <f>SUM(I2053:I2053)</f>
        <v>0</v>
      </c>
      <c r="J2052" s="34" t="s">
        <v>4</v>
      </c>
      <c r="K2052" s="27">
        <f>SUM(K2053:K2053)</f>
        <v>0</v>
      </c>
      <c r="L2052" s="54" t="s">
        <v>4</v>
      </c>
      <c r="AI2052" s="34" t="s">
        <v>3745</v>
      </c>
      <c r="AS2052" s="27">
        <f>SUM(AJ2053:AJ2053)</f>
        <v>0</v>
      </c>
      <c r="AT2052" s="27">
        <f>SUM(AK2053:AK2053)</f>
        <v>0</v>
      </c>
      <c r="AU2052" s="27">
        <f>SUM(AL2053:AL2053)</f>
        <v>0</v>
      </c>
    </row>
    <row r="2053" spans="1:75" ht="13.5" customHeight="1">
      <c r="A2053" s="1" t="s">
        <v>3756</v>
      </c>
      <c r="B2053" s="2" t="s">
        <v>3745</v>
      </c>
      <c r="C2053" s="2" t="s">
        <v>3757</v>
      </c>
      <c r="D2053" s="147" t="s">
        <v>32</v>
      </c>
      <c r="E2053" s="148"/>
      <c r="F2053" s="2" t="s">
        <v>3750</v>
      </c>
      <c r="G2053" s="55">
        <v>1</v>
      </c>
      <c r="H2053" s="56">
        <v>0</v>
      </c>
      <c r="I2053" s="55">
        <f>G2053*H2053</f>
        <v>0</v>
      </c>
      <c r="J2053" s="55">
        <v>0</v>
      </c>
      <c r="K2053" s="55">
        <f>G2053*J2053</f>
        <v>0</v>
      </c>
      <c r="L2053" s="57" t="s">
        <v>124</v>
      </c>
      <c r="Z2053" s="55">
        <f>IF(AQ2053="5",BJ2053,0)</f>
        <v>0</v>
      </c>
      <c r="AB2053" s="55">
        <f>IF(AQ2053="1",BH2053,0)</f>
        <v>0</v>
      </c>
      <c r="AC2053" s="55">
        <f>IF(AQ2053="1",BI2053,0)</f>
        <v>0</v>
      </c>
      <c r="AD2053" s="55">
        <f>IF(AQ2053="7",BH2053,0)</f>
        <v>0</v>
      </c>
      <c r="AE2053" s="55">
        <f>IF(AQ2053="7",BI2053,0)</f>
        <v>0</v>
      </c>
      <c r="AF2053" s="55">
        <f>IF(AQ2053="2",BH2053,0)</f>
        <v>0</v>
      </c>
      <c r="AG2053" s="55">
        <f>IF(AQ2053="2",BI2053,0)</f>
        <v>0</v>
      </c>
      <c r="AH2053" s="55">
        <f>IF(AQ2053="0",BJ2053,0)</f>
        <v>0</v>
      </c>
      <c r="AI2053" s="34" t="s">
        <v>3745</v>
      </c>
      <c r="AJ2053" s="55">
        <f>IF(AN2053=0,I2053,0)</f>
        <v>0</v>
      </c>
      <c r="AK2053" s="55">
        <f>IF(AN2053=12,I2053,0)</f>
        <v>0</v>
      </c>
      <c r="AL2053" s="55">
        <f>IF(AN2053=21,I2053,0)</f>
        <v>0</v>
      </c>
      <c r="AN2053" s="55">
        <v>21</v>
      </c>
      <c r="AO2053" s="55">
        <f>H2053*0</f>
        <v>0</v>
      </c>
      <c r="AP2053" s="55">
        <f>H2053*(1-0)</f>
        <v>0</v>
      </c>
      <c r="AQ2053" s="58" t="s">
        <v>439</v>
      </c>
      <c r="AV2053" s="55">
        <f>AW2053+AX2053</f>
        <v>0</v>
      </c>
      <c r="AW2053" s="55">
        <f>G2053*AO2053</f>
        <v>0</v>
      </c>
      <c r="AX2053" s="55">
        <f>G2053*AP2053</f>
        <v>0</v>
      </c>
      <c r="AY2053" s="58" t="s">
        <v>3758</v>
      </c>
      <c r="AZ2053" s="58" t="s">
        <v>3752</v>
      </c>
      <c r="BA2053" s="34" t="s">
        <v>3753</v>
      </c>
      <c r="BC2053" s="55">
        <f>AW2053+AX2053</f>
        <v>0</v>
      </c>
      <c r="BD2053" s="55">
        <f>H2053/(100-BE2053)*100</f>
        <v>0</v>
      </c>
      <c r="BE2053" s="55">
        <v>0</v>
      </c>
      <c r="BF2053" s="55">
        <f>K2053</f>
        <v>0</v>
      </c>
      <c r="BH2053" s="55">
        <f>G2053*AO2053</f>
        <v>0</v>
      </c>
      <c r="BI2053" s="55">
        <f>G2053*AP2053</f>
        <v>0</v>
      </c>
      <c r="BJ2053" s="55">
        <f>G2053*H2053</f>
        <v>0</v>
      </c>
      <c r="BK2053" s="55"/>
      <c r="BL2053" s="55"/>
      <c r="BS2053" s="55">
        <f>G2053*H2053</f>
        <v>0</v>
      </c>
      <c r="BW2053" s="55">
        <v>21</v>
      </c>
    </row>
    <row r="2054" spans="1:12" ht="13.5" customHeight="1">
      <c r="A2054" s="59"/>
      <c r="D2054" s="218" t="s">
        <v>3759</v>
      </c>
      <c r="E2054" s="219"/>
      <c r="F2054" s="219"/>
      <c r="G2054" s="219"/>
      <c r="H2054" s="220"/>
      <c r="I2054" s="219"/>
      <c r="J2054" s="219"/>
      <c r="K2054" s="219"/>
      <c r="L2054" s="221"/>
    </row>
    <row r="2055" spans="1:12" ht="14.4">
      <c r="A2055" s="59"/>
      <c r="D2055" s="60" t="s">
        <v>120</v>
      </c>
      <c r="E2055" s="60" t="s">
        <v>4</v>
      </c>
      <c r="G2055" s="68">
        <v>1</v>
      </c>
      <c r="L2055" s="69"/>
    </row>
    <row r="2056" spans="1:47" ht="14.4">
      <c r="A2056" s="50" t="s">
        <v>4</v>
      </c>
      <c r="B2056" s="51" t="s">
        <v>3745</v>
      </c>
      <c r="C2056" s="51" t="s">
        <v>3760</v>
      </c>
      <c r="D2056" s="222" t="s">
        <v>73</v>
      </c>
      <c r="E2056" s="223"/>
      <c r="F2056" s="52" t="s">
        <v>79</v>
      </c>
      <c r="G2056" s="52" t="s">
        <v>79</v>
      </c>
      <c r="H2056" s="53" t="s">
        <v>79</v>
      </c>
      <c r="I2056" s="27">
        <f>SUM(I2057:I2061)</f>
        <v>0</v>
      </c>
      <c r="J2056" s="34" t="s">
        <v>4</v>
      </c>
      <c r="K2056" s="27">
        <f>SUM(K2057:K2061)</f>
        <v>0</v>
      </c>
      <c r="L2056" s="54" t="s">
        <v>4</v>
      </c>
      <c r="AI2056" s="34" t="s">
        <v>3745</v>
      </c>
      <c r="AS2056" s="27">
        <f>SUM(AJ2057:AJ2061)</f>
        <v>0</v>
      </c>
      <c r="AT2056" s="27">
        <f>SUM(AK2057:AK2061)</f>
        <v>0</v>
      </c>
      <c r="AU2056" s="27">
        <f>SUM(AL2057:AL2061)</f>
        <v>0</v>
      </c>
    </row>
    <row r="2057" spans="1:75" ht="13.5" customHeight="1">
      <c r="A2057" s="1" t="s">
        <v>3761</v>
      </c>
      <c r="B2057" s="2" t="s">
        <v>3745</v>
      </c>
      <c r="C2057" s="2" t="s">
        <v>3762</v>
      </c>
      <c r="D2057" s="147" t="s">
        <v>3763</v>
      </c>
      <c r="E2057" s="148"/>
      <c r="F2057" s="2" t="s">
        <v>3750</v>
      </c>
      <c r="G2057" s="55">
        <v>1</v>
      </c>
      <c r="H2057" s="56">
        <v>0</v>
      </c>
      <c r="I2057" s="55">
        <f>G2057*H2057</f>
        <v>0</v>
      </c>
      <c r="J2057" s="55">
        <v>0</v>
      </c>
      <c r="K2057" s="55">
        <f>G2057*J2057</f>
        <v>0</v>
      </c>
      <c r="L2057" s="57" t="s">
        <v>124</v>
      </c>
      <c r="Z2057" s="55">
        <f>IF(AQ2057="5",BJ2057,0)</f>
        <v>0</v>
      </c>
      <c r="AB2057" s="55">
        <f>IF(AQ2057="1",BH2057,0)</f>
        <v>0</v>
      </c>
      <c r="AC2057" s="55">
        <f>IF(AQ2057="1",BI2057,0)</f>
        <v>0</v>
      </c>
      <c r="AD2057" s="55">
        <f>IF(AQ2057="7",BH2057,0)</f>
        <v>0</v>
      </c>
      <c r="AE2057" s="55">
        <f>IF(AQ2057="7",BI2057,0)</f>
        <v>0</v>
      </c>
      <c r="AF2057" s="55">
        <f>IF(AQ2057="2",BH2057,0)</f>
        <v>0</v>
      </c>
      <c r="AG2057" s="55">
        <f>IF(AQ2057="2",BI2057,0)</f>
        <v>0</v>
      </c>
      <c r="AH2057" s="55">
        <f>IF(AQ2057="0",BJ2057,0)</f>
        <v>0</v>
      </c>
      <c r="AI2057" s="34" t="s">
        <v>3745</v>
      </c>
      <c r="AJ2057" s="55">
        <f>IF(AN2057=0,I2057,0)</f>
        <v>0</v>
      </c>
      <c r="AK2057" s="55">
        <f>IF(AN2057=12,I2057,0)</f>
        <v>0</v>
      </c>
      <c r="AL2057" s="55">
        <f>IF(AN2057=21,I2057,0)</f>
        <v>0</v>
      </c>
      <c r="AN2057" s="55">
        <v>21</v>
      </c>
      <c r="AO2057" s="55">
        <f>H2057*0</f>
        <v>0</v>
      </c>
      <c r="AP2057" s="55">
        <f>H2057*(1-0)</f>
        <v>0</v>
      </c>
      <c r="AQ2057" s="58" t="s">
        <v>439</v>
      </c>
      <c r="AV2057" s="55">
        <f>AW2057+AX2057</f>
        <v>0</v>
      </c>
      <c r="AW2057" s="55">
        <f>G2057*AO2057</f>
        <v>0</v>
      </c>
      <c r="AX2057" s="55">
        <f>G2057*AP2057</f>
        <v>0</v>
      </c>
      <c r="AY2057" s="58" t="s">
        <v>3764</v>
      </c>
      <c r="AZ2057" s="58" t="s">
        <v>3752</v>
      </c>
      <c r="BA2057" s="34" t="s">
        <v>3753</v>
      </c>
      <c r="BC2057" s="55">
        <f>AW2057+AX2057</f>
        <v>0</v>
      </c>
      <c r="BD2057" s="55">
        <f>H2057/(100-BE2057)*100</f>
        <v>0</v>
      </c>
      <c r="BE2057" s="55">
        <v>0</v>
      </c>
      <c r="BF2057" s="55">
        <f>K2057</f>
        <v>0</v>
      </c>
      <c r="BH2057" s="55">
        <f>G2057*AO2057</f>
        <v>0</v>
      </c>
      <c r="BI2057" s="55">
        <f>G2057*AP2057</f>
        <v>0</v>
      </c>
      <c r="BJ2057" s="55">
        <f>G2057*H2057</f>
        <v>0</v>
      </c>
      <c r="BK2057" s="55"/>
      <c r="BL2057" s="55"/>
      <c r="BU2057" s="55">
        <f>G2057*H2057</f>
        <v>0</v>
      </c>
      <c r="BW2057" s="55">
        <v>21</v>
      </c>
    </row>
    <row r="2058" spans="1:12" ht="14.4">
      <c r="A2058" s="59"/>
      <c r="D2058" s="60" t="s">
        <v>120</v>
      </c>
      <c r="E2058" s="60" t="s">
        <v>4</v>
      </c>
      <c r="G2058" s="68">
        <v>1</v>
      </c>
      <c r="L2058" s="69"/>
    </row>
    <row r="2059" spans="1:75" ht="13.5" customHeight="1">
      <c r="A2059" s="1" t="s">
        <v>3765</v>
      </c>
      <c r="B2059" s="2" t="s">
        <v>3745</v>
      </c>
      <c r="C2059" s="2" t="s">
        <v>3766</v>
      </c>
      <c r="D2059" s="147" t="s">
        <v>3767</v>
      </c>
      <c r="E2059" s="148"/>
      <c r="F2059" s="2" t="s">
        <v>3750</v>
      </c>
      <c r="G2059" s="55">
        <v>1</v>
      </c>
      <c r="H2059" s="56">
        <v>0</v>
      </c>
      <c r="I2059" s="55">
        <f>G2059*H2059</f>
        <v>0</v>
      </c>
      <c r="J2059" s="55">
        <v>0</v>
      </c>
      <c r="K2059" s="55">
        <f>G2059*J2059</f>
        <v>0</v>
      </c>
      <c r="L2059" s="57" t="s">
        <v>124</v>
      </c>
      <c r="Z2059" s="55">
        <f>IF(AQ2059="5",BJ2059,0)</f>
        <v>0</v>
      </c>
      <c r="AB2059" s="55">
        <f>IF(AQ2059="1",BH2059,0)</f>
        <v>0</v>
      </c>
      <c r="AC2059" s="55">
        <f>IF(AQ2059="1",BI2059,0)</f>
        <v>0</v>
      </c>
      <c r="AD2059" s="55">
        <f>IF(AQ2059="7",BH2059,0)</f>
        <v>0</v>
      </c>
      <c r="AE2059" s="55">
        <f>IF(AQ2059="7",BI2059,0)</f>
        <v>0</v>
      </c>
      <c r="AF2059" s="55">
        <f>IF(AQ2059="2",BH2059,0)</f>
        <v>0</v>
      </c>
      <c r="AG2059" s="55">
        <f>IF(AQ2059="2",BI2059,0)</f>
        <v>0</v>
      </c>
      <c r="AH2059" s="55">
        <f>IF(AQ2059="0",BJ2059,0)</f>
        <v>0</v>
      </c>
      <c r="AI2059" s="34" t="s">
        <v>3745</v>
      </c>
      <c r="AJ2059" s="55">
        <f>IF(AN2059=0,I2059,0)</f>
        <v>0</v>
      </c>
      <c r="AK2059" s="55">
        <f>IF(AN2059=12,I2059,0)</f>
        <v>0</v>
      </c>
      <c r="AL2059" s="55">
        <f>IF(AN2059=21,I2059,0)</f>
        <v>0</v>
      </c>
      <c r="AN2059" s="55">
        <v>21</v>
      </c>
      <c r="AO2059" s="55">
        <f>H2059*0</f>
        <v>0</v>
      </c>
      <c r="AP2059" s="55">
        <f>H2059*(1-0)</f>
        <v>0</v>
      </c>
      <c r="AQ2059" s="58" t="s">
        <v>439</v>
      </c>
      <c r="AV2059" s="55">
        <f>AW2059+AX2059</f>
        <v>0</v>
      </c>
      <c r="AW2059" s="55">
        <f>G2059*AO2059</f>
        <v>0</v>
      </c>
      <c r="AX2059" s="55">
        <f>G2059*AP2059</f>
        <v>0</v>
      </c>
      <c r="AY2059" s="58" t="s">
        <v>3764</v>
      </c>
      <c r="AZ2059" s="58" t="s">
        <v>3752</v>
      </c>
      <c r="BA2059" s="34" t="s">
        <v>3753</v>
      </c>
      <c r="BC2059" s="55">
        <f>AW2059+AX2059</f>
        <v>0</v>
      </c>
      <c r="BD2059" s="55">
        <f>H2059/(100-BE2059)*100</f>
        <v>0</v>
      </c>
      <c r="BE2059" s="55">
        <v>0</v>
      </c>
      <c r="BF2059" s="55">
        <f>K2059</f>
        <v>0</v>
      </c>
      <c r="BH2059" s="55">
        <f>G2059*AO2059</f>
        <v>0</v>
      </c>
      <c r="BI2059" s="55">
        <f>G2059*AP2059</f>
        <v>0</v>
      </c>
      <c r="BJ2059" s="55">
        <f>G2059*H2059</f>
        <v>0</v>
      </c>
      <c r="BK2059" s="55"/>
      <c r="BL2059" s="55"/>
      <c r="BU2059" s="55">
        <f>G2059*H2059</f>
        <v>0</v>
      </c>
      <c r="BW2059" s="55">
        <v>21</v>
      </c>
    </row>
    <row r="2060" spans="1:12" ht="14.4">
      <c r="A2060" s="59"/>
      <c r="D2060" s="60" t="s">
        <v>120</v>
      </c>
      <c r="E2060" s="60" t="s">
        <v>4</v>
      </c>
      <c r="G2060" s="68">
        <v>1</v>
      </c>
      <c r="L2060" s="69"/>
    </row>
    <row r="2061" spans="1:75" ht="13.5" customHeight="1">
      <c r="A2061" s="1" t="s">
        <v>3768</v>
      </c>
      <c r="B2061" s="2" t="s">
        <v>3745</v>
      </c>
      <c r="C2061" s="2" t="s">
        <v>3769</v>
      </c>
      <c r="D2061" s="147" t="s">
        <v>3770</v>
      </c>
      <c r="E2061" s="148"/>
      <c r="F2061" s="2" t="s">
        <v>3750</v>
      </c>
      <c r="G2061" s="55">
        <v>1</v>
      </c>
      <c r="H2061" s="56">
        <v>0</v>
      </c>
      <c r="I2061" s="55">
        <f>G2061*H2061</f>
        <v>0</v>
      </c>
      <c r="J2061" s="55">
        <v>0</v>
      </c>
      <c r="K2061" s="55">
        <f>G2061*J2061</f>
        <v>0</v>
      </c>
      <c r="L2061" s="57" t="s">
        <v>124</v>
      </c>
      <c r="Z2061" s="55">
        <f>IF(AQ2061="5",BJ2061,0)</f>
        <v>0</v>
      </c>
      <c r="AB2061" s="55">
        <f>IF(AQ2061="1",BH2061,0)</f>
        <v>0</v>
      </c>
      <c r="AC2061" s="55">
        <f>IF(AQ2061="1",BI2061,0)</f>
        <v>0</v>
      </c>
      <c r="AD2061" s="55">
        <f>IF(AQ2061="7",BH2061,0)</f>
        <v>0</v>
      </c>
      <c r="AE2061" s="55">
        <f>IF(AQ2061="7",BI2061,0)</f>
        <v>0</v>
      </c>
      <c r="AF2061" s="55">
        <f>IF(AQ2061="2",BH2061,0)</f>
        <v>0</v>
      </c>
      <c r="AG2061" s="55">
        <f>IF(AQ2061="2",BI2061,0)</f>
        <v>0</v>
      </c>
      <c r="AH2061" s="55">
        <f>IF(AQ2061="0",BJ2061,0)</f>
        <v>0</v>
      </c>
      <c r="AI2061" s="34" t="s">
        <v>3745</v>
      </c>
      <c r="AJ2061" s="55">
        <f>IF(AN2061=0,I2061,0)</f>
        <v>0</v>
      </c>
      <c r="AK2061" s="55">
        <f>IF(AN2061=12,I2061,0)</f>
        <v>0</v>
      </c>
      <c r="AL2061" s="55">
        <f>IF(AN2061=21,I2061,0)</f>
        <v>0</v>
      </c>
      <c r="AN2061" s="55">
        <v>21</v>
      </c>
      <c r="AO2061" s="55">
        <f>H2061*0</f>
        <v>0</v>
      </c>
      <c r="AP2061" s="55">
        <f>H2061*(1-0)</f>
        <v>0</v>
      </c>
      <c r="AQ2061" s="58" t="s">
        <v>439</v>
      </c>
      <c r="AV2061" s="55">
        <f>AW2061+AX2061</f>
        <v>0</v>
      </c>
      <c r="AW2061" s="55">
        <f>G2061*AO2061</f>
        <v>0</v>
      </c>
      <c r="AX2061" s="55">
        <f>G2061*AP2061</f>
        <v>0</v>
      </c>
      <c r="AY2061" s="58" t="s">
        <v>3764</v>
      </c>
      <c r="AZ2061" s="58" t="s">
        <v>3752</v>
      </c>
      <c r="BA2061" s="34" t="s">
        <v>3753</v>
      </c>
      <c r="BC2061" s="55">
        <f>AW2061+AX2061</f>
        <v>0</v>
      </c>
      <c r="BD2061" s="55">
        <f>H2061/(100-BE2061)*100</f>
        <v>0</v>
      </c>
      <c r="BE2061" s="55">
        <v>0</v>
      </c>
      <c r="BF2061" s="55">
        <f>K2061</f>
        <v>0</v>
      </c>
      <c r="BH2061" s="55">
        <f>G2061*AO2061</f>
        <v>0</v>
      </c>
      <c r="BI2061" s="55">
        <f>G2061*AP2061</f>
        <v>0</v>
      </c>
      <c r="BJ2061" s="55">
        <f>G2061*H2061</f>
        <v>0</v>
      </c>
      <c r="BK2061" s="55"/>
      <c r="BL2061" s="55"/>
      <c r="BU2061" s="55">
        <f>G2061*H2061</f>
        <v>0</v>
      </c>
      <c r="BW2061" s="55">
        <v>21</v>
      </c>
    </row>
    <row r="2062" spans="1:12" ht="13.5" customHeight="1">
      <c r="A2062" s="59"/>
      <c r="D2062" s="218" t="s">
        <v>3771</v>
      </c>
      <c r="E2062" s="219"/>
      <c r="F2062" s="219"/>
      <c r="G2062" s="219"/>
      <c r="H2062" s="220"/>
      <c r="I2062" s="219"/>
      <c r="J2062" s="219"/>
      <c r="K2062" s="219"/>
      <c r="L2062" s="221"/>
    </row>
    <row r="2063" spans="1:12" ht="14.4">
      <c r="A2063" s="108"/>
      <c r="B2063" s="109"/>
      <c r="C2063" s="109"/>
      <c r="D2063" s="110" t="s">
        <v>120</v>
      </c>
      <c r="E2063" s="110" t="s">
        <v>4</v>
      </c>
      <c r="F2063" s="109"/>
      <c r="G2063" s="111">
        <v>1</v>
      </c>
      <c r="H2063" s="109"/>
      <c r="I2063" s="109"/>
      <c r="J2063" s="109"/>
      <c r="K2063" s="109"/>
      <c r="L2063" s="112"/>
    </row>
    <row r="2064" ht="14.4">
      <c r="I2064" s="113">
        <f>ROUND(I13+I153+I157+I179+I249+I289+I335+I356+I365+I369+I440+I450+I459+I481+I500+I521+I538+I671+I676+I692+I715+I717+I732+I746+I753+I757+I766+I776+I791+I802+I899+I927+I943+I1050+I1112+I1132+I1150+I1174+I1192+I1204+I1215+I1222+I1228+I1243+I1276+I1308+I1324+I1327+I1330+I1333+I1337+I1361+I1391+I1429+I1486+I1576+I1606+I1613+I1619+I1623+I1643+I1648+I1660+I1684+I1932+I1952+I1960+I1981+I2000+I2003+I2007+I2010+I2013+I2048+I2052+I2056,0)</f>
        <v>0</v>
      </c>
    </row>
    <row r="2065" ht="14.4">
      <c r="A2065" s="114" t="s">
        <v>56</v>
      </c>
    </row>
    <row r="2066" spans="1:12" ht="12.75" customHeight="1">
      <c r="A2066" s="147" t="s">
        <v>4</v>
      </c>
      <c r="B2066" s="148"/>
      <c r="C2066" s="148"/>
      <c r="D2066" s="148"/>
      <c r="E2066" s="148"/>
      <c r="F2066" s="148"/>
      <c r="G2066" s="148"/>
      <c r="H2066" s="148"/>
      <c r="I2066" s="148"/>
      <c r="J2066" s="148"/>
      <c r="K2066" s="148"/>
      <c r="L2066" s="148"/>
    </row>
  </sheetData>
  <sheetProtection password="F483" sheet="1" objects="1" scenarios="1"/>
  <mergeCells count="1494"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  <mergeCell ref="D15:L15"/>
    <mergeCell ref="D16:E16"/>
    <mergeCell ref="D17:L17"/>
    <mergeCell ref="D18:E18"/>
    <mergeCell ref="D19:L19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D35:L35"/>
    <mergeCell ref="D36:E36"/>
    <mergeCell ref="D37:L37"/>
    <mergeCell ref="D38:E38"/>
    <mergeCell ref="D39:L39"/>
    <mergeCell ref="D30:E30"/>
    <mergeCell ref="D31:L31"/>
    <mergeCell ref="D32:E32"/>
    <mergeCell ref="D33:L33"/>
    <mergeCell ref="D34:E34"/>
    <mergeCell ref="D25:L25"/>
    <mergeCell ref="D26:E26"/>
    <mergeCell ref="D27:L27"/>
    <mergeCell ref="D28:E28"/>
    <mergeCell ref="D29:L29"/>
    <mergeCell ref="D20:E20"/>
    <mergeCell ref="D21:L21"/>
    <mergeCell ref="D22:E22"/>
    <mergeCell ref="D23:L23"/>
    <mergeCell ref="D24:E24"/>
    <mergeCell ref="D55:L55"/>
    <mergeCell ref="D56:E56"/>
    <mergeCell ref="D57:L57"/>
    <mergeCell ref="D58:E58"/>
    <mergeCell ref="D59:L59"/>
    <mergeCell ref="D50:E50"/>
    <mergeCell ref="D51:L51"/>
    <mergeCell ref="D52:E52"/>
    <mergeCell ref="D53:L53"/>
    <mergeCell ref="D54:E54"/>
    <mergeCell ref="D45:L45"/>
    <mergeCell ref="D46:E46"/>
    <mergeCell ref="D47:L47"/>
    <mergeCell ref="D48:E48"/>
    <mergeCell ref="D49:L49"/>
    <mergeCell ref="D40:E40"/>
    <mergeCell ref="D41:L41"/>
    <mergeCell ref="D42:E42"/>
    <mergeCell ref="D43:L43"/>
    <mergeCell ref="D44:E44"/>
    <mergeCell ref="D75:L75"/>
    <mergeCell ref="D76:E76"/>
    <mergeCell ref="D77:L77"/>
    <mergeCell ref="D78:E78"/>
    <mergeCell ref="D79:L79"/>
    <mergeCell ref="D70:E70"/>
    <mergeCell ref="D71:L71"/>
    <mergeCell ref="D72:E72"/>
    <mergeCell ref="D73:L73"/>
    <mergeCell ref="D74:E74"/>
    <mergeCell ref="D65:L65"/>
    <mergeCell ref="D66:E66"/>
    <mergeCell ref="D67:L67"/>
    <mergeCell ref="D68:E68"/>
    <mergeCell ref="D69:L69"/>
    <mergeCell ref="D60:E60"/>
    <mergeCell ref="D61:L61"/>
    <mergeCell ref="D62:E62"/>
    <mergeCell ref="D63:L63"/>
    <mergeCell ref="D64:E64"/>
    <mergeCell ref="D95:L95"/>
    <mergeCell ref="D96:E96"/>
    <mergeCell ref="D97:L97"/>
    <mergeCell ref="D98:E98"/>
    <mergeCell ref="D99:L99"/>
    <mergeCell ref="D90:E90"/>
    <mergeCell ref="D91:L91"/>
    <mergeCell ref="D92:E92"/>
    <mergeCell ref="D93:L93"/>
    <mergeCell ref="D94:E94"/>
    <mergeCell ref="D85:L85"/>
    <mergeCell ref="D86:E86"/>
    <mergeCell ref="D87:L87"/>
    <mergeCell ref="D88:E88"/>
    <mergeCell ref="D89:L89"/>
    <mergeCell ref="D80:E80"/>
    <mergeCell ref="D81:L81"/>
    <mergeCell ref="D82:E82"/>
    <mergeCell ref="D83:L83"/>
    <mergeCell ref="D84:E84"/>
    <mergeCell ref="D115:L115"/>
    <mergeCell ref="D116:E116"/>
    <mergeCell ref="D117:L117"/>
    <mergeCell ref="D118:E118"/>
    <mergeCell ref="D119:L119"/>
    <mergeCell ref="D110:E110"/>
    <mergeCell ref="D111:E111"/>
    <mergeCell ref="D112:E112"/>
    <mergeCell ref="D113:E113"/>
    <mergeCell ref="D114:E114"/>
    <mergeCell ref="D105:L105"/>
    <mergeCell ref="D106:E106"/>
    <mergeCell ref="D107:L107"/>
    <mergeCell ref="D108:E108"/>
    <mergeCell ref="D109:L109"/>
    <mergeCell ref="D100:E100"/>
    <mergeCell ref="D101:L101"/>
    <mergeCell ref="D102:E102"/>
    <mergeCell ref="D103:L103"/>
    <mergeCell ref="D104:E104"/>
    <mergeCell ref="D135:L135"/>
    <mergeCell ref="D136:E136"/>
    <mergeCell ref="D137:L137"/>
    <mergeCell ref="D138:E138"/>
    <mergeCell ref="D139:L139"/>
    <mergeCell ref="D130:E130"/>
    <mergeCell ref="D131:L131"/>
    <mergeCell ref="D132:E132"/>
    <mergeCell ref="D133:L133"/>
    <mergeCell ref="D134:E134"/>
    <mergeCell ref="D125:L125"/>
    <mergeCell ref="D126:E126"/>
    <mergeCell ref="D127:L127"/>
    <mergeCell ref="D128:E128"/>
    <mergeCell ref="D129:L129"/>
    <mergeCell ref="D120:E120"/>
    <mergeCell ref="D121:L121"/>
    <mergeCell ref="D122:E122"/>
    <mergeCell ref="D123:L123"/>
    <mergeCell ref="D124:E12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45:L145"/>
    <mergeCell ref="D146:E146"/>
    <mergeCell ref="D147:L147"/>
    <mergeCell ref="D148:E148"/>
    <mergeCell ref="D149:E149"/>
    <mergeCell ref="D140:E140"/>
    <mergeCell ref="D141:L141"/>
    <mergeCell ref="D142:E142"/>
    <mergeCell ref="D143:L143"/>
    <mergeCell ref="D144:E14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95:E195"/>
    <mergeCell ref="D196:E196"/>
    <mergeCell ref="D197:E197"/>
    <mergeCell ref="D198:E198"/>
    <mergeCell ref="D199:E199"/>
    <mergeCell ref="D190:E190"/>
    <mergeCell ref="D191:E191"/>
    <mergeCell ref="D192:L192"/>
    <mergeCell ref="D193:E193"/>
    <mergeCell ref="D194:E19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215:E215"/>
    <mergeCell ref="D216:L216"/>
    <mergeCell ref="D217:E217"/>
    <mergeCell ref="D218:L218"/>
    <mergeCell ref="D219:E219"/>
    <mergeCell ref="D210:E210"/>
    <mergeCell ref="D211:E211"/>
    <mergeCell ref="D212:L212"/>
    <mergeCell ref="D213:E213"/>
    <mergeCell ref="D214:L214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  <mergeCell ref="D235:E235"/>
    <mergeCell ref="D236:L236"/>
    <mergeCell ref="D237:E237"/>
    <mergeCell ref="D238:L238"/>
    <mergeCell ref="D239:E239"/>
    <mergeCell ref="D230:L230"/>
    <mergeCell ref="D231:E231"/>
    <mergeCell ref="D232:L232"/>
    <mergeCell ref="D233:E233"/>
    <mergeCell ref="D234:L234"/>
    <mergeCell ref="D225:E225"/>
    <mergeCell ref="D226:L226"/>
    <mergeCell ref="D227:E227"/>
    <mergeCell ref="D228:L228"/>
    <mergeCell ref="D229:E229"/>
    <mergeCell ref="D220:L220"/>
    <mergeCell ref="D221:E221"/>
    <mergeCell ref="D222:L222"/>
    <mergeCell ref="D223:E223"/>
    <mergeCell ref="D224:L224"/>
    <mergeCell ref="D255:L255"/>
    <mergeCell ref="D256:E256"/>
    <mergeCell ref="D257:L257"/>
    <mergeCell ref="D258:E258"/>
    <mergeCell ref="D259:L259"/>
    <mergeCell ref="D250:E250"/>
    <mergeCell ref="D251:L251"/>
    <mergeCell ref="D252:E252"/>
    <mergeCell ref="D253:L253"/>
    <mergeCell ref="D254:E254"/>
    <mergeCell ref="D245:E245"/>
    <mergeCell ref="D246:E246"/>
    <mergeCell ref="D247:E247"/>
    <mergeCell ref="D248:E248"/>
    <mergeCell ref="D249:E249"/>
    <mergeCell ref="D240:L240"/>
    <mergeCell ref="D241:E241"/>
    <mergeCell ref="D242:L242"/>
    <mergeCell ref="D243:E243"/>
    <mergeCell ref="D244:L244"/>
    <mergeCell ref="D275:L275"/>
    <mergeCell ref="D276:E276"/>
    <mergeCell ref="D277:L277"/>
    <mergeCell ref="D278:E278"/>
    <mergeCell ref="D279:L279"/>
    <mergeCell ref="D270:E270"/>
    <mergeCell ref="D271:L271"/>
    <mergeCell ref="D272:E272"/>
    <mergeCell ref="D273:L273"/>
    <mergeCell ref="D274:E274"/>
    <mergeCell ref="D265:L265"/>
    <mergeCell ref="D266:E266"/>
    <mergeCell ref="D267:L267"/>
    <mergeCell ref="D268:E268"/>
    <mergeCell ref="D269:L269"/>
    <mergeCell ref="D260:E260"/>
    <mergeCell ref="D261:L261"/>
    <mergeCell ref="D262:E262"/>
    <mergeCell ref="D263:L263"/>
    <mergeCell ref="D264:E264"/>
    <mergeCell ref="D295:L295"/>
    <mergeCell ref="D296:E296"/>
    <mergeCell ref="D297:L297"/>
    <mergeCell ref="D298:E298"/>
    <mergeCell ref="D299:L299"/>
    <mergeCell ref="D290:E290"/>
    <mergeCell ref="D291:L291"/>
    <mergeCell ref="D292:E292"/>
    <mergeCell ref="D293:L293"/>
    <mergeCell ref="D294:E294"/>
    <mergeCell ref="D285:E285"/>
    <mergeCell ref="D286:E286"/>
    <mergeCell ref="D287:E287"/>
    <mergeCell ref="D288:E288"/>
    <mergeCell ref="D289:E289"/>
    <mergeCell ref="D280:E280"/>
    <mergeCell ref="D281:L281"/>
    <mergeCell ref="D282:E282"/>
    <mergeCell ref="D283:L283"/>
    <mergeCell ref="D284:E284"/>
    <mergeCell ref="D315:L315"/>
    <mergeCell ref="D316:E316"/>
    <mergeCell ref="D317:L317"/>
    <mergeCell ref="D318:E318"/>
    <mergeCell ref="D319:L319"/>
    <mergeCell ref="D310:E310"/>
    <mergeCell ref="D311:L311"/>
    <mergeCell ref="D312:E312"/>
    <mergeCell ref="D313:L313"/>
    <mergeCell ref="D314:E314"/>
    <mergeCell ref="D305:L305"/>
    <mergeCell ref="D306:E306"/>
    <mergeCell ref="D307:L307"/>
    <mergeCell ref="D308:E308"/>
    <mergeCell ref="D309:L309"/>
    <mergeCell ref="D300:E300"/>
    <mergeCell ref="D301:L301"/>
    <mergeCell ref="D302:E302"/>
    <mergeCell ref="D303:L303"/>
    <mergeCell ref="D304:E304"/>
    <mergeCell ref="D335:E335"/>
    <mergeCell ref="D336:E336"/>
    <mergeCell ref="D337:L337"/>
    <mergeCell ref="D338:E338"/>
    <mergeCell ref="D339:L339"/>
    <mergeCell ref="D330:E330"/>
    <mergeCell ref="D331:E331"/>
    <mergeCell ref="D332:E332"/>
    <mergeCell ref="D333:E333"/>
    <mergeCell ref="D334:E334"/>
    <mergeCell ref="D325:L325"/>
    <mergeCell ref="D326:E326"/>
    <mergeCell ref="D327:L327"/>
    <mergeCell ref="D328:E328"/>
    <mergeCell ref="D329:L329"/>
    <mergeCell ref="D320:E320"/>
    <mergeCell ref="D321:L321"/>
    <mergeCell ref="D322:E322"/>
    <mergeCell ref="D323:L323"/>
    <mergeCell ref="D324:E324"/>
    <mergeCell ref="D355:E355"/>
    <mergeCell ref="D356:E356"/>
    <mergeCell ref="D357:E357"/>
    <mergeCell ref="D358:L358"/>
    <mergeCell ref="D360:E360"/>
    <mergeCell ref="D350:E350"/>
    <mergeCell ref="D351:L351"/>
    <mergeCell ref="D352:E352"/>
    <mergeCell ref="D353:E353"/>
    <mergeCell ref="D354:E354"/>
    <mergeCell ref="D345:L345"/>
    <mergeCell ref="D346:E346"/>
    <mergeCell ref="D347:L347"/>
    <mergeCell ref="D348:E348"/>
    <mergeCell ref="D349:L349"/>
    <mergeCell ref="D340:E340"/>
    <mergeCell ref="D341:L341"/>
    <mergeCell ref="D342:E342"/>
    <mergeCell ref="D343:L343"/>
    <mergeCell ref="D344:E344"/>
    <mergeCell ref="D388:E388"/>
    <mergeCell ref="D389:L389"/>
    <mergeCell ref="D391:E391"/>
    <mergeCell ref="D392:L392"/>
    <mergeCell ref="D394:E394"/>
    <mergeCell ref="D378:E378"/>
    <mergeCell ref="D380:E380"/>
    <mergeCell ref="D382:E382"/>
    <mergeCell ref="D385:E385"/>
    <mergeCell ref="D386:L386"/>
    <mergeCell ref="D370:E370"/>
    <mergeCell ref="D371:L371"/>
    <mergeCell ref="D373:E373"/>
    <mergeCell ref="D374:L374"/>
    <mergeCell ref="D376:E376"/>
    <mergeCell ref="D361:L361"/>
    <mergeCell ref="D363:E363"/>
    <mergeCell ref="D365:E365"/>
    <mergeCell ref="D366:E366"/>
    <mergeCell ref="D369:E369"/>
    <mergeCell ref="D421:L421"/>
    <mergeCell ref="D426:E426"/>
    <mergeCell ref="D427:L427"/>
    <mergeCell ref="D429:E429"/>
    <mergeCell ref="D437:E437"/>
    <mergeCell ref="D414:E414"/>
    <mergeCell ref="D415:L415"/>
    <mergeCell ref="D417:E417"/>
    <mergeCell ref="D418:L418"/>
    <mergeCell ref="D420:E420"/>
    <mergeCell ref="D406:L406"/>
    <mergeCell ref="D408:E408"/>
    <mergeCell ref="D409:L409"/>
    <mergeCell ref="D411:E411"/>
    <mergeCell ref="D412:L412"/>
    <mergeCell ref="D395:L395"/>
    <mergeCell ref="D397:E397"/>
    <mergeCell ref="D398:L398"/>
    <mergeCell ref="D403:E403"/>
    <mergeCell ref="D405:E405"/>
    <mergeCell ref="D461:L461"/>
    <mergeCell ref="D463:E463"/>
    <mergeCell ref="D464:L464"/>
    <mergeCell ref="D466:E466"/>
    <mergeCell ref="D467:L467"/>
    <mergeCell ref="D454:L454"/>
    <mergeCell ref="D456:E456"/>
    <mergeCell ref="D457:L457"/>
    <mergeCell ref="D459:E459"/>
    <mergeCell ref="D460:E460"/>
    <mergeCell ref="D447:E447"/>
    <mergeCell ref="D448:L448"/>
    <mergeCell ref="D450:E450"/>
    <mergeCell ref="D451:E451"/>
    <mergeCell ref="D453:E453"/>
    <mergeCell ref="D438:L438"/>
    <mergeCell ref="D440:E440"/>
    <mergeCell ref="D441:E441"/>
    <mergeCell ref="D443:E443"/>
    <mergeCell ref="D445:E445"/>
    <mergeCell ref="D494:E494"/>
    <mergeCell ref="D495:L495"/>
    <mergeCell ref="D497:E497"/>
    <mergeCell ref="D498:L498"/>
    <mergeCell ref="D500:E500"/>
    <mergeCell ref="D486:E486"/>
    <mergeCell ref="D487:L487"/>
    <mergeCell ref="D489:E489"/>
    <mergeCell ref="D491:E491"/>
    <mergeCell ref="D492:L492"/>
    <mergeCell ref="D478:E478"/>
    <mergeCell ref="D479:L479"/>
    <mergeCell ref="D481:E481"/>
    <mergeCell ref="D482:E482"/>
    <mergeCell ref="D484:E484"/>
    <mergeCell ref="D469:E469"/>
    <mergeCell ref="D472:E472"/>
    <mergeCell ref="D473:L473"/>
    <mergeCell ref="D475:E475"/>
    <mergeCell ref="D476:L476"/>
    <mergeCell ref="D529:L529"/>
    <mergeCell ref="D531:E531"/>
    <mergeCell ref="D532:L532"/>
    <mergeCell ref="D536:E536"/>
    <mergeCell ref="D538:E538"/>
    <mergeCell ref="D519:L519"/>
    <mergeCell ref="D521:E521"/>
    <mergeCell ref="D522:E522"/>
    <mergeCell ref="D523:L523"/>
    <mergeCell ref="D528:E528"/>
    <mergeCell ref="D511:E511"/>
    <mergeCell ref="D513:E513"/>
    <mergeCell ref="D515:E515"/>
    <mergeCell ref="D516:L516"/>
    <mergeCell ref="D518:E518"/>
    <mergeCell ref="D501:E501"/>
    <mergeCell ref="D503:E503"/>
    <mergeCell ref="D505:E505"/>
    <mergeCell ref="D507:E507"/>
    <mergeCell ref="D509:E509"/>
    <mergeCell ref="D569:L569"/>
    <mergeCell ref="D575:E575"/>
    <mergeCell ref="D576:L576"/>
    <mergeCell ref="D580:E580"/>
    <mergeCell ref="D581:L581"/>
    <mergeCell ref="D560:L560"/>
    <mergeCell ref="D562:E562"/>
    <mergeCell ref="D565:E565"/>
    <mergeCell ref="D566:L566"/>
    <mergeCell ref="D568:E568"/>
    <mergeCell ref="D550:E550"/>
    <mergeCell ref="D553:E553"/>
    <mergeCell ref="D556:E556"/>
    <mergeCell ref="D557:L557"/>
    <mergeCell ref="D559:E559"/>
    <mergeCell ref="D539:E539"/>
    <mergeCell ref="D540:L540"/>
    <mergeCell ref="D542:E542"/>
    <mergeCell ref="D543:L543"/>
    <mergeCell ref="D547:E547"/>
    <mergeCell ref="D623:E623"/>
    <mergeCell ref="D626:E626"/>
    <mergeCell ref="D627:L627"/>
    <mergeCell ref="D629:E629"/>
    <mergeCell ref="D632:E632"/>
    <mergeCell ref="D612:E612"/>
    <mergeCell ref="D613:L613"/>
    <mergeCell ref="D617:E617"/>
    <mergeCell ref="D618:L618"/>
    <mergeCell ref="D620:E620"/>
    <mergeCell ref="D594:E594"/>
    <mergeCell ref="D600:E600"/>
    <mergeCell ref="D603:E603"/>
    <mergeCell ref="D606:E606"/>
    <mergeCell ref="D609:E609"/>
    <mergeCell ref="D584:E584"/>
    <mergeCell ref="D586:E586"/>
    <mergeCell ref="D589:E589"/>
    <mergeCell ref="D591:E591"/>
    <mergeCell ref="D592:L592"/>
    <mergeCell ref="D658:E658"/>
    <mergeCell ref="D659:L659"/>
    <mergeCell ref="D660:E660"/>
    <mergeCell ref="D661:E661"/>
    <mergeCell ref="D662:L662"/>
    <mergeCell ref="D653:E653"/>
    <mergeCell ref="D654:L654"/>
    <mergeCell ref="D655:E655"/>
    <mergeCell ref="D656:E656"/>
    <mergeCell ref="D657:E657"/>
    <mergeCell ref="D644:E644"/>
    <mergeCell ref="D647:E647"/>
    <mergeCell ref="D648:L648"/>
    <mergeCell ref="D650:E650"/>
    <mergeCell ref="D651:L651"/>
    <mergeCell ref="D633:L633"/>
    <mergeCell ref="D635:E635"/>
    <mergeCell ref="D636:L636"/>
    <mergeCell ref="D641:E641"/>
    <mergeCell ref="D642:L642"/>
    <mergeCell ref="D679:E679"/>
    <mergeCell ref="D680:E680"/>
    <mergeCell ref="D681:E681"/>
    <mergeCell ref="D682:E682"/>
    <mergeCell ref="D683:E683"/>
    <mergeCell ref="D674:E674"/>
    <mergeCell ref="D675:E675"/>
    <mergeCell ref="D676:E676"/>
    <mergeCell ref="D677:E677"/>
    <mergeCell ref="D678:E678"/>
    <mergeCell ref="D668:E668"/>
    <mergeCell ref="D669:E669"/>
    <mergeCell ref="D671:E671"/>
    <mergeCell ref="D672:E672"/>
    <mergeCell ref="D673:E673"/>
    <mergeCell ref="D663:E663"/>
    <mergeCell ref="D664:E664"/>
    <mergeCell ref="D665:E665"/>
    <mergeCell ref="D666:E666"/>
    <mergeCell ref="D667:E667"/>
    <mergeCell ref="D699:E699"/>
    <mergeCell ref="D700:E700"/>
    <mergeCell ref="D701:E701"/>
    <mergeCell ref="D702:E702"/>
    <mergeCell ref="D703:E703"/>
    <mergeCell ref="D694:E694"/>
    <mergeCell ref="D695:E695"/>
    <mergeCell ref="D696:E696"/>
    <mergeCell ref="D697:E697"/>
    <mergeCell ref="D698:E698"/>
    <mergeCell ref="D689:E689"/>
    <mergeCell ref="D690:E690"/>
    <mergeCell ref="D691:E691"/>
    <mergeCell ref="D692:E692"/>
    <mergeCell ref="D693:E693"/>
    <mergeCell ref="D684:E684"/>
    <mergeCell ref="D685:E685"/>
    <mergeCell ref="D686:E686"/>
    <mergeCell ref="D687:E687"/>
    <mergeCell ref="D688:E688"/>
    <mergeCell ref="D719:E719"/>
    <mergeCell ref="D720:E720"/>
    <mergeCell ref="D721:E721"/>
    <mergeCell ref="D722:E722"/>
    <mergeCell ref="D723:E723"/>
    <mergeCell ref="D714:E714"/>
    <mergeCell ref="D715:E715"/>
    <mergeCell ref="D716:E716"/>
    <mergeCell ref="D717:E717"/>
    <mergeCell ref="D718:E718"/>
    <mergeCell ref="D709:E709"/>
    <mergeCell ref="D710:E710"/>
    <mergeCell ref="D711:E711"/>
    <mergeCell ref="D712:E712"/>
    <mergeCell ref="D713:E713"/>
    <mergeCell ref="D704:E704"/>
    <mergeCell ref="D705:E705"/>
    <mergeCell ref="D706:E706"/>
    <mergeCell ref="D707:E707"/>
    <mergeCell ref="D708:E708"/>
    <mergeCell ref="D744:E744"/>
    <mergeCell ref="D746:E746"/>
    <mergeCell ref="D747:E747"/>
    <mergeCell ref="D748:L748"/>
    <mergeCell ref="D749:E749"/>
    <mergeCell ref="D735:E735"/>
    <mergeCell ref="D736:L736"/>
    <mergeCell ref="D738:E738"/>
    <mergeCell ref="D740:E740"/>
    <mergeCell ref="D742:E742"/>
    <mergeCell ref="D729:E729"/>
    <mergeCell ref="D730:E730"/>
    <mergeCell ref="D731:E731"/>
    <mergeCell ref="D732:E732"/>
    <mergeCell ref="D733:E733"/>
    <mergeCell ref="D724:E724"/>
    <mergeCell ref="D725:E725"/>
    <mergeCell ref="D726:E726"/>
    <mergeCell ref="D727:E727"/>
    <mergeCell ref="D728:E728"/>
    <mergeCell ref="D767:E767"/>
    <mergeCell ref="D768:E768"/>
    <mergeCell ref="D769:E769"/>
    <mergeCell ref="D770:E770"/>
    <mergeCell ref="D771:E771"/>
    <mergeCell ref="D762:E762"/>
    <mergeCell ref="D763:E763"/>
    <mergeCell ref="D764:E764"/>
    <mergeCell ref="D765:E765"/>
    <mergeCell ref="D766:E766"/>
    <mergeCell ref="D757:E757"/>
    <mergeCell ref="D758:E758"/>
    <mergeCell ref="D759:E759"/>
    <mergeCell ref="D760:E760"/>
    <mergeCell ref="D761:E761"/>
    <mergeCell ref="D751:E751"/>
    <mergeCell ref="D753:E753"/>
    <mergeCell ref="D754:E754"/>
    <mergeCell ref="D755:E755"/>
    <mergeCell ref="D756:E756"/>
    <mergeCell ref="D787:E787"/>
    <mergeCell ref="D788:E788"/>
    <mergeCell ref="D789:E789"/>
    <mergeCell ref="D790:E790"/>
    <mergeCell ref="D791:E791"/>
    <mergeCell ref="D782:E782"/>
    <mergeCell ref="D783:E783"/>
    <mergeCell ref="D784:E784"/>
    <mergeCell ref="D785:E785"/>
    <mergeCell ref="D786:E786"/>
    <mergeCell ref="D777:E777"/>
    <mergeCell ref="D778:E778"/>
    <mergeCell ref="D779:E779"/>
    <mergeCell ref="D780:E780"/>
    <mergeCell ref="D781:E781"/>
    <mergeCell ref="D772:E772"/>
    <mergeCell ref="D773:E773"/>
    <mergeCell ref="D774:E774"/>
    <mergeCell ref="D775:E775"/>
    <mergeCell ref="D776:E776"/>
    <mergeCell ref="D814:E814"/>
    <mergeCell ref="D816:E816"/>
    <mergeCell ref="D818:E818"/>
    <mergeCell ref="D820:E820"/>
    <mergeCell ref="D823:E823"/>
    <mergeCell ref="D802:E802"/>
    <mergeCell ref="D803:E803"/>
    <mergeCell ref="D804:L804"/>
    <mergeCell ref="D809:E809"/>
    <mergeCell ref="D811:E811"/>
    <mergeCell ref="D797:E797"/>
    <mergeCell ref="D798:E798"/>
    <mergeCell ref="D799:E799"/>
    <mergeCell ref="D800:E800"/>
    <mergeCell ref="D801:E801"/>
    <mergeCell ref="D792:E792"/>
    <mergeCell ref="D793:E793"/>
    <mergeCell ref="D794:E794"/>
    <mergeCell ref="D795:E795"/>
    <mergeCell ref="D796:E796"/>
    <mergeCell ref="D855:L855"/>
    <mergeCell ref="D857:E857"/>
    <mergeCell ref="D858:L858"/>
    <mergeCell ref="D860:E860"/>
    <mergeCell ref="D863:E863"/>
    <mergeCell ref="D848:E848"/>
    <mergeCell ref="D849:L849"/>
    <mergeCell ref="D851:E851"/>
    <mergeCell ref="D852:L852"/>
    <mergeCell ref="D854:E854"/>
    <mergeCell ref="D840:E840"/>
    <mergeCell ref="D842:E842"/>
    <mergeCell ref="D843:L843"/>
    <mergeCell ref="D845:E845"/>
    <mergeCell ref="D846:L846"/>
    <mergeCell ref="D826:E826"/>
    <mergeCell ref="D830:E830"/>
    <mergeCell ref="D832:E832"/>
    <mergeCell ref="D835:E835"/>
    <mergeCell ref="D837:E837"/>
    <mergeCell ref="D895:E895"/>
    <mergeCell ref="D897:E897"/>
    <mergeCell ref="D899:E899"/>
    <mergeCell ref="D900:E900"/>
    <mergeCell ref="D901:L901"/>
    <mergeCell ref="D886:E886"/>
    <mergeCell ref="D888:E888"/>
    <mergeCell ref="D889:L889"/>
    <mergeCell ref="D891:E891"/>
    <mergeCell ref="D893:E893"/>
    <mergeCell ref="D875:L875"/>
    <mergeCell ref="D877:E877"/>
    <mergeCell ref="D878:L878"/>
    <mergeCell ref="D880:E880"/>
    <mergeCell ref="D883:E883"/>
    <mergeCell ref="D864:L864"/>
    <mergeCell ref="D866:E866"/>
    <mergeCell ref="D869:E869"/>
    <mergeCell ref="D871:E871"/>
    <mergeCell ref="D874:E874"/>
    <mergeCell ref="D933:L933"/>
    <mergeCell ref="D938:E938"/>
    <mergeCell ref="D941:E941"/>
    <mergeCell ref="D943:E943"/>
    <mergeCell ref="D944:E944"/>
    <mergeCell ref="D924:E924"/>
    <mergeCell ref="D927:E927"/>
    <mergeCell ref="D928:E928"/>
    <mergeCell ref="D930:E930"/>
    <mergeCell ref="D932:E932"/>
    <mergeCell ref="D915:E915"/>
    <mergeCell ref="D916:L916"/>
    <mergeCell ref="D918:E918"/>
    <mergeCell ref="D921:E921"/>
    <mergeCell ref="D922:L922"/>
    <mergeCell ref="D904:E904"/>
    <mergeCell ref="D907:E907"/>
    <mergeCell ref="D909:E909"/>
    <mergeCell ref="D910:L910"/>
    <mergeCell ref="D912:E912"/>
    <mergeCell ref="D970:E970"/>
    <mergeCell ref="D971:L971"/>
    <mergeCell ref="D973:E973"/>
    <mergeCell ref="D974:L974"/>
    <mergeCell ref="D976:E976"/>
    <mergeCell ref="D962:E962"/>
    <mergeCell ref="D964:E964"/>
    <mergeCell ref="D965:L965"/>
    <mergeCell ref="D967:E967"/>
    <mergeCell ref="D968:L968"/>
    <mergeCell ref="D954:E954"/>
    <mergeCell ref="D955:L955"/>
    <mergeCell ref="D957:E957"/>
    <mergeCell ref="D959:E959"/>
    <mergeCell ref="D960:L960"/>
    <mergeCell ref="D945:L945"/>
    <mergeCell ref="D947:E947"/>
    <mergeCell ref="D948:L948"/>
    <mergeCell ref="D950:E950"/>
    <mergeCell ref="D952:E952"/>
    <mergeCell ref="D1000:E1000"/>
    <mergeCell ref="D1001:L1001"/>
    <mergeCell ref="D1003:E1003"/>
    <mergeCell ref="D1004:L1004"/>
    <mergeCell ref="D1006:E1006"/>
    <mergeCell ref="D992:L992"/>
    <mergeCell ref="D994:E994"/>
    <mergeCell ref="D995:L995"/>
    <mergeCell ref="D997:E997"/>
    <mergeCell ref="D998:L998"/>
    <mergeCell ref="D985:E985"/>
    <mergeCell ref="D986:L986"/>
    <mergeCell ref="D988:E988"/>
    <mergeCell ref="D989:L989"/>
    <mergeCell ref="D991:E991"/>
    <mergeCell ref="D977:L977"/>
    <mergeCell ref="D979:E979"/>
    <mergeCell ref="D980:L980"/>
    <mergeCell ref="D982:E982"/>
    <mergeCell ref="D983:L983"/>
    <mergeCell ref="D1030:E1030"/>
    <mergeCell ref="D1031:L1031"/>
    <mergeCell ref="D1033:E1033"/>
    <mergeCell ref="D1034:L1034"/>
    <mergeCell ref="D1036:E1036"/>
    <mergeCell ref="D1022:L1022"/>
    <mergeCell ref="D1024:E1024"/>
    <mergeCell ref="D1025:L1025"/>
    <mergeCell ref="D1027:E1027"/>
    <mergeCell ref="D1028:L1028"/>
    <mergeCell ref="D1015:E1015"/>
    <mergeCell ref="D1016:L1016"/>
    <mergeCell ref="D1018:E1018"/>
    <mergeCell ref="D1019:L1019"/>
    <mergeCell ref="D1021:E1021"/>
    <mergeCell ref="D1007:L1007"/>
    <mergeCell ref="D1009:E1009"/>
    <mergeCell ref="D1010:L1010"/>
    <mergeCell ref="D1012:E1012"/>
    <mergeCell ref="D1013:L1013"/>
    <mergeCell ref="D1065:E1065"/>
    <mergeCell ref="D1067:E1067"/>
    <mergeCell ref="D1068:L1068"/>
    <mergeCell ref="D1072:E1072"/>
    <mergeCell ref="D1075:E1075"/>
    <mergeCell ref="D1052:L1052"/>
    <mergeCell ref="D1054:E1054"/>
    <mergeCell ref="D1055:L1055"/>
    <mergeCell ref="D1059:E1059"/>
    <mergeCell ref="D1062:E1062"/>
    <mergeCell ref="D1045:E1045"/>
    <mergeCell ref="D1046:L1046"/>
    <mergeCell ref="D1048:E1048"/>
    <mergeCell ref="D1050:E1050"/>
    <mergeCell ref="D1051:E1051"/>
    <mergeCell ref="D1037:L1037"/>
    <mergeCell ref="D1039:E1039"/>
    <mergeCell ref="D1040:L1040"/>
    <mergeCell ref="D1042:E1042"/>
    <mergeCell ref="D1043:L1043"/>
    <mergeCell ref="D1112:E1112"/>
    <mergeCell ref="D1113:E1113"/>
    <mergeCell ref="D1116:E1116"/>
    <mergeCell ref="D1117:L1117"/>
    <mergeCell ref="D1120:E1120"/>
    <mergeCell ref="D1103:E1103"/>
    <mergeCell ref="D1104:L1104"/>
    <mergeCell ref="D1107:E1107"/>
    <mergeCell ref="D1108:L1108"/>
    <mergeCell ref="D1110:E1110"/>
    <mergeCell ref="D1089:E1089"/>
    <mergeCell ref="D1093:E1093"/>
    <mergeCell ref="D1094:L1094"/>
    <mergeCell ref="D1100:E1100"/>
    <mergeCell ref="D1101:L1101"/>
    <mergeCell ref="D1078:E1078"/>
    <mergeCell ref="D1080:E1080"/>
    <mergeCell ref="D1081:L1081"/>
    <mergeCell ref="D1084:E1084"/>
    <mergeCell ref="D1087:E1087"/>
    <mergeCell ref="D1148:E1148"/>
    <mergeCell ref="D1150:E1150"/>
    <mergeCell ref="D1151:E1151"/>
    <mergeCell ref="D1152:L1152"/>
    <mergeCell ref="D1154:E1154"/>
    <mergeCell ref="D1139:L1139"/>
    <mergeCell ref="D1141:E1141"/>
    <mergeCell ref="D1143:E1143"/>
    <mergeCell ref="D1144:L1144"/>
    <mergeCell ref="D1146:E1146"/>
    <mergeCell ref="D1132:E1132"/>
    <mergeCell ref="D1133:E1133"/>
    <mergeCell ref="D1134:L1134"/>
    <mergeCell ref="D1136:E1136"/>
    <mergeCell ref="D1138:E1138"/>
    <mergeCell ref="D1121:L1121"/>
    <mergeCell ref="D1123:E1123"/>
    <mergeCell ref="D1127:E1127"/>
    <mergeCell ref="D1128:L1128"/>
    <mergeCell ref="D1130:E1130"/>
    <mergeCell ref="D1184:E1184"/>
    <mergeCell ref="D1185:L1185"/>
    <mergeCell ref="D1187:E1187"/>
    <mergeCell ref="D1190:E1190"/>
    <mergeCell ref="D1192:E1192"/>
    <mergeCell ref="D1176:L1176"/>
    <mergeCell ref="D1178:E1178"/>
    <mergeCell ref="D1179:L1179"/>
    <mergeCell ref="D1181:E1181"/>
    <mergeCell ref="D1182:L1182"/>
    <mergeCell ref="D1167:E1167"/>
    <mergeCell ref="D1169:E1169"/>
    <mergeCell ref="D1172:E1172"/>
    <mergeCell ref="D1174:E1174"/>
    <mergeCell ref="D1175:E1175"/>
    <mergeCell ref="D1156:E1156"/>
    <mergeCell ref="D1159:E1159"/>
    <mergeCell ref="D1160:L1160"/>
    <mergeCell ref="D1162:E1162"/>
    <mergeCell ref="D1164:E1164"/>
    <mergeCell ref="D1218:E1218"/>
    <mergeCell ref="D1220:E1220"/>
    <mergeCell ref="D1222:E1222"/>
    <mergeCell ref="D1223:E1223"/>
    <mergeCell ref="D1224:L1224"/>
    <mergeCell ref="D1212:E1212"/>
    <mergeCell ref="D1213:L1213"/>
    <mergeCell ref="D1215:E1215"/>
    <mergeCell ref="D1216:E1216"/>
    <mergeCell ref="D1217:L1217"/>
    <mergeCell ref="D1202:L1202"/>
    <mergeCell ref="D1204:E1204"/>
    <mergeCell ref="D1205:E1205"/>
    <mergeCell ref="D1209:E1209"/>
    <mergeCell ref="D1210:L1210"/>
    <mergeCell ref="D1193:E1193"/>
    <mergeCell ref="D1195:E1195"/>
    <mergeCell ref="D1197:E1197"/>
    <mergeCell ref="D1199:E1199"/>
    <mergeCell ref="D1201:E1201"/>
    <mergeCell ref="D1253:E1253"/>
    <mergeCell ref="D1254:L1254"/>
    <mergeCell ref="D1256:E1256"/>
    <mergeCell ref="D1257:L1257"/>
    <mergeCell ref="D1259:E1259"/>
    <mergeCell ref="D1244:E1244"/>
    <mergeCell ref="D1245:L1245"/>
    <mergeCell ref="D1247:E1247"/>
    <mergeCell ref="D1249:E1249"/>
    <mergeCell ref="D1251:E1251"/>
    <mergeCell ref="D1235:E1235"/>
    <mergeCell ref="D1237:E1237"/>
    <mergeCell ref="D1239:E1239"/>
    <mergeCell ref="D1241:E1241"/>
    <mergeCell ref="D1243:E1243"/>
    <mergeCell ref="D1226:E1226"/>
    <mergeCell ref="D1228:E1228"/>
    <mergeCell ref="D1229:E1229"/>
    <mergeCell ref="D1232:E1232"/>
    <mergeCell ref="D1233:L1233"/>
    <mergeCell ref="D1288:E1288"/>
    <mergeCell ref="D1290:E1290"/>
    <mergeCell ref="D1295:E1295"/>
    <mergeCell ref="D1296:L1296"/>
    <mergeCell ref="D1300:E1300"/>
    <mergeCell ref="D1277:E1277"/>
    <mergeCell ref="D1278:L1278"/>
    <mergeCell ref="D1283:E1283"/>
    <mergeCell ref="D1284:L1284"/>
    <mergeCell ref="D1286:E1286"/>
    <mergeCell ref="D1268:E1268"/>
    <mergeCell ref="D1270:E1270"/>
    <mergeCell ref="D1272:E1272"/>
    <mergeCell ref="D1274:E1274"/>
    <mergeCell ref="D1276:E1276"/>
    <mergeCell ref="D1260:L1260"/>
    <mergeCell ref="D1262:E1262"/>
    <mergeCell ref="D1263:L1263"/>
    <mergeCell ref="D1265:E1265"/>
    <mergeCell ref="D1266:L1266"/>
    <mergeCell ref="D1328:E1328"/>
    <mergeCell ref="D1329:E1329"/>
    <mergeCell ref="D1330:E1330"/>
    <mergeCell ref="D1331:E1331"/>
    <mergeCell ref="D1333:E1333"/>
    <mergeCell ref="D1320:E1320"/>
    <mergeCell ref="D1322:E1322"/>
    <mergeCell ref="D1324:E1324"/>
    <mergeCell ref="D1325:E1325"/>
    <mergeCell ref="D1327:E1327"/>
    <mergeCell ref="D1310:L1310"/>
    <mergeCell ref="D1312:E1312"/>
    <mergeCell ref="D1314:E1314"/>
    <mergeCell ref="D1316:E1316"/>
    <mergeCell ref="D1318:E1318"/>
    <mergeCell ref="D1302:E1302"/>
    <mergeCell ref="D1304:E1304"/>
    <mergeCell ref="D1306:E1306"/>
    <mergeCell ref="D1308:E1308"/>
    <mergeCell ref="D1309:E1309"/>
    <mergeCell ref="D1359:L1359"/>
    <mergeCell ref="D1361:E1361"/>
    <mergeCell ref="D1362:E1362"/>
    <mergeCell ref="D1364:E1364"/>
    <mergeCell ref="D1366:E1366"/>
    <mergeCell ref="D1351:E1351"/>
    <mergeCell ref="D1352:L1352"/>
    <mergeCell ref="D1355:E1355"/>
    <mergeCell ref="D1356:L1356"/>
    <mergeCell ref="D1358:E1358"/>
    <mergeCell ref="D1342:E1342"/>
    <mergeCell ref="D1344:E1344"/>
    <mergeCell ref="D1346:E1346"/>
    <mergeCell ref="D1347:L1347"/>
    <mergeCell ref="D1349:E1349"/>
    <mergeCell ref="D1334:E1334"/>
    <mergeCell ref="D1335:L1335"/>
    <mergeCell ref="D1337:E1337"/>
    <mergeCell ref="D1338:E1338"/>
    <mergeCell ref="D1340:E1340"/>
    <mergeCell ref="D1394:E1394"/>
    <mergeCell ref="D1395:L1395"/>
    <mergeCell ref="D1396:E1396"/>
    <mergeCell ref="D1397:L1397"/>
    <mergeCell ref="D1398:E1398"/>
    <mergeCell ref="D1388:E1388"/>
    <mergeCell ref="D1390:E1390"/>
    <mergeCell ref="D1391:E1391"/>
    <mergeCell ref="D1392:E1392"/>
    <mergeCell ref="D1393:L1393"/>
    <mergeCell ref="D1378:E1378"/>
    <mergeCell ref="D1380:E1380"/>
    <mergeCell ref="D1382:E1382"/>
    <mergeCell ref="D1384:E1384"/>
    <mergeCell ref="D1385:L1385"/>
    <mergeCell ref="D1368:E1368"/>
    <mergeCell ref="D1370:E1370"/>
    <mergeCell ref="D1371:L1371"/>
    <mergeCell ref="D1373:E1373"/>
    <mergeCell ref="D1374:L1374"/>
    <mergeCell ref="D1414:E1414"/>
    <mergeCell ref="D1415:L1415"/>
    <mergeCell ref="D1416:E1416"/>
    <mergeCell ref="D1417:L1417"/>
    <mergeCell ref="D1418:E1418"/>
    <mergeCell ref="D1409:L1409"/>
    <mergeCell ref="D1410:E1410"/>
    <mergeCell ref="D1411:L1411"/>
    <mergeCell ref="D1412:E1412"/>
    <mergeCell ref="D1413:L1413"/>
    <mergeCell ref="D1404:E1404"/>
    <mergeCell ref="D1405:L1405"/>
    <mergeCell ref="D1406:E1406"/>
    <mergeCell ref="D1407:L1407"/>
    <mergeCell ref="D1408:E1408"/>
    <mergeCell ref="D1399:L1399"/>
    <mergeCell ref="D1400:E1400"/>
    <mergeCell ref="D1401:L1401"/>
    <mergeCell ref="D1402:E1402"/>
    <mergeCell ref="D1403:L1403"/>
    <mergeCell ref="D1434:E1434"/>
    <mergeCell ref="D1435:L1435"/>
    <mergeCell ref="D1436:E1436"/>
    <mergeCell ref="D1437:L1437"/>
    <mergeCell ref="D1438:E1438"/>
    <mergeCell ref="D1429:E1429"/>
    <mergeCell ref="D1430:E1430"/>
    <mergeCell ref="D1431:L1431"/>
    <mergeCell ref="D1432:E1432"/>
    <mergeCell ref="D1433:L1433"/>
    <mergeCell ref="D1424:E1424"/>
    <mergeCell ref="D1425:E1425"/>
    <mergeCell ref="D1426:E1426"/>
    <mergeCell ref="D1427:E1427"/>
    <mergeCell ref="D1428:E1428"/>
    <mergeCell ref="D1419:L1419"/>
    <mergeCell ref="D1420:E1420"/>
    <mergeCell ref="D1421:L1421"/>
    <mergeCell ref="D1422:E1422"/>
    <mergeCell ref="D1423:L1423"/>
    <mergeCell ref="D1454:E1454"/>
    <mergeCell ref="D1455:L1455"/>
    <mergeCell ref="D1456:E1456"/>
    <mergeCell ref="D1457:L1457"/>
    <mergeCell ref="D1458:E1458"/>
    <mergeCell ref="D1449:L1449"/>
    <mergeCell ref="D1450:E1450"/>
    <mergeCell ref="D1451:L1451"/>
    <mergeCell ref="D1452:E1452"/>
    <mergeCell ref="D1453:L1453"/>
    <mergeCell ref="D1444:E1444"/>
    <mergeCell ref="D1445:L1445"/>
    <mergeCell ref="D1446:E1446"/>
    <mergeCell ref="D1447:L1447"/>
    <mergeCell ref="D1448:E1448"/>
    <mergeCell ref="D1439:L1439"/>
    <mergeCell ref="D1440:E1440"/>
    <mergeCell ref="D1441:L1441"/>
    <mergeCell ref="D1442:E1442"/>
    <mergeCell ref="D1443:L1443"/>
    <mergeCell ref="D1474:E1474"/>
    <mergeCell ref="D1475:L1475"/>
    <mergeCell ref="D1476:E1476"/>
    <mergeCell ref="D1477:L1477"/>
    <mergeCell ref="D1478:E1478"/>
    <mergeCell ref="D1469:L1469"/>
    <mergeCell ref="D1470:E1470"/>
    <mergeCell ref="D1471:L1471"/>
    <mergeCell ref="D1472:E1472"/>
    <mergeCell ref="D1473:L1473"/>
    <mergeCell ref="D1464:E1464"/>
    <mergeCell ref="D1465:L1465"/>
    <mergeCell ref="D1466:E1466"/>
    <mergeCell ref="D1467:L1467"/>
    <mergeCell ref="D1468:E1468"/>
    <mergeCell ref="D1459:L1459"/>
    <mergeCell ref="D1460:E1460"/>
    <mergeCell ref="D1461:L1461"/>
    <mergeCell ref="D1462:E1462"/>
    <mergeCell ref="D1463:L1463"/>
    <mergeCell ref="D1494:E1494"/>
    <mergeCell ref="D1495:E1495"/>
    <mergeCell ref="D1496:L1496"/>
    <mergeCell ref="D1497:E1497"/>
    <mergeCell ref="D1498:E1498"/>
    <mergeCell ref="D1489:E1489"/>
    <mergeCell ref="D1490:E1490"/>
    <mergeCell ref="D1491:E1491"/>
    <mergeCell ref="D1492:E1492"/>
    <mergeCell ref="D1493:E1493"/>
    <mergeCell ref="D1484:E1484"/>
    <mergeCell ref="D1485:E1485"/>
    <mergeCell ref="D1486:E1486"/>
    <mergeCell ref="D1487:E1487"/>
    <mergeCell ref="D1488:L1488"/>
    <mergeCell ref="D1479:L1479"/>
    <mergeCell ref="D1480:E1480"/>
    <mergeCell ref="D1481:E1481"/>
    <mergeCell ref="D1482:E1482"/>
    <mergeCell ref="D1483:E1483"/>
    <mergeCell ref="D1514:E1514"/>
    <mergeCell ref="D1515:E1515"/>
    <mergeCell ref="D1516:E1516"/>
    <mergeCell ref="D1517:E1517"/>
    <mergeCell ref="D1518:L1518"/>
    <mergeCell ref="D1509:E1509"/>
    <mergeCell ref="D1510:E1510"/>
    <mergeCell ref="D1511:E1511"/>
    <mergeCell ref="D1512:E1512"/>
    <mergeCell ref="D1513:E1513"/>
    <mergeCell ref="D1504:E1504"/>
    <mergeCell ref="D1505:E1505"/>
    <mergeCell ref="D1506:E1506"/>
    <mergeCell ref="D1507:E1507"/>
    <mergeCell ref="D1508:L1508"/>
    <mergeCell ref="D1499:E1499"/>
    <mergeCell ref="D1500:E1500"/>
    <mergeCell ref="D1501:E1501"/>
    <mergeCell ref="D1502:E1502"/>
    <mergeCell ref="D1503:E1503"/>
    <mergeCell ref="D1534:E1534"/>
    <mergeCell ref="D1535:E1535"/>
    <mergeCell ref="D1536:L1536"/>
    <mergeCell ref="D1537:E1537"/>
    <mergeCell ref="D1538:E1538"/>
    <mergeCell ref="D1529:E1529"/>
    <mergeCell ref="D1530:L1530"/>
    <mergeCell ref="D1531:E1531"/>
    <mergeCell ref="D1532:E1532"/>
    <mergeCell ref="D1533:L1533"/>
    <mergeCell ref="D1524:L1524"/>
    <mergeCell ref="D1525:E1525"/>
    <mergeCell ref="D1526:L1526"/>
    <mergeCell ref="D1527:E1527"/>
    <mergeCell ref="D1528:L1528"/>
    <mergeCell ref="D1519:E1519"/>
    <mergeCell ref="D1520:E1520"/>
    <mergeCell ref="D1521:E1521"/>
    <mergeCell ref="D1522:E1522"/>
    <mergeCell ref="D1523:E1523"/>
    <mergeCell ref="D1554:E1554"/>
    <mergeCell ref="D1555:E1555"/>
    <mergeCell ref="D1556:E1556"/>
    <mergeCell ref="D1557:E1557"/>
    <mergeCell ref="D1558:E1558"/>
    <mergeCell ref="D1549:L1549"/>
    <mergeCell ref="D1550:E1550"/>
    <mergeCell ref="D1551:E1551"/>
    <mergeCell ref="D1552:E1552"/>
    <mergeCell ref="D1553:E1553"/>
    <mergeCell ref="D1544:L1544"/>
    <mergeCell ref="D1545:E1545"/>
    <mergeCell ref="D1546:E1546"/>
    <mergeCell ref="D1547:E1547"/>
    <mergeCell ref="D1548:E1548"/>
    <mergeCell ref="D1539:E1539"/>
    <mergeCell ref="D1540:E1540"/>
    <mergeCell ref="D1541:L1541"/>
    <mergeCell ref="D1542:E1542"/>
    <mergeCell ref="D1543:E1543"/>
    <mergeCell ref="D1574:E1574"/>
    <mergeCell ref="D1575:E1575"/>
    <mergeCell ref="D1576:E1576"/>
    <mergeCell ref="D1577:E1577"/>
    <mergeCell ref="D1578:L1578"/>
    <mergeCell ref="D1569:E1569"/>
    <mergeCell ref="D1570:E1570"/>
    <mergeCell ref="D1571:E1571"/>
    <mergeCell ref="D1572:E1572"/>
    <mergeCell ref="D1573:E1573"/>
    <mergeCell ref="D1564:E1564"/>
    <mergeCell ref="D1565:E1565"/>
    <mergeCell ref="D1566:E1566"/>
    <mergeCell ref="D1567:E1567"/>
    <mergeCell ref="D1568:E1568"/>
    <mergeCell ref="D1559:E1559"/>
    <mergeCell ref="D1560:E1560"/>
    <mergeCell ref="D1561:E1561"/>
    <mergeCell ref="D1562:E1562"/>
    <mergeCell ref="D1563:E1563"/>
    <mergeCell ref="D1594:E1594"/>
    <mergeCell ref="D1595:E1595"/>
    <mergeCell ref="D1596:E1596"/>
    <mergeCell ref="D1597:E1597"/>
    <mergeCell ref="D1598:E1598"/>
    <mergeCell ref="D1589:E1589"/>
    <mergeCell ref="D1590:E1590"/>
    <mergeCell ref="D1591:E1591"/>
    <mergeCell ref="D1592:E1592"/>
    <mergeCell ref="D1593:E1593"/>
    <mergeCell ref="D1584:E1584"/>
    <mergeCell ref="D1585:E1585"/>
    <mergeCell ref="D1586:E1586"/>
    <mergeCell ref="D1587:E1587"/>
    <mergeCell ref="D1588:E1588"/>
    <mergeCell ref="D1579:E1579"/>
    <mergeCell ref="D1580:E1580"/>
    <mergeCell ref="D1581:E1581"/>
    <mergeCell ref="D1582:E1582"/>
    <mergeCell ref="D1583:E1583"/>
    <mergeCell ref="D1614:E1614"/>
    <mergeCell ref="D1615:E1615"/>
    <mergeCell ref="D1616:E1616"/>
    <mergeCell ref="D1617:E1617"/>
    <mergeCell ref="D1618:E1618"/>
    <mergeCell ref="D1609:E1609"/>
    <mergeCell ref="D1610:E1610"/>
    <mergeCell ref="D1611:E1611"/>
    <mergeCell ref="D1612:E1612"/>
    <mergeCell ref="D1613:E1613"/>
    <mergeCell ref="D1604:E1604"/>
    <mergeCell ref="D1605:E1605"/>
    <mergeCell ref="D1606:E1606"/>
    <mergeCell ref="D1607:E1607"/>
    <mergeCell ref="D1608:L1608"/>
    <mergeCell ref="D1599:E1599"/>
    <mergeCell ref="D1600:E1600"/>
    <mergeCell ref="D1601:E1601"/>
    <mergeCell ref="D1602:E1602"/>
    <mergeCell ref="D1603:E1603"/>
    <mergeCell ref="D1647:E1647"/>
    <mergeCell ref="D1648:E1648"/>
    <mergeCell ref="D1649:E1649"/>
    <mergeCell ref="D1650:E1650"/>
    <mergeCell ref="D1651:E1651"/>
    <mergeCell ref="D1641:E1641"/>
    <mergeCell ref="D1643:E1643"/>
    <mergeCell ref="D1644:E1644"/>
    <mergeCell ref="D1645:E1645"/>
    <mergeCell ref="D1646:E1646"/>
    <mergeCell ref="D1625:L1625"/>
    <mergeCell ref="D1628:E1628"/>
    <mergeCell ref="D1629:L1629"/>
    <mergeCell ref="D1635:E1635"/>
    <mergeCell ref="D1638:E1638"/>
    <mergeCell ref="D1619:E1619"/>
    <mergeCell ref="D1620:E1620"/>
    <mergeCell ref="D1621:L1621"/>
    <mergeCell ref="D1623:E1623"/>
    <mergeCell ref="D1624:E1624"/>
    <mergeCell ref="D1673:L1673"/>
    <mergeCell ref="D1675:E1675"/>
    <mergeCell ref="D1680:E1680"/>
    <mergeCell ref="D1682:E1682"/>
    <mergeCell ref="D1684:E1684"/>
    <mergeCell ref="D1663:E1663"/>
    <mergeCell ref="D1664:L1664"/>
    <mergeCell ref="D1667:E1667"/>
    <mergeCell ref="D1668:L1668"/>
    <mergeCell ref="D1672:E1672"/>
    <mergeCell ref="D1657:E1657"/>
    <mergeCell ref="D1658:E1658"/>
    <mergeCell ref="D1659:E1659"/>
    <mergeCell ref="D1660:E1660"/>
    <mergeCell ref="D1661:E1661"/>
    <mergeCell ref="D1652:E1652"/>
    <mergeCell ref="D1653:E1653"/>
    <mergeCell ref="D1654:E1654"/>
    <mergeCell ref="D1655:E1655"/>
    <mergeCell ref="D1656:E1656"/>
    <mergeCell ref="D1708:L1708"/>
    <mergeCell ref="D1710:E1710"/>
    <mergeCell ref="D1711:L1711"/>
    <mergeCell ref="D1713:E1713"/>
    <mergeCell ref="D1714:L1714"/>
    <mergeCell ref="D1701:E1701"/>
    <mergeCell ref="D1702:L1702"/>
    <mergeCell ref="D1704:E1704"/>
    <mergeCell ref="D1705:L1705"/>
    <mergeCell ref="D1707:E1707"/>
    <mergeCell ref="D1692:L1692"/>
    <mergeCell ref="D1694:E1694"/>
    <mergeCell ref="D1695:L1695"/>
    <mergeCell ref="D1698:E1698"/>
    <mergeCell ref="D1699:L1699"/>
    <mergeCell ref="D1685:E1685"/>
    <mergeCell ref="D1686:L1686"/>
    <mergeCell ref="D1688:E1688"/>
    <mergeCell ref="D1689:L1689"/>
    <mergeCell ref="D1691:E1691"/>
    <mergeCell ref="D1738:L1738"/>
    <mergeCell ref="D1740:E1740"/>
    <mergeCell ref="D1741:L1741"/>
    <mergeCell ref="D1743:E1743"/>
    <mergeCell ref="D1744:L1744"/>
    <mergeCell ref="D1731:E1731"/>
    <mergeCell ref="D1732:L1732"/>
    <mergeCell ref="D1734:E1734"/>
    <mergeCell ref="D1735:L1735"/>
    <mergeCell ref="D1737:E1737"/>
    <mergeCell ref="D1723:L1723"/>
    <mergeCell ref="D1725:E1725"/>
    <mergeCell ref="D1726:L1726"/>
    <mergeCell ref="D1728:E1728"/>
    <mergeCell ref="D1729:L1729"/>
    <mergeCell ref="D1716:E1716"/>
    <mergeCell ref="D1717:L1717"/>
    <mergeCell ref="D1719:E1719"/>
    <mergeCell ref="D1720:L1720"/>
    <mergeCell ref="D1722:E1722"/>
    <mergeCell ref="D1769:L1769"/>
    <mergeCell ref="D1771:E1771"/>
    <mergeCell ref="D1772:L1772"/>
    <mergeCell ref="D1774:E1774"/>
    <mergeCell ref="D1775:L1775"/>
    <mergeCell ref="D1762:E1762"/>
    <mergeCell ref="D1763:L1763"/>
    <mergeCell ref="D1765:E1765"/>
    <mergeCell ref="D1766:L1766"/>
    <mergeCell ref="D1768:E1768"/>
    <mergeCell ref="D1754:L1754"/>
    <mergeCell ref="D1756:E1756"/>
    <mergeCell ref="D1757:L1757"/>
    <mergeCell ref="D1759:E1759"/>
    <mergeCell ref="D1760:L1760"/>
    <mergeCell ref="D1746:E1746"/>
    <mergeCell ref="D1747:L1747"/>
    <mergeCell ref="D1749:E1749"/>
    <mergeCell ref="D1750:L1750"/>
    <mergeCell ref="D1753:E1753"/>
    <mergeCell ref="D1799:L1799"/>
    <mergeCell ref="D1801:E1801"/>
    <mergeCell ref="D1802:L1802"/>
    <mergeCell ref="D1804:E1804"/>
    <mergeCell ref="D1805:L1805"/>
    <mergeCell ref="D1792:E1792"/>
    <mergeCell ref="D1793:L1793"/>
    <mergeCell ref="D1795:E1795"/>
    <mergeCell ref="D1796:L1796"/>
    <mergeCell ref="D1798:E1798"/>
    <mergeCell ref="D1784:L1784"/>
    <mergeCell ref="D1786:E1786"/>
    <mergeCell ref="D1787:L1787"/>
    <mergeCell ref="D1789:E1789"/>
    <mergeCell ref="D1790:L1790"/>
    <mergeCell ref="D1777:E1777"/>
    <mergeCell ref="D1778:L1778"/>
    <mergeCell ref="D1780:E1780"/>
    <mergeCell ref="D1781:L1781"/>
    <mergeCell ref="D1783:E1783"/>
    <mergeCell ref="D1829:L1829"/>
    <mergeCell ref="D1831:E1831"/>
    <mergeCell ref="D1832:L1832"/>
    <mergeCell ref="D1834:E1834"/>
    <mergeCell ref="D1835:L1835"/>
    <mergeCell ref="D1822:E1822"/>
    <mergeCell ref="D1823:L1823"/>
    <mergeCell ref="D1825:E1825"/>
    <mergeCell ref="D1826:L1826"/>
    <mergeCell ref="D1828:E1828"/>
    <mergeCell ref="D1814:L1814"/>
    <mergeCell ref="D1816:E1816"/>
    <mergeCell ref="D1817:L1817"/>
    <mergeCell ref="D1819:E1819"/>
    <mergeCell ref="D1820:L1820"/>
    <mergeCell ref="D1807:E1807"/>
    <mergeCell ref="D1808:L1808"/>
    <mergeCell ref="D1810:E1810"/>
    <mergeCell ref="D1811:L1811"/>
    <mergeCell ref="D1813:E1813"/>
    <mergeCell ref="D1861:L1861"/>
    <mergeCell ref="D1864:E1864"/>
    <mergeCell ref="D1865:L1865"/>
    <mergeCell ref="D1867:E1867"/>
    <mergeCell ref="D1869:E1869"/>
    <mergeCell ref="D1854:E1854"/>
    <mergeCell ref="D1855:L1855"/>
    <mergeCell ref="D1857:E1857"/>
    <mergeCell ref="D1858:L1858"/>
    <mergeCell ref="D1860:E1860"/>
    <mergeCell ref="D1844:L1844"/>
    <mergeCell ref="D1846:E1846"/>
    <mergeCell ref="D1847:L1847"/>
    <mergeCell ref="D1849:E1849"/>
    <mergeCell ref="D1850:L1850"/>
    <mergeCell ref="D1837:E1837"/>
    <mergeCell ref="D1838:L1838"/>
    <mergeCell ref="D1840:E1840"/>
    <mergeCell ref="D1841:L1841"/>
    <mergeCell ref="D1843:E1843"/>
    <mergeCell ref="D1896:E1896"/>
    <mergeCell ref="D1897:L1897"/>
    <mergeCell ref="D1900:E1900"/>
    <mergeCell ref="D1904:E1904"/>
    <mergeCell ref="D1906:E1906"/>
    <mergeCell ref="D1888:L1888"/>
    <mergeCell ref="D1890:E1890"/>
    <mergeCell ref="D1891:L1891"/>
    <mergeCell ref="D1893:E1893"/>
    <mergeCell ref="D1894:L1894"/>
    <mergeCell ref="D1881:E1881"/>
    <mergeCell ref="D1882:L1882"/>
    <mergeCell ref="D1884:E1884"/>
    <mergeCell ref="D1885:L1885"/>
    <mergeCell ref="D1887:E1887"/>
    <mergeCell ref="D1871:E1871"/>
    <mergeCell ref="D1873:E1873"/>
    <mergeCell ref="D1875:E1875"/>
    <mergeCell ref="D1877:E1877"/>
    <mergeCell ref="D1879:E1879"/>
    <mergeCell ref="D1940:E1940"/>
    <mergeCell ref="D1942:E1942"/>
    <mergeCell ref="D1944:E1944"/>
    <mergeCell ref="D1945:L1945"/>
    <mergeCell ref="D1947:E1947"/>
    <mergeCell ref="D1930:E1930"/>
    <mergeCell ref="D1932:E1932"/>
    <mergeCell ref="D1933:E1933"/>
    <mergeCell ref="D1935:E1935"/>
    <mergeCell ref="D1938:E1938"/>
    <mergeCell ref="D1920:E1920"/>
    <mergeCell ref="D1922:E1922"/>
    <mergeCell ref="D1924:E1924"/>
    <mergeCell ref="D1926:E1926"/>
    <mergeCell ref="D1928:E1928"/>
    <mergeCell ref="D1910:E1910"/>
    <mergeCell ref="D1912:E1912"/>
    <mergeCell ref="D1914:E1914"/>
    <mergeCell ref="D1916:E1916"/>
    <mergeCell ref="D1918:E1918"/>
    <mergeCell ref="D1968:L1968"/>
    <mergeCell ref="D1969:E1969"/>
    <mergeCell ref="D1970:L1970"/>
    <mergeCell ref="D1971:E1971"/>
    <mergeCell ref="D1972:L1972"/>
    <mergeCell ref="D1963:E1963"/>
    <mergeCell ref="D1964:E1964"/>
    <mergeCell ref="D1965:E1965"/>
    <mergeCell ref="D1966:E1966"/>
    <mergeCell ref="D1967:E1967"/>
    <mergeCell ref="D1956:E1956"/>
    <mergeCell ref="D1958:E1958"/>
    <mergeCell ref="D1960:E1960"/>
    <mergeCell ref="D1961:E1961"/>
    <mergeCell ref="D1962:L1962"/>
    <mergeCell ref="D1948:E1948"/>
    <mergeCell ref="D1950:E1950"/>
    <mergeCell ref="D1952:E1952"/>
    <mergeCell ref="D1953:E1953"/>
    <mergeCell ref="D1954:L1954"/>
    <mergeCell ref="D1992:L1992"/>
    <mergeCell ref="D1994:E1994"/>
    <mergeCell ref="D1995:L1995"/>
    <mergeCell ref="D1998:E1998"/>
    <mergeCell ref="D2000:E2000"/>
    <mergeCell ref="D1984:E1984"/>
    <mergeCell ref="D1985:L1985"/>
    <mergeCell ref="D1988:E1988"/>
    <mergeCell ref="D1989:L1989"/>
    <mergeCell ref="D1991:E1991"/>
    <mergeCell ref="D1978:L1978"/>
    <mergeCell ref="D1979:E1979"/>
    <mergeCell ref="D1980:L1980"/>
    <mergeCell ref="D1981:E1981"/>
    <mergeCell ref="D1982:E1982"/>
    <mergeCell ref="D1973:E1973"/>
    <mergeCell ref="D1974:L1974"/>
    <mergeCell ref="D1975:E1975"/>
    <mergeCell ref="D1976:L1976"/>
    <mergeCell ref="D1977:E1977"/>
    <mergeCell ref="D2023:L2023"/>
    <mergeCell ref="D2027:E2027"/>
    <mergeCell ref="D2029:E2029"/>
    <mergeCell ref="D2031:E2031"/>
    <mergeCell ref="D2033:E2033"/>
    <mergeCell ref="D2014:E2014"/>
    <mergeCell ref="D2016:E2016"/>
    <mergeCell ref="D2019:E2019"/>
    <mergeCell ref="D2020:L2020"/>
    <mergeCell ref="D2022:E2022"/>
    <mergeCell ref="D2008:E2008"/>
    <mergeCell ref="D2010:E2010"/>
    <mergeCell ref="D2011:E2011"/>
    <mergeCell ref="D2012:E2012"/>
    <mergeCell ref="D2013:E2013"/>
    <mergeCell ref="D2001:E2001"/>
    <mergeCell ref="D2003:E2003"/>
    <mergeCell ref="D2004:E2004"/>
    <mergeCell ref="D2005:L2005"/>
    <mergeCell ref="D2007:E2007"/>
    <mergeCell ref="D2061:E2061"/>
    <mergeCell ref="D2062:L2062"/>
    <mergeCell ref="A2066:L2066"/>
    <mergeCell ref="D2053:E2053"/>
    <mergeCell ref="D2054:L2054"/>
    <mergeCell ref="D2056:E2056"/>
    <mergeCell ref="D2057:E2057"/>
    <mergeCell ref="D2059:E2059"/>
    <mergeCell ref="D2047:E2047"/>
    <mergeCell ref="D2048:E2048"/>
    <mergeCell ref="D2049:E2049"/>
    <mergeCell ref="D2050:L2050"/>
    <mergeCell ref="D2052:E2052"/>
    <mergeCell ref="D2034:L2034"/>
    <mergeCell ref="D2037:E2037"/>
    <mergeCell ref="D2042:E2042"/>
    <mergeCell ref="D2044:E2044"/>
    <mergeCell ref="D2046:E2046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workbookViewId="0" topLeftCell="A1">
      <pane ySplit="11" topLeftCell="A18" activePane="bottomLeft" state="frozen"/>
      <selection pane="bottomLeft" activeCell="R17" sqref="R17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189" t="s">
        <v>3775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4.4">
      <c r="A2" s="190" t="s">
        <v>1</v>
      </c>
      <c r="B2" s="191"/>
      <c r="C2" s="191"/>
      <c r="D2" s="196" t="str">
        <f>'Stavební rozpočet-vyplnit'!D2</f>
        <v>Vybudování edukačního centra a digit.pracoviště v Městské knihovně T.G.Masaryka Šumperk</v>
      </c>
      <c r="E2" s="197"/>
      <c r="F2" s="197"/>
      <c r="G2" s="187" t="s">
        <v>78</v>
      </c>
      <c r="H2" s="187" t="str">
        <f>'Stavební rozpočet-vyplnit'!H2</f>
        <v xml:space="preserve"> </v>
      </c>
      <c r="I2" s="187" t="s">
        <v>2</v>
      </c>
      <c r="J2" s="187" t="str">
        <f>'Stavební rozpočet-vyplnit'!J2</f>
        <v>Město Šumperk</v>
      </c>
      <c r="K2" s="191"/>
      <c r="L2" s="193"/>
    </row>
    <row r="3" spans="1:12" ht="15" customHeight="1">
      <c r="A3" s="192"/>
      <c r="B3" s="148"/>
      <c r="C3" s="148"/>
      <c r="D3" s="198"/>
      <c r="E3" s="198"/>
      <c r="F3" s="198"/>
      <c r="G3" s="148"/>
      <c r="H3" s="148"/>
      <c r="I3" s="148"/>
      <c r="J3" s="148"/>
      <c r="K3" s="148"/>
      <c r="L3" s="194"/>
    </row>
    <row r="4" spans="1:12" ht="14.4">
      <c r="A4" s="185" t="s">
        <v>5</v>
      </c>
      <c r="B4" s="148"/>
      <c r="C4" s="148"/>
      <c r="D4" s="147" t="str">
        <f>'Stavební rozpočet-vyplnit'!D4</f>
        <v>Stavební úpravy, nástavba</v>
      </c>
      <c r="E4" s="148"/>
      <c r="F4" s="148"/>
      <c r="G4" s="147" t="s">
        <v>9</v>
      </c>
      <c r="H4" s="147" t="str">
        <f>'Stavební rozpočet-vyplnit'!H4</f>
        <v xml:space="preserve"> </v>
      </c>
      <c r="I4" s="147" t="s">
        <v>6</v>
      </c>
      <c r="J4" s="147" t="str">
        <f>'Stavební rozpočet-vyplnit'!J4</f>
        <v>Ing.Ladislav Trčka - PROINK</v>
      </c>
      <c r="K4" s="148"/>
      <c r="L4" s="194"/>
    </row>
    <row r="5" spans="1:12" ht="15" customHeight="1">
      <c r="A5" s="192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94"/>
    </row>
    <row r="6" spans="1:12" ht="14.4">
      <c r="A6" s="185" t="s">
        <v>7</v>
      </c>
      <c r="B6" s="148"/>
      <c r="C6" s="148"/>
      <c r="D6" s="147" t="str">
        <f>'Stavební rozpočet-vyplnit'!D6</f>
        <v>Šumperk</v>
      </c>
      <c r="E6" s="148"/>
      <c r="F6" s="148"/>
      <c r="G6" s="147" t="s">
        <v>10</v>
      </c>
      <c r="H6" s="147" t="str">
        <f>'Stavební rozpočet-vyplnit'!H6</f>
        <v xml:space="preserve"> </v>
      </c>
      <c r="I6" s="147" t="s">
        <v>8</v>
      </c>
      <c r="J6" s="147">
        <f>'Stavební rozpočet-vyplnit'!J6</f>
        <v>0</v>
      </c>
      <c r="K6" s="148"/>
      <c r="L6" s="194"/>
    </row>
    <row r="7" spans="1:12" ht="15" customHeight="1">
      <c r="A7" s="192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94"/>
    </row>
    <row r="8" spans="1:12" ht="14.4">
      <c r="A8" s="185" t="s">
        <v>12</v>
      </c>
      <c r="B8" s="148"/>
      <c r="C8" s="148"/>
      <c r="D8" s="147" t="str">
        <f>'Stavební rozpočet-vyplnit'!D8</f>
        <v>8014614</v>
      </c>
      <c r="E8" s="148"/>
      <c r="F8" s="148"/>
      <c r="G8" s="147" t="s">
        <v>85</v>
      </c>
      <c r="H8" s="147">
        <f>'Stavební rozpočet-vyplnit'!H8</f>
        <v>0</v>
      </c>
      <c r="I8" s="147" t="s">
        <v>13</v>
      </c>
      <c r="J8" s="147">
        <f>'Stavební rozpočet-vyplnit'!J8</f>
        <v>0</v>
      </c>
      <c r="K8" s="148"/>
      <c r="L8" s="194"/>
    </row>
    <row r="9" spans="1:12" ht="14.4">
      <c r="A9" s="251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5"/>
    </row>
    <row r="10" spans="1:12" ht="14.4">
      <c r="A10" s="115" t="s">
        <v>79</v>
      </c>
      <c r="B10" s="116" t="s">
        <v>79</v>
      </c>
      <c r="C10" s="256" t="s">
        <v>79</v>
      </c>
      <c r="D10" s="257"/>
      <c r="E10" s="257"/>
      <c r="F10" s="257"/>
      <c r="G10" s="257"/>
      <c r="H10" s="257"/>
      <c r="I10" s="257"/>
      <c r="J10" s="258"/>
      <c r="K10" s="32" t="s">
        <v>93</v>
      </c>
      <c r="L10" s="117" t="s">
        <v>94</v>
      </c>
    </row>
    <row r="11" spans="1:12" ht="14.4">
      <c r="A11" s="118" t="s">
        <v>87</v>
      </c>
      <c r="B11" s="119" t="s">
        <v>88</v>
      </c>
      <c r="C11" s="236" t="s">
        <v>89</v>
      </c>
      <c r="D11" s="253"/>
      <c r="E11" s="253"/>
      <c r="F11" s="253"/>
      <c r="G11" s="253"/>
      <c r="H11" s="253"/>
      <c r="I11" s="253"/>
      <c r="J11" s="237"/>
      <c r="K11" s="39" t="s">
        <v>101</v>
      </c>
      <c r="L11" s="120" t="s">
        <v>101</v>
      </c>
    </row>
    <row r="12" spans="1:16" ht="14.4">
      <c r="A12" s="131" t="s">
        <v>116</v>
      </c>
      <c r="B12" s="132" t="s">
        <v>4</v>
      </c>
      <c r="C12" s="254" t="s">
        <v>117</v>
      </c>
      <c r="D12" s="254"/>
      <c r="E12" s="254"/>
      <c r="F12" s="254"/>
      <c r="G12" s="254"/>
      <c r="H12" s="254"/>
      <c r="I12" s="254"/>
      <c r="J12" s="254"/>
      <c r="K12" s="133"/>
      <c r="L12" s="134"/>
      <c r="M12" s="125" t="s">
        <v>3772</v>
      </c>
      <c r="N12" s="55">
        <f aca="true" t="shared" si="0" ref="N12:N43">IF(M12="F",0,K12)</f>
        <v>0</v>
      </c>
      <c r="O12" s="2" t="s">
        <v>116</v>
      </c>
      <c r="P12" s="55">
        <f aca="true" t="shared" si="1" ref="P12:P43">IF(M12="T",0,K12)</f>
        <v>0</v>
      </c>
    </row>
    <row r="13" spans="1:16" ht="14.4">
      <c r="A13" s="1" t="s">
        <v>116</v>
      </c>
      <c r="B13" s="2" t="s">
        <v>118</v>
      </c>
      <c r="C13" s="148" t="s">
        <v>119</v>
      </c>
      <c r="D13" s="148"/>
      <c r="E13" s="148"/>
      <c r="F13" s="148"/>
      <c r="G13" s="148"/>
      <c r="H13" s="148"/>
      <c r="I13" s="148"/>
      <c r="J13" s="148"/>
      <c r="K13" s="55">
        <f>'Stavební rozpočet-vyplnit'!I13</f>
        <v>0</v>
      </c>
      <c r="L13" s="126">
        <f>'Stavební rozpočet-vyplnit'!K13</f>
        <v>0</v>
      </c>
      <c r="M13" s="125" t="s">
        <v>3773</v>
      </c>
      <c r="N13" s="55">
        <f t="shared" si="0"/>
        <v>0</v>
      </c>
      <c r="O13" s="2" t="s">
        <v>116</v>
      </c>
      <c r="P13" s="55">
        <f t="shared" si="1"/>
        <v>0</v>
      </c>
    </row>
    <row r="14" spans="1:16" ht="14.4">
      <c r="A14" s="1" t="s">
        <v>116</v>
      </c>
      <c r="B14" s="2" t="s">
        <v>355</v>
      </c>
      <c r="C14" s="148" t="s">
        <v>356</v>
      </c>
      <c r="D14" s="148"/>
      <c r="E14" s="148"/>
      <c r="F14" s="148"/>
      <c r="G14" s="148"/>
      <c r="H14" s="148"/>
      <c r="I14" s="148"/>
      <c r="J14" s="148"/>
      <c r="K14" s="55">
        <f>'Stavební rozpočet-vyplnit'!I153</f>
        <v>0</v>
      </c>
      <c r="L14" s="126">
        <f>'Stavební rozpočet-vyplnit'!K153</f>
        <v>0</v>
      </c>
      <c r="M14" s="125" t="s">
        <v>3773</v>
      </c>
      <c r="N14" s="55">
        <f t="shared" si="0"/>
        <v>0</v>
      </c>
      <c r="O14" s="2" t="s">
        <v>116</v>
      </c>
      <c r="P14" s="55">
        <f t="shared" si="1"/>
        <v>0</v>
      </c>
    </row>
    <row r="15" spans="1:16" ht="14.4">
      <c r="A15" s="1" t="s">
        <v>116</v>
      </c>
      <c r="B15" s="2" t="s">
        <v>369</v>
      </c>
      <c r="C15" s="148" t="s">
        <v>370</v>
      </c>
      <c r="D15" s="148"/>
      <c r="E15" s="148"/>
      <c r="F15" s="148"/>
      <c r="G15" s="148"/>
      <c r="H15" s="148"/>
      <c r="I15" s="148"/>
      <c r="J15" s="148"/>
      <c r="K15" s="55">
        <f>'Stavební rozpočet-vyplnit'!I157</f>
        <v>0</v>
      </c>
      <c r="L15" s="126">
        <f>'Stavební rozpočet-vyplnit'!K157</f>
        <v>0</v>
      </c>
      <c r="M15" s="125" t="s">
        <v>3773</v>
      </c>
      <c r="N15" s="55">
        <f t="shared" si="0"/>
        <v>0</v>
      </c>
      <c r="O15" s="2" t="s">
        <v>116</v>
      </c>
      <c r="P15" s="55">
        <f t="shared" si="1"/>
        <v>0</v>
      </c>
    </row>
    <row r="16" spans="1:16" ht="14.4">
      <c r="A16" s="1" t="s">
        <v>116</v>
      </c>
      <c r="B16" s="2" t="s">
        <v>437</v>
      </c>
      <c r="C16" s="148" t="s">
        <v>438</v>
      </c>
      <c r="D16" s="148"/>
      <c r="E16" s="148"/>
      <c r="F16" s="148"/>
      <c r="G16" s="148"/>
      <c r="H16" s="148"/>
      <c r="I16" s="148"/>
      <c r="J16" s="148"/>
      <c r="K16" s="55">
        <f>'Stavební rozpočet-vyplnit'!I179</f>
        <v>0</v>
      </c>
      <c r="L16" s="126">
        <f>'Stavební rozpočet-vyplnit'!K179</f>
        <v>0</v>
      </c>
      <c r="M16" s="125" t="s">
        <v>3773</v>
      </c>
      <c r="N16" s="55">
        <f t="shared" si="0"/>
        <v>0</v>
      </c>
      <c r="O16" s="2" t="s">
        <v>116</v>
      </c>
      <c r="P16" s="55">
        <f t="shared" si="1"/>
        <v>0</v>
      </c>
    </row>
    <row r="17" spans="1:16" ht="14.4">
      <c r="A17" s="1" t="s">
        <v>116</v>
      </c>
      <c r="B17" s="2" t="s">
        <v>598</v>
      </c>
      <c r="C17" s="148" t="s">
        <v>599</v>
      </c>
      <c r="D17" s="148"/>
      <c r="E17" s="148"/>
      <c r="F17" s="148"/>
      <c r="G17" s="148"/>
      <c r="H17" s="148"/>
      <c r="I17" s="148"/>
      <c r="J17" s="148"/>
      <c r="K17" s="55">
        <f>'Stavební rozpočet-vyplnit'!I249</f>
        <v>0</v>
      </c>
      <c r="L17" s="126">
        <f>'Stavební rozpočet-vyplnit'!K249</f>
        <v>0</v>
      </c>
      <c r="M17" s="125" t="s">
        <v>3773</v>
      </c>
      <c r="N17" s="55">
        <f t="shared" si="0"/>
        <v>0</v>
      </c>
      <c r="O17" s="2" t="s">
        <v>116</v>
      </c>
      <c r="P17" s="55">
        <f t="shared" si="1"/>
        <v>0</v>
      </c>
    </row>
    <row r="18" spans="1:16" ht="14.4">
      <c r="A18" s="1" t="s">
        <v>116</v>
      </c>
      <c r="B18" s="2" t="s">
        <v>665</v>
      </c>
      <c r="C18" s="148" t="s">
        <v>666</v>
      </c>
      <c r="D18" s="148"/>
      <c r="E18" s="148"/>
      <c r="F18" s="148"/>
      <c r="G18" s="148"/>
      <c r="H18" s="148"/>
      <c r="I18" s="148"/>
      <c r="J18" s="148"/>
      <c r="K18" s="55">
        <f>'Stavební rozpočet-vyplnit'!I289</f>
        <v>0</v>
      </c>
      <c r="L18" s="126">
        <f>'Stavební rozpočet-vyplnit'!K289</f>
        <v>0</v>
      </c>
      <c r="M18" s="125" t="s">
        <v>3773</v>
      </c>
      <c r="N18" s="55">
        <f t="shared" si="0"/>
        <v>0</v>
      </c>
      <c r="O18" s="2" t="s">
        <v>116</v>
      </c>
      <c r="P18" s="55">
        <f t="shared" si="1"/>
        <v>0</v>
      </c>
    </row>
    <row r="19" spans="1:16" ht="14.4">
      <c r="A19" s="1" t="s">
        <v>116</v>
      </c>
      <c r="B19" s="2" t="s">
        <v>743</v>
      </c>
      <c r="C19" s="148" t="s">
        <v>744</v>
      </c>
      <c r="D19" s="148"/>
      <c r="E19" s="148"/>
      <c r="F19" s="148"/>
      <c r="G19" s="148"/>
      <c r="H19" s="148"/>
      <c r="I19" s="148"/>
      <c r="J19" s="148"/>
      <c r="K19" s="55">
        <f>'Stavební rozpočet-vyplnit'!I335</f>
        <v>0</v>
      </c>
      <c r="L19" s="126">
        <f>'Stavební rozpočet-vyplnit'!K335</f>
        <v>0</v>
      </c>
      <c r="M19" s="125" t="s">
        <v>3773</v>
      </c>
      <c r="N19" s="55">
        <f t="shared" si="0"/>
        <v>0</v>
      </c>
      <c r="O19" s="2" t="s">
        <v>116</v>
      </c>
      <c r="P19" s="55">
        <f t="shared" si="1"/>
        <v>0</v>
      </c>
    </row>
    <row r="20" spans="1:16" ht="14.4">
      <c r="A20" s="1" t="s">
        <v>116</v>
      </c>
      <c r="B20" s="2" t="s">
        <v>217</v>
      </c>
      <c r="C20" s="148" t="s">
        <v>781</v>
      </c>
      <c r="D20" s="148"/>
      <c r="E20" s="148"/>
      <c r="F20" s="148"/>
      <c r="G20" s="148"/>
      <c r="H20" s="148"/>
      <c r="I20" s="148"/>
      <c r="J20" s="148"/>
      <c r="K20" s="55">
        <f>'Stavební rozpočet-vyplnit'!I356</f>
        <v>0</v>
      </c>
      <c r="L20" s="126">
        <f>'Stavební rozpočet-vyplnit'!K356</f>
        <v>2.9924122000000004</v>
      </c>
      <c r="M20" s="125" t="s">
        <v>3773</v>
      </c>
      <c r="N20" s="55">
        <f t="shared" si="0"/>
        <v>0</v>
      </c>
      <c r="O20" s="2" t="s">
        <v>116</v>
      </c>
      <c r="P20" s="55">
        <f t="shared" si="1"/>
        <v>0</v>
      </c>
    </row>
    <row r="21" spans="1:16" ht="14.4">
      <c r="A21" s="1" t="s">
        <v>116</v>
      </c>
      <c r="B21" s="2" t="s">
        <v>223</v>
      </c>
      <c r="C21" s="148" t="s">
        <v>800</v>
      </c>
      <c r="D21" s="148"/>
      <c r="E21" s="148"/>
      <c r="F21" s="148"/>
      <c r="G21" s="148"/>
      <c r="H21" s="148"/>
      <c r="I21" s="148"/>
      <c r="J21" s="148"/>
      <c r="K21" s="55">
        <f>'Stavební rozpočet-vyplnit'!I365</f>
        <v>0</v>
      </c>
      <c r="L21" s="126">
        <f>'Stavební rozpočet-vyplnit'!K365</f>
        <v>0.7048734</v>
      </c>
      <c r="M21" s="125" t="s">
        <v>3773</v>
      </c>
      <c r="N21" s="55">
        <f t="shared" si="0"/>
        <v>0</v>
      </c>
      <c r="O21" s="2" t="s">
        <v>116</v>
      </c>
      <c r="P21" s="55">
        <f t="shared" si="1"/>
        <v>0</v>
      </c>
    </row>
    <row r="22" spans="1:16" ht="14.4">
      <c r="A22" s="1" t="s">
        <v>116</v>
      </c>
      <c r="B22" s="2" t="s">
        <v>226</v>
      </c>
      <c r="C22" s="148" t="s">
        <v>809</v>
      </c>
      <c r="D22" s="148"/>
      <c r="E22" s="148"/>
      <c r="F22" s="148"/>
      <c r="G22" s="148"/>
      <c r="H22" s="148"/>
      <c r="I22" s="148"/>
      <c r="J22" s="148"/>
      <c r="K22" s="55">
        <f>'Stavební rozpočet-vyplnit'!I369</f>
        <v>0</v>
      </c>
      <c r="L22" s="126">
        <f>'Stavební rozpočet-vyplnit'!K369</f>
        <v>32.4302842</v>
      </c>
      <c r="M22" s="125" t="s">
        <v>3773</v>
      </c>
      <c r="N22" s="55">
        <f t="shared" si="0"/>
        <v>0</v>
      </c>
      <c r="O22" s="2" t="s">
        <v>116</v>
      </c>
      <c r="P22" s="55">
        <f t="shared" si="1"/>
        <v>0</v>
      </c>
    </row>
    <row r="23" spans="1:16" ht="14.4">
      <c r="A23" s="1" t="s">
        <v>116</v>
      </c>
      <c r="B23" s="2" t="s">
        <v>247</v>
      </c>
      <c r="C23" s="148" t="s">
        <v>921</v>
      </c>
      <c r="D23" s="148"/>
      <c r="E23" s="148"/>
      <c r="F23" s="148"/>
      <c r="G23" s="148"/>
      <c r="H23" s="148"/>
      <c r="I23" s="148"/>
      <c r="J23" s="148"/>
      <c r="K23" s="55">
        <f>'Stavební rozpočet-vyplnit'!I440</f>
        <v>0</v>
      </c>
      <c r="L23" s="126">
        <f>'Stavební rozpočet-vyplnit'!K440</f>
        <v>3.7564425000000004</v>
      </c>
      <c r="M23" s="125" t="s">
        <v>3773</v>
      </c>
      <c r="N23" s="55">
        <f t="shared" si="0"/>
        <v>0</v>
      </c>
      <c r="O23" s="2" t="s">
        <v>116</v>
      </c>
      <c r="P23" s="55">
        <f t="shared" si="1"/>
        <v>0</v>
      </c>
    </row>
    <row r="24" spans="1:16" ht="14.4">
      <c r="A24" s="1" t="s">
        <v>116</v>
      </c>
      <c r="B24" s="2" t="s">
        <v>313</v>
      </c>
      <c r="C24" s="148" t="s">
        <v>942</v>
      </c>
      <c r="D24" s="148"/>
      <c r="E24" s="148"/>
      <c r="F24" s="148"/>
      <c r="G24" s="148"/>
      <c r="H24" s="148"/>
      <c r="I24" s="148"/>
      <c r="J24" s="148"/>
      <c r="K24" s="55">
        <f>'Stavební rozpočet-vyplnit'!I450</f>
        <v>0</v>
      </c>
      <c r="L24" s="126">
        <f>'Stavební rozpočet-vyplnit'!K450</f>
        <v>0.43514900000000006</v>
      </c>
      <c r="M24" s="125" t="s">
        <v>3773</v>
      </c>
      <c r="N24" s="55">
        <f t="shared" si="0"/>
        <v>0</v>
      </c>
      <c r="O24" s="2" t="s">
        <v>116</v>
      </c>
      <c r="P24" s="55">
        <f t="shared" si="1"/>
        <v>0</v>
      </c>
    </row>
    <row r="25" spans="1:16" ht="14.4">
      <c r="A25" s="1" t="s">
        <v>116</v>
      </c>
      <c r="B25" s="2" t="s">
        <v>316</v>
      </c>
      <c r="C25" s="148" t="s">
        <v>957</v>
      </c>
      <c r="D25" s="148"/>
      <c r="E25" s="148"/>
      <c r="F25" s="148"/>
      <c r="G25" s="148"/>
      <c r="H25" s="148"/>
      <c r="I25" s="148"/>
      <c r="J25" s="148"/>
      <c r="K25" s="55">
        <f>'Stavební rozpočet-vyplnit'!I459</f>
        <v>0</v>
      </c>
      <c r="L25" s="126">
        <f>'Stavební rozpočet-vyplnit'!K459</f>
        <v>0.0590361</v>
      </c>
      <c r="M25" s="125" t="s">
        <v>3773</v>
      </c>
      <c r="N25" s="55">
        <f t="shared" si="0"/>
        <v>0</v>
      </c>
      <c r="O25" s="2" t="s">
        <v>116</v>
      </c>
      <c r="P25" s="55">
        <f t="shared" si="1"/>
        <v>0</v>
      </c>
    </row>
    <row r="26" spans="1:16" ht="14.4">
      <c r="A26" s="1" t="s">
        <v>116</v>
      </c>
      <c r="B26" s="2" t="s">
        <v>319</v>
      </c>
      <c r="C26" s="148" t="s">
        <v>994</v>
      </c>
      <c r="D26" s="148"/>
      <c r="E26" s="148"/>
      <c r="F26" s="148"/>
      <c r="G26" s="148"/>
      <c r="H26" s="148"/>
      <c r="I26" s="148"/>
      <c r="J26" s="148"/>
      <c r="K26" s="55">
        <f>'Stavební rozpočet-vyplnit'!I481</f>
        <v>0</v>
      </c>
      <c r="L26" s="126">
        <f>'Stavební rozpočet-vyplnit'!K481</f>
        <v>16.455831500000002</v>
      </c>
      <c r="M26" s="125" t="s">
        <v>3773</v>
      </c>
      <c r="N26" s="55">
        <f t="shared" si="0"/>
        <v>0</v>
      </c>
      <c r="O26" s="2" t="s">
        <v>116</v>
      </c>
      <c r="P26" s="55">
        <f t="shared" si="1"/>
        <v>0</v>
      </c>
    </row>
    <row r="27" spans="1:16" ht="14.4">
      <c r="A27" s="1" t="s">
        <v>116</v>
      </c>
      <c r="B27" s="2" t="s">
        <v>322</v>
      </c>
      <c r="C27" s="148" t="s">
        <v>1029</v>
      </c>
      <c r="D27" s="148"/>
      <c r="E27" s="148"/>
      <c r="F27" s="148"/>
      <c r="G27" s="148"/>
      <c r="H27" s="148"/>
      <c r="I27" s="148"/>
      <c r="J27" s="148"/>
      <c r="K27" s="55">
        <f>'Stavební rozpočet-vyplnit'!I500</f>
        <v>0</v>
      </c>
      <c r="L27" s="126">
        <f>'Stavební rozpočet-vyplnit'!K500</f>
        <v>0.49733000000000005</v>
      </c>
      <c r="M27" s="125" t="s">
        <v>3773</v>
      </c>
      <c r="N27" s="55">
        <f t="shared" si="0"/>
        <v>0</v>
      </c>
      <c r="O27" s="2" t="s">
        <v>116</v>
      </c>
      <c r="P27" s="55">
        <f t="shared" si="1"/>
        <v>0</v>
      </c>
    </row>
    <row r="28" spans="1:16" ht="14.4">
      <c r="A28" s="1" t="s">
        <v>116</v>
      </c>
      <c r="B28" s="2" t="s">
        <v>1062</v>
      </c>
      <c r="C28" s="148" t="s">
        <v>1063</v>
      </c>
      <c r="D28" s="148"/>
      <c r="E28" s="148"/>
      <c r="F28" s="148"/>
      <c r="G28" s="148"/>
      <c r="H28" s="148"/>
      <c r="I28" s="148"/>
      <c r="J28" s="148"/>
      <c r="K28" s="55">
        <f>'Stavební rozpočet-vyplnit'!I521</f>
        <v>0</v>
      </c>
      <c r="L28" s="126">
        <f>'Stavební rozpočet-vyplnit'!K521</f>
        <v>0.035131</v>
      </c>
      <c r="M28" s="125" t="s">
        <v>3773</v>
      </c>
      <c r="N28" s="55">
        <f t="shared" si="0"/>
        <v>0</v>
      </c>
      <c r="O28" s="2" t="s">
        <v>116</v>
      </c>
      <c r="P28" s="55">
        <f t="shared" si="1"/>
        <v>0</v>
      </c>
    </row>
    <row r="29" spans="1:16" ht="14.4">
      <c r="A29" s="1" t="s">
        <v>116</v>
      </c>
      <c r="B29" s="2" t="s">
        <v>1091</v>
      </c>
      <c r="C29" s="148" t="s">
        <v>1092</v>
      </c>
      <c r="D29" s="148"/>
      <c r="E29" s="148"/>
      <c r="F29" s="148"/>
      <c r="G29" s="148"/>
      <c r="H29" s="148"/>
      <c r="I29" s="148"/>
      <c r="J29" s="148"/>
      <c r="K29" s="55">
        <f>'Stavební rozpočet-vyplnit'!I538</f>
        <v>0</v>
      </c>
      <c r="L29" s="126">
        <f>'Stavební rozpočet-vyplnit'!K538</f>
        <v>4.640213000000001</v>
      </c>
      <c r="M29" s="125" t="s">
        <v>3773</v>
      </c>
      <c r="N29" s="55">
        <f t="shared" si="0"/>
        <v>0</v>
      </c>
      <c r="O29" s="2" t="s">
        <v>116</v>
      </c>
      <c r="P29" s="55">
        <f t="shared" si="1"/>
        <v>0</v>
      </c>
    </row>
    <row r="30" spans="1:16" ht="14.4">
      <c r="A30" s="1" t="s">
        <v>116</v>
      </c>
      <c r="B30" s="2" t="s">
        <v>1307</v>
      </c>
      <c r="C30" s="148" t="s">
        <v>1308</v>
      </c>
      <c r="D30" s="148"/>
      <c r="E30" s="148"/>
      <c r="F30" s="148"/>
      <c r="G30" s="148"/>
      <c r="H30" s="148"/>
      <c r="I30" s="148"/>
      <c r="J30" s="148"/>
      <c r="K30" s="55">
        <f>'Stavební rozpočet-vyplnit'!I671</f>
        <v>0</v>
      </c>
      <c r="L30" s="126">
        <f>'Stavební rozpočet-vyplnit'!K671</f>
        <v>0</v>
      </c>
      <c r="M30" s="125" t="s">
        <v>3773</v>
      </c>
      <c r="N30" s="55">
        <f t="shared" si="0"/>
        <v>0</v>
      </c>
      <c r="O30" s="2" t="s">
        <v>116</v>
      </c>
      <c r="P30" s="55">
        <f t="shared" si="1"/>
        <v>0</v>
      </c>
    </row>
    <row r="31" spans="1:16" ht="14.4">
      <c r="A31" s="1" t="s">
        <v>116</v>
      </c>
      <c r="B31" s="2" t="s">
        <v>1321</v>
      </c>
      <c r="C31" s="148" t="s">
        <v>1322</v>
      </c>
      <c r="D31" s="148"/>
      <c r="E31" s="148"/>
      <c r="F31" s="148"/>
      <c r="G31" s="148"/>
      <c r="H31" s="148"/>
      <c r="I31" s="148"/>
      <c r="J31" s="148"/>
      <c r="K31" s="55">
        <f>'Stavební rozpočet-vyplnit'!I676</f>
        <v>0</v>
      </c>
      <c r="L31" s="126">
        <f>'Stavební rozpočet-vyplnit'!K676</f>
        <v>0</v>
      </c>
      <c r="M31" s="125" t="s">
        <v>3773</v>
      </c>
      <c r="N31" s="55">
        <f t="shared" si="0"/>
        <v>0</v>
      </c>
      <c r="O31" s="2" t="s">
        <v>116</v>
      </c>
      <c r="P31" s="55">
        <f t="shared" si="1"/>
        <v>0</v>
      </c>
    </row>
    <row r="32" spans="1:16" ht="14.4">
      <c r="A32" s="1" t="s">
        <v>116</v>
      </c>
      <c r="B32" s="2" t="s">
        <v>1369</v>
      </c>
      <c r="C32" s="148" t="s">
        <v>1370</v>
      </c>
      <c r="D32" s="148"/>
      <c r="E32" s="148"/>
      <c r="F32" s="148"/>
      <c r="G32" s="148"/>
      <c r="H32" s="148"/>
      <c r="I32" s="148"/>
      <c r="J32" s="148"/>
      <c r="K32" s="55">
        <f>'Stavební rozpočet-vyplnit'!I692</f>
        <v>0</v>
      </c>
      <c r="L32" s="126">
        <f>'Stavební rozpočet-vyplnit'!K692</f>
        <v>0</v>
      </c>
      <c r="M32" s="125" t="s">
        <v>3773</v>
      </c>
      <c r="N32" s="55">
        <f t="shared" si="0"/>
        <v>0</v>
      </c>
      <c r="O32" s="2" t="s">
        <v>116</v>
      </c>
      <c r="P32" s="55">
        <f t="shared" si="1"/>
        <v>0</v>
      </c>
    </row>
    <row r="33" spans="1:16" ht="14.4">
      <c r="A33" s="1" t="s">
        <v>116</v>
      </c>
      <c r="B33" s="2" t="s">
        <v>1440</v>
      </c>
      <c r="C33" s="148" t="s">
        <v>1441</v>
      </c>
      <c r="D33" s="148"/>
      <c r="E33" s="148"/>
      <c r="F33" s="148"/>
      <c r="G33" s="148"/>
      <c r="H33" s="148"/>
      <c r="I33" s="148"/>
      <c r="J33" s="148"/>
      <c r="K33" s="55">
        <f>'Stavební rozpočet-vyplnit'!I715</f>
        <v>0</v>
      </c>
      <c r="L33" s="126">
        <f>'Stavební rozpočet-vyplnit'!K715</f>
        <v>0</v>
      </c>
      <c r="M33" s="125" t="s">
        <v>3773</v>
      </c>
      <c r="N33" s="55">
        <f t="shared" si="0"/>
        <v>0</v>
      </c>
      <c r="O33" s="2" t="s">
        <v>116</v>
      </c>
      <c r="P33" s="55">
        <f t="shared" si="1"/>
        <v>0</v>
      </c>
    </row>
    <row r="34" spans="1:16" ht="14.4">
      <c r="A34" s="1" t="s">
        <v>116</v>
      </c>
      <c r="B34" s="2" t="s">
        <v>1446</v>
      </c>
      <c r="C34" s="148" t="s">
        <v>1447</v>
      </c>
      <c r="D34" s="148"/>
      <c r="E34" s="148"/>
      <c r="F34" s="148"/>
      <c r="G34" s="148"/>
      <c r="H34" s="148"/>
      <c r="I34" s="148"/>
      <c r="J34" s="148"/>
      <c r="K34" s="55">
        <f>'Stavební rozpočet-vyplnit'!I717</f>
        <v>0</v>
      </c>
      <c r="L34" s="126">
        <f>'Stavební rozpočet-vyplnit'!K717</f>
        <v>0</v>
      </c>
      <c r="M34" s="125" t="s">
        <v>3773</v>
      </c>
      <c r="N34" s="55">
        <f t="shared" si="0"/>
        <v>0</v>
      </c>
      <c r="O34" s="2" t="s">
        <v>116</v>
      </c>
      <c r="P34" s="55">
        <f t="shared" si="1"/>
        <v>0</v>
      </c>
    </row>
    <row r="35" spans="1:16" ht="14.4">
      <c r="A35" s="1" t="s">
        <v>116</v>
      </c>
      <c r="B35" s="2" t="s">
        <v>1485</v>
      </c>
      <c r="C35" s="148" t="s">
        <v>1486</v>
      </c>
      <c r="D35" s="148"/>
      <c r="E35" s="148"/>
      <c r="F35" s="148"/>
      <c r="G35" s="148"/>
      <c r="H35" s="148"/>
      <c r="I35" s="148"/>
      <c r="J35" s="148"/>
      <c r="K35" s="55">
        <f>'Stavební rozpočet-vyplnit'!I732</f>
        <v>0</v>
      </c>
      <c r="L35" s="126">
        <f>'Stavební rozpočet-vyplnit'!K732</f>
        <v>0.15999999999999998</v>
      </c>
      <c r="M35" s="125" t="s">
        <v>3773</v>
      </c>
      <c r="N35" s="55">
        <f t="shared" si="0"/>
        <v>0</v>
      </c>
      <c r="O35" s="2" t="s">
        <v>116</v>
      </c>
      <c r="P35" s="55">
        <f t="shared" si="1"/>
        <v>0</v>
      </c>
    </row>
    <row r="36" spans="1:16" ht="14.4">
      <c r="A36" s="1" t="s">
        <v>116</v>
      </c>
      <c r="B36" s="2" t="s">
        <v>1508</v>
      </c>
      <c r="C36" s="148" t="s">
        <v>370</v>
      </c>
      <c r="D36" s="148"/>
      <c r="E36" s="148"/>
      <c r="F36" s="148"/>
      <c r="G36" s="148"/>
      <c r="H36" s="148"/>
      <c r="I36" s="148"/>
      <c r="J36" s="148"/>
      <c r="K36" s="55">
        <f>'Stavební rozpočet-vyplnit'!I746</f>
        <v>0</v>
      </c>
      <c r="L36" s="126">
        <f>'Stavební rozpočet-vyplnit'!K746</f>
        <v>0.003</v>
      </c>
      <c r="M36" s="125" t="s">
        <v>3773</v>
      </c>
      <c r="N36" s="55">
        <f t="shared" si="0"/>
        <v>0</v>
      </c>
      <c r="O36" s="2" t="s">
        <v>116</v>
      </c>
      <c r="P36" s="55">
        <f t="shared" si="1"/>
        <v>0</v>
      </c>
    </row>
    <row r="37" spans="1:16" ht="14.4">
      <c r="A37" s="1" t="s">
        <v>116</v>
      </c>
      <c r="B37" s="2" t="s">
        <v>1521</v>
      </c>
      <c r="C37" s="148" t="s">
        <v>1522</v>
      </c>
      <c r="D37" s="148"/>
      <c r="E37" s="148"/>
      <c r="F37" s="148"/>
      <c r="G37" s="148"/>
      <c r="H37" s="148"/>
      <c r="I37" s="148"/>
      <c r="J37" s="148"/>
      <c r="K37" s="55">
        <f>'Stavební rozpočet-vyplnit'!I753</f>
        <v>0</v>
      </c>
      <c r="L37" s="126">
        <f>'Stavební rozpočet-vyplnit'!K753</f>
        <v>0</v>
      </c>
      <c r="M37" s="125" t="s">
        <v>3773</v>
      </c>
      <c r="N37" s="55">
        <f t="shared" si="0"/>
        <v>0</v>
      </c>
      <c r="O37" s="2" t="s">
        <v>116</v>
      </c>
      <c r="P37" s="55">
        <f t="shared" si="1"/>
        <v>0</v>
      </c>
    </row>
    <row r="38" spans="1:16" ht="14.4">
      <c r="A38" s="1" t="s">
        <v>116</v>
      </c>
      <c r="B38" s="2" t="s">
        <v>1532</v>
      </c>
      <c r="C38" s="148" t="s">
        <v>1533</v>
      </c>
      <c r="D38" s="148"/>
      <c r="E38" s="148"/>
      <c r="F38" s="148"/>
      <c r="G38" s="148"/>
      <c r="H38" s="148"/>
      <c r="I38" s="148"/>
      <c r="J38" s="148"/>
      <c r="K38" s="55">
        <f>'Stavební rozpočet-vyplnit'!I757</f>
        <v>0</v>
      </c>
      <c r="L38" s="126">
        <f>'Stavební rozpočet-vyplnit'!K757</f>
        <v>0.00288</v>
      </c>
      <c r="M38" s="125" t="s">
        <v>3773</v>
      </c>
      <c r="N38" s="55">
        <f t="shared" si="0"/>
        <v>0</v>
      </c>
      <c r="O38" s="2" t="s">
        <v>116</v>
      </c>
      <c r="P38" s="55">
        <f t="shared" si="1"/>
        <v>0</v>
      </c>
    </row>
    <row r="39" spans="1:16" ht="14.4">
      <c r="A39" s="1" t="s">
        <v>116</v>
      </c>
      <c r="B39" s="2" t="s">
        <v>1559</v>
      </c>
      <c r="C39" s="148" t="s">
        <v>1560</v>
      </c>
      <c r="D39" s="148"/>
      <c r="E39" s="148"/>
      <c r="F39" s="148"/>
      <c r="G39" s="148"/>
      <c r="H39" s="148"/>
      <c r="I39" s="148"/>
      <c r="J39" s="148"/>
      <c r="K39" s="55">
        <f>'Stavební rozpočet-vyplnit'!I766</f>
        <v>0</v>
      </c>
      <c r="L39" s="126">
        <f>'Stavební rozpočet-vyplnit'!K766</f>
        <v>0</v>
      </c>
      <c r="M39" s="125" t="s">
        <v>3773</v>
      </c>
      <c r="N39" s="55">
        <f t="shared" si="0"/>
        <v>0</v>
      </c>
      <c r="O39" s="2" t="s">
        <v>116</v>
      </c>
      <c r="P39" s="55">
        <f t="shared" si="1"/>
        <v>0</v>
      </c>
    </row>
    <row r="40" spans="1:16" ht="14.4">
      <c r="A40" s="1" t="s">
        <v>116</v>
      </c>
      <c r="B40" s="2" t="s">
        <v>1589</v>
      </c>
      <c r="C40" s="148" t="s">
        <v>1590</v>
      </c>
      <c r="D40" s="148"/>
      <c r="E40" s="148"/>
      <c r="F40" s="148"/>
      <c r="G40" s="148"/>
      <c r="H40" s="148"/>
      <c r="I40" s="148"/>
      <c r="J40" s="148"/>
      <c r="K40" s="55">
        <f>'Stavební rozpočet-vyplnit'!I776</f>
        <v>0</v>
      </c>
      <c r="L40" s="126">
        <f>'Stavební rozpočet-vyplnit'!K776</f>
        <v>0</v>
      </c>
      <c r="M40" s="125" t="s">
        <v>3773</v>
      </c>
      <c r="N40" s="55">
        <f t="shared" si="0"/>
        <v>0</v>
      </c>
      <c r="O40" s="2" t="s">
        <v>116</v>
      </c>
      <c r="P40" s="55">
        <f t="shared" si="1"/>
        <v>0</v>
      </c>
    </row>
    <row r="41" spans="1:16" ht="14.4">
      <c r="A41" s="1" t="s">
        <v>116</v>
      </c>
      <c r="B41" s="2" t="s">
        <v>1631</v>
      </c>
      <c r="C41" s="148" t="s">
        <v>1632</v>
      </c>
      <c r="D41" s="148"/>
      <c r="E41" s="148"/>
      <c r="F41" s="148"/>
      <c r="G41" s="148"/>
      <c r="H41" s="148"/>
      <c r="I41" s="148"/>
      <c r="J41" s="148"/>
      <c r="K41" s="55">
        <f>'Stavební rozpočet-vyplnit'!I791</f>
        <v>0</v>
      </c>
      <c r="L41" s="126">
        <f>'Stavební rozpočet-vyplnit'!K791</f>
        <v>0</v>
      </c>
      <c r="M41" s="125" t="s">
        <v>3773</v>
      </c>
      <c r="N41" s="55">
        <f t="shared" si="0"/>
        <v>0</v>
      </c>
      <c r="O41" s="2" t="s">
        <v>116</v>
      </c>
      <c r="P41" s="55">
        <f t="shared" si="1"/>
        <v>0</v>
      </c>
    </row>
    <row r="42" spans="1:16" ht="14.4">
      <c r="A42" s="1" t="s">
        <v>116</v>
      </c>
      <c r="B42" s="2" t="s">
        <v>1664</v>
      </c>
      <c r="C42" s="148" t="s">
        <v>1665</v>
      </c>
      <c r="D42" s="148"/>
      <c r="E42" s="148"/>
      <c r="F42" s="148"/>
      <c r="G42" s="148"/>
      <c r="H42" s="148"/>
      <c r="I42" s="148"/>
      <c r="J42" s="148"/>
      <c r="K42" s="55">
        <f>'Stavební rozpočet-vyplnit'!I802</f>
        <v>0</v>
      </c>
      <c r="L42" s="126">
        <f>'Stavební rozpočet-vyplnit'!K802</f>
        <v>18.980345100000005</v>
      </c>
      <c r="M42" s="125" t="s">
        <v>3773</v>
      </c>
      <c r="N42" s="55">
        <f t="shared" si="0"/>
        <v>0</v>
      </c>
      <c r="O42" s="2" t="s">
        <v>116</v>
      </c>
      <c r="P42" s="55">
        <f t="shared" si="1"/>
        <v>0</v>
      </c>
    </row>
    <row r="43" spans="1:16" ht="14.4">
      <c r="A43" s="1" t="s">
        <v>116</v>
      </c>
      <c r="B43" s="2" t="s">
        <v>1826</v>
      </c>
      <c r="C43" s="148" t="s">
        <v>1827</v>
      </c>
      <c r="D43" s="148"/>
      <c r="E43" s="148"/>
      <c r="F43" s="148"/>
      <c r="G43" s="148"/>
      <c r="H43" s="148"/>
      <c r="I43" s="148"/>
      <c r="J43" s="148"/>
      <c r="K43" s="55">
        <f>'Stavební rozpočet-vyplnit'!I899</f>
        <v>0</v>
      </c>
      <c r="L43" s="126">
        <f>'Stavební rozpočet-vyplnit'!K899</f>
        <v>17.8905136</v>
      </c>
      <c r="M43" s="125" t="s">
        <v>3773</v>
      </c>
      <c r="N43" s="55">
        <f t="shared" si="0"/>
        <v>0</v>
      </c>
      <c r="O43" s="2" t="s">
        <v>116</v>
      </c>
      <c r="P43" s="55">
        <f t="shared" si="1"/>
        <v>0</v>
      </c>
    </row>
    <row r="44" spans="1:16" ht="14.4">
      <c r="A44" s="1" t="s">
        <v>116</v>
      </c>
      <c r="B44" s="2" t="s">
        <v>1870</v>
      </c>
      <c r="C44" s="148" t="s">
        <v>1871</v>
      </c>
      <c r="D44" s="148"/>
      <c r="E44" s="148"/>
      <c r="F44" s="148"/>
      <c r="G44" s="148"/>
      <c r="H44" s="148"/>
      <c r="I44" s="148"/>
      <c r="J44" s="148"/>
      <c r="K44" s="55">
        <f>'Stavební rozpočet-vyplnit'!I927</f>
        <v>0</v>
      </c>
      <c r="L44" s="126">
        <f>'Stavební rozpočet-vyplnit'!K927</f>
        <v>1.4604616</v>
      </c>
      <c r="M44" s="125" t="s">
        <v>3773</v>
      </c>
      <c r="N44" s="55">
        <f aca="true" t="shared" si="2" ref="N44:N64">IF(M44="F",0,K44)</f>
        <v>0</v>
      </c>
      <c r="O44" s="2" t="s">
        <v>116</v>
      </c>
      <c r="P44" s="55">
        <f aca="true" t="shared" si="3" ref="P44:P64">IF(M44="T",0,K44)</f>
        <v>0</v>
      </c>
    </row>
    <row r="45" spans="1:16" ht="14.4">
      <c r="A45" s="1" t="s">
        <v>116</v>
      </c>
      <c r="B45" s="2" t="s">
        <v>1900</v>
      </c>
      <c r="C45" s="148" t="s">
        <v>1901</v>
      </c>
      <c r="D45" s="148"/>
      <c r="E45" s="148"/>
      <c r="F45" s="148"/>
      <c r="G45" s="148"/>
      <c r="H45" s="148"/>
      <c r="I45" s="148"/>
      <c r="J45" s="148"/>
      <c r="K45" s="55">
        <f>'Stavební rozpočet-vyplnit'!I943</f>
        <v>0</v>
      </c>
      <c r="L45" s="126">
        <f>'Stavební rozpočet-vyplnit'!K943</f>
        <v>2.676819000000001</v>
      </c>
      <c r="M45" s="125" t="s">
        <v>3773</v>
      </c>
      <c r="N45" s="55">
        <f t="shared" si="2"/>
        <v>0</v>
      </c>
      <c r="O45" s="2" t="s">
        <v>116</v>
      </c>
      <c r="P45" s="55">
        <f t="shared" si="3"/>
        <v>0</v>
      </c>
    </row>
    <row r="46" spans="1:16" ht="14.4">
      <c r="A46" s="1" t="s">
        <v>116</v>
      </c>
      <c r="B46" s="2" t="s">
        <v>2024</v>
      </c>
      <c r="C46" s="148" t="s">
        <v>2025</v>
      </c>
      <c r="D46" s="148"/>
      <c r="E46" s="148"/>
      <c r="F46" s="148"/>
      <c r="G46" s="148"/>
      <c r="H46" s="148"/>
      <c r="I46" s="148"/>
      <c r="J46" s="148"/>
      <c r="K46" s="55">
        <f>'Stavební rozpočet-vyplnit'!I1050</f>
        <v>0</v>
      </c>
      <c r="L46" s="126">
        <f>'Stavební rozpočet-vyplnit'!K1050</f>
        <v>23.716900799999998</v>
      </c>
      <c r="M46" s="125" t="s">
        <v>3773</v>
      </c>
      <c r="N46" s="55">
        <f t="shared" si="2"/>
        <v>0</v>
      </c>
      <c r="O46" s="2" t="s">
        <v>116</v>
      </c>
      <c r="P46" s="55">
        <f t="shared" si="3"/>
        <v>0</v>
      </c>
    </row>
    <row r="47" spans="1:16" ht="14.4">
      <c r="A47" s="1" t="s">
        <v>116</v>
      </c>
      <c r="B47" s="2" t="s">
        <v>2131</v>
      </c>
      <c r="C47" s="148" t="s">
        <v>2132</v>
      </c>
      <c r="D47" s="148"/>
      <c r="E47" s="148"/>
      <c r="F47" s="148"/>
      <c r="G47" s="148"/>
      <c r="H47" s="148"/>
      <c r="I47" s="148"/>
      <c r="J47" s="148"/>
      <c r="K47" s="55">
        <f>'Stavební rozpočet-vyplnit'!I1112</f>
        <v>0</v>
      </c>
      <c r="L47" s="126">
        <f>'Stavební rozpočet-vyplnit'!K1112</f>
        <v>0.8472469999999999</v>
      </c>
      <c r="M47" s="125" t="s">
        <v>3773</v>
      </c>
      <c r="N47" s="55">
        <f t="shared" si="2"/>
        <v>0</v>
      </c>
      <c r="O47" s="2" t="s">
        <v>116</v>
      </c>
      <c r="P47" s="55">
        <f t="shared" si="3"/>
        <v>0</v>
      </c>
    </row>
    <row r="48" spans="1:16" ht="14.4">
      <c r="A48" s="1" t="s">
        <v>116</v>
      </c>
      <c r="B48" s="2" t="s">
        <v>2168</v>
      </c>
      <c r="C48" s="148" t="s">
        <v>2169</v>
      </c>
      <c r="D48" s="148"/>
      <c r="E48" s="148"/>
      <c r="F48" s="148"/>
      <c r="G48" s="148"/>
      <c r="H48" s="148"/>
      <c r="I48" s="148"/>
      <c r="J48" s="148"/>
      <c r="K48" s="55">
        <f>'Stavební rozpočet-vyplnit'!I1132</f>
        <v>0</v>
      </c>
      <c r="L48" s="126">
        <f>'Stavební rozpočet-vyplnit'!K1132</f>
        <v>0.860241</v>
      </c>
      <c r="M48" s="125" t="s">
        <v>3773</v>
      </c>
      <c r="N48" s="55">
        <f t="shared" si="2"/>
        <v>0</v>
      </c>
      <c r="O48" s="2" t="s">
        <v>116</v>
      </c>
      <c r="P48" s="55">
        <f t="shared" si="3"/>
        <v>0</v>
      </c>
    </row>
    <row r="49" spans="1:16" ht="14.4">
      <c r="A49" s="1" t="s">
        <v>116</v>
      </c>
      <c r="B49" s="2" t="s">
        <v>2200</v>
      </c>
      <c r="C49" s="148" t="s">
        <v>2201</v>
      </c>
      <c r="D49" s="148"/>
      <c r="E49" s="148"/>
      <c r="F49" s="148"/>
      <c r="G49" s="148"/>
      <c r="H49" s="148"/>
      <c r="I49" s="148"/>
      <c r="J49" s="148"/>
      <c r="K49" s="55">
        <f>'Stavební rozpočet-vyplnit'!I1150</f>
        <v>0</v>
      </c>
      <c r="L49" s="126">
        <f>'Stavební rozpočet-vyplnit'!K1150</f>
        <v>1.1397924</v>
      </c>
      <c r="M49" s="125" t="s">
        <v>3773</v>
      </c>
      <c r="N49" s="55">
        <f t="shared" si="2"/>
        <v>0</v>
      </c>
      <c r="O49" s="2" t="s">
        <v>116</v>
      </c>
      <c r="P49" s="55">
        <f t="shared" si="3"/>
        <v>0</v>
      </c>
    </row>
    <row r="50" spans="1:16" ht="14.4">
      <c r="A50" s="1" t="s">
        <v>116</v>
      </c>
      <c r="B50" s="2" t="s">
        <v>2241</v>
      </c>
      <c r="C50" s="148" t="s">
        <v>2242</v>
      </c>
      <c r="D50" s="148"/>
      <c r="E50" s="148"/>
      <c r="F50" s="148"/>
      <c r="G50" s="148"/>
      <c r="H50" s="148"/>
      <c r="I50" s="148"/>
      <c r="J50" s="148"/>
      <c r="K50" s="55">
        <f>'Stavební rozpočet-vyplnit'!I1174</f>
        <v>0</v>
      </c>
      <c r="L50" s="126">
        <f>'Stavební rozpočet-vyplnit'!K1174</f>
        <v>2.5381593</v>
      </c>
      <c r="M50" s="125" t="s">
        <v>3773</v>
      </c>
      <c r="N50" s="55">
        <f t="shared" si="2"/>
        <v>0</v>
      </c>
      <c r="O50" s="2" t="s">
        <v>116</v>
      </c>
      <c r="P50" s="55">
        <f t="shared" si="3"/>
        <v>0</v>
      </c>
    </row>
    <row r="51" spans="1:16" ht="14.4">
      <c r="A51" s="1" t="s">
        <v>116</v>
      </c>
      <c r="B51" s="2" t="s">
        <v>2270</v>
      </c>
      <c r="C51" s="148" t="s">
        <v>2271</v>
      </c>
      <c r="D51" s="148"/>
      <c r="E51" s="148"/>
      <c r="F51" s="148"/>
      <c r="G51" s="148"/>
      <c r="H51" s="148"/>
      <c r="I51" s="148"/>
      <c r="J51" s="148"/>
      <c r="K51" s="55">
        <f>'Stavební rozpočet-vyplnit'!I1192</f>
        <v>0</v>
      </c>
      <c r="L51" s="126">
        <f>'Stavební rozpočet-vyplnit'!K1192</f>
        <v>0.666632</v>
      </c>
      <c r="M51" s="125" t="s">
        <v>3773</v>
      </c>
      <c r="N51" s="55">
        <f t="shared" si="2"/>
        <v>0</v>
      </c>
      <c r="O51" s="2" t="s">
        <v>116</v>
      </c>
      <c r="P51" s="55">
        <f t="shared" si="3"/>
        <v>0</v>
      </c>
    </row>
    <row r="52" spans="1:16" ht="14.4">
      <c r="A52" s="1" t="s">
        <v>116</v>
      </c>
      <c r="B52" s="2" t="s">
        <v>2293</v>
      </c>
      <c r="C52" s="148" t="s">
        <v>2294</v>
      </c>
      <c r="D52" s="148"/>
      <c r="E52" s="148"/>
      <c r="F52" s="148"/>
      <c r="G52" s="148"/>
      <c r="H52" s="148"/>
      <c r="I52" s="148"/>
      <c r="J52" s="148"/>
      <c r="K52" s="55">
        <f>'Stavební rozpočet-vyplnit'!I1204</f>
        <v>0</v>
      </c>
      <c r="L52" s="126">
        <f>'Stavební rozpočet-vyplnit'!K1204</f>
        <v>0.207095</v>
      </c>
      <c r="M52" s="125" t="s">
        <v>3773</v>
      </c>
      <c r="N52" s="55">
        <f t="shared" si="2"/>
        <v>0</v>
      </c>
      <c r="O52" s="2" t="s">
        <v>116</v>
      </c>
      <c r="P52" s="55">
        <f t="shared" si="3"/>
        <v>0</v>
      </c>
    </row>
    <row r="53" spans="1:16" ht="14.4">
      <c r="A53" s="1" t="s">
        <v>116</v>
      </c>
      <c r="B53" s="2" t="s">
        <v>2314</v>
      </c>
      <c r="C53" s="148" t="s">
        <v>2315</v>
      </c>
      <c r="D53" s="148"/>
      <c r="E53" s="148"/>
      <c r="F53" s="148"/>
      <c r="G53" s="148"/>
      <c r="H53" s="148"/>
      <c r="I53" s="148"/>
      <c r="J53" s="148"/>
      <c r="K53" s="55">
        <f>'Stavební rozpočet-vyplnit'!I1215</f>
        <v>0</v>
      </c>
      <c r="L53" s="126">
        <f>'Stavební rozpočet-vyplnit'!K1215</f>
        <v>0.0996</v>
      </c>
      <c r="M53" s="125" t="s">
        <v>3773</v>
      </c>
      <c r="N53" s="55">
        <f t="shared" si="2"/>
        <v>0</v>
      </c>
      <c r="O53" s="2" t="s">
        <v>116</v>
      </c>
      <c r="P53" s="55">
        <f t="shared" si="3"/>
        <v>0</v>
      </c>
    </row>
    <row r="54" spans="1:16" ht="14.4">
      <c r="A54" s="1" t="s">
        <v>116</v>
      </c>
      <c r="B54" s="2" t="s">
        <v>2329</v>
      </c>
      <c r="C54" s="148" t="s">
        <v>2330</v>
      </c>
      <c r="D54" s="148"/>
      <c r="E54" s="148"/>
      <c r="F54" s="148"/>
      <c r="G54" s="148"/>
      <c r="H54" s="148"/>
      <c r="I54" s="148"/>
      <c r="J54" s="148"/>
      <c r="K54" s="55">
        <f>'Stavební rozpočet-vyplnit'!I1222</f>
        <v>0</v>
      </c>
      <c r="L54" s="126">
        <f>'Stavební rozpočet-vyplnit'!K1222</f>
        <v>2.5</v>
      </c>
      <c r="M54" s="125" t="s">
        <v>3773</v>
      </c>
      <c r="N54" s="55">
        <f t="shared" si="2"/>
        <v>0</v>
      </c>
      <c r="O54" s="2" t="s">
        <v>116</v>
      </c>
      <c r="P54" s="55">
        <f t="shared" si="3"/>
        <v>0</v>
      </c>
    </row>
    <row r="55" spans="1:16" ht="14.4">
      <c r="A55" s="1" t="s">
        <v>116</v>
      </c>
      <c r="B55" s="2" t="s">
        <v>422</v>
      </c>
      <c r="C55" s="148" t="s">
        <v>2339</v>
      </c>
      <c r="D55" s="148"/>
      <c r="E55" s="148"/>
      <c r="F55" s="148"/>
      <c r="G55" s="148"/>
      <c r="H55" s="148"/>
      <c r="I55" s="148"/>
      <c r="J55" s="148"/>
      <c r="K55" s="55">
        <f>'Stavební rozpočet-vyplnit'!I1228</f>
        <v>0</v>
      </c>
      <c r="L55" s="126">
        <f>'Stavební rozpočet-vyplnit'!K1228</f>
        <v>12.8376818</v>
      </c>
      <c r="M55" s="125" t="s">
        <v>3773</v>
      </c>
      <c r="N55" s="55">
        <f t="shared" si="2"/>
        <v>0</v>
      </c>
      <c r="O55" s="2" t="s">
        <v>116</v>
      </c>
      <c r="P55" s="55">
        <f t="shared" si="3"/>
        <v>0</v>
      </c>
    </row>
    <row r="56" spans="1:16" ht="14.4">
      <c r="A56" s="1" t="s">
        <v>116</v>
      </c>
      <c r="B56" s="2" t="s">
        <v>425</v>
      </c>
      <c r="C56" s="148" t="s">
        <v>2367</v>
      </c>
      <c r="D56" s="148"/>
      <c r="E56" s="148"/>
      <c r="F56" s="148"/>
      <c r="G56" s="148"/>
      <c r="H56" s="148"/>
      <c r="I56" s="148"/>
      <c r="J56" s="148"/>
      <c r="K56" s="55">
        <f>'Stavební rozpočet-vyplnit'!I1243</f>
        <v>0</v>
      </c>
      <c r="L56" s="126">
        <f>'Stavební rozpočet-vyplnit'!K1243</f>
        <v>0.027648000000000006</v>
      </c>
      <c r="M56" s="125" t="s">
        <v>3773</v>
      </c>
      <c r="N56" s="55">
        <f t="shared" si="2"/>
        <v>0</v>
      </c>
      <c r="O56" s="2" t="s">
        <v>116</v>
      </c>
      <c r="P56" s="55">
        <f t="shared" si="3"/>
        <v>0</v>
      </c>
    </row>
    <row r="57" spans="1:16" ht="14.4">
      <c r="A57" s="1" t="s">
        <v>116</v>
      </c>
      <c r="B57" s="2" t="s">
        <v>428</v>
      </c>
      <c r="C57" s="148" t="s">
        <v>2421</v>
      </c>
      <c r="D57" s="148"/>
      <c r="E57" s="148"/>
      <c r="F57" s="148"/>
      <c r="G57" s="148"/>
      <c r="H57" s="148"/>
      <c r="I57" s="148"/>
      <c r="J57" s="148"/>
      <c r="K57" s="55">
        <f>'Stavební rozpočet-vyplnit'!I1276</f>
        <v>0</v>
      </c>
      <c r="L57" s="126">
        <f>'Stavební rozpočet-vyplnit'!K1276</f>
        <v>87.39288800000001</v>
      </c>
      <c r="M57" s="125" t="s">
        <v>3773</v>
      </c>
      <c r="N57" s="55">
        <f t="shared" si="2"/>
        <v>0</v>
      </c>
      <c r="O57" s="2" t="s">
        <v>116</v>
      </c>
      <c r="P57" s="55">
        <f t="shared" si="3"/>
        <v>0</v>
      </c>
    </row>
    <row r="58" spans="1:16" ht="14.4">
      <c r="A58" s="1" t="s">
        <v>116</v>
      </c>
      <c r="B58" s="2" t="s">
        <v>431</v>
      </c>
      <c r="C58" s="148" t="s">
        <v>2472</v>
      </c>
      <c r="D58" s="148"/>
      <c r="E58" s="148"/>
      <c r="F58" s="148"/>
      <c r="G58" s="148"/>
      <c r="H58" s="148"/>
      <c r="I58" s="148"/>
      <c r="J58" s="148"/>
      <c r="K58" s="55">
        <f>'Stavební rozpočet-vyplnit'!I1308</f>
        <v>0</v>
      </c>
      <c r="L58" s="126">
        <f>'Stavební rozpočet-vyplnit'!K1308</f>
        <v>0</v>
      </c>
      <c r="M58" s="125" t="s">
        <v>3773</v>
      </c>
      <c r="N58" s="55">
        <f t="shared" si="2"/>
        <v>0</v>
      </c>
      <c r="O58" s="2" t="s">
        <v>116</v>
      </c>
      <c r="P58" s="55">
        <f t="shared" si="3"/>
        <v>0</v>
      </c>
    </row>
    <row r="59" spans="1:16" ht="14.4">
      <c r="A59" s="1" t="s">
        <v>116</v>
      </c>
      <c r="B59" s="2" t="s">
        <v>2499</v>
      </c>
      <c r="C59" s="148" t="s">
        <v>2500</v>
      </c>
      <c r="D59" s="148"/>
      <c r="E59" s="148"/>
      <c r="F59" s="148"/>
      <c r="G59" s="148"/>
      <c r="H59" s="148"/>
      <c r="I59" s="148"/>
      <c r="J59" s="148"/>
      <c r="K59" s="55">
        <f>'Stavební rozpočet-vyplnit'!I1324</f>
        <v>0</v>
      </c>
      <c r="L59" s="126">
        <f>'Stavební rozpočet-vyplnit'!K1324</f>
        <v>0</v>
      </c>
      <c r="M59" s="125" t="s">
        <v>3773</v>
      </c>
      <c r="N59" s="55">
        <f t="shared" si="2"/>
        <v>0</v>
      </c>
      <c r="O59" s="2" t="s">
        <v>116</v>
      </c>
      <c r="P59" s="55">
        <f t="shared" si="3"/>
        <v>0</v>
      </c>
    </row>
    <row r="60" spans="1:16" ht="14.4">
      <c r="A60" s="1" t="s">
        <v>116</v>
      </c>
      <c r="B60" s="2" t="s">
        <v>2506</v>
      </c>
      <c r="C60" s="148" t="s">
        <v>2507</v>
      </c>
      <c r="D60" s="148"/>
      <c r="E60" s="148"/>
      <c r="F60" s="148"/>
      <c r="G60" s="148"/>
      <c r="H60" s="148"/>
      <c r="I60" s="148"/>
      <c r="J60" s="148"/>
      <c r="K60" s="55">
        <f>'Stavební rozpočet-vyplnit'!I1327</f>
        <v>0</v>
      </c>
      <c r="L60" s="126">
        <f>'Stavební rozpočet-vyplnit'!K1327</f>
        <v>0</v>
      </c>
      <c r="M60" s="125" t="s">
        <v>3773</v>
      </c>
      <c r="N60" s="55">
        <f t="shared" si="2"/>
        <v>0</v>
      </c>
      <c r="O60" s="2" t="s">
        <v>116</v>
      </c>
      <c r="P60" s="55">
        <f t="shared" si="3"/>
        <v>0</v>
      </c>
    </row>
    <row r="61" spans="1:16" ht="14.4">
      <c r="A61" s="1" t="s">
        <v>116</v>
      </c>
      <c r="B61" s="2" t="s">
        <v>2515</v>
      </c>
      <c r="C61" s="148" t="s">
        <v>2516</v>
      </c>
      <c r="D61" s="148"/>
      <c r="E61" s="148"/>
      <c r="F61" s="148"/>
      <c r="G61" s="148"/>
      <c r="H61" s="148"/>
      <c r="I61" s="148"/>
      <c r="J61" s="148"/>
      <c r="K61" s="55">
        <f>'Stavební rozpočet-vyplnit'!I1330</f>
        <v>0</v>
      </c>
      <c r="L61" s="126">
        <f>'Stavební rozpočet-vyplnit'!K1330</f>
        <v>0.059669999999999994</v>
      </c>
      <c r="M61" s="125" t="s">
        <v>3773</v>
      </c>
      <c r="N61" s="55">
        <f t="shared" si="2"/>
        <v>0</v>
      </c>
      <c r="O61" s="2" t="s">
        <v>116</v>
      </c>
      <c r="P61" s="55">
        <f t="shared" si="3"/>
        <v>0</v>
      </c>
    </row>
    <row r="62" spans="1:16" ht="14.4">
      <c r="A62" s="1" t="s">
        <v>116</v>
      </c>
      <c r="B62" s="2" t="s">
        <v>2522</v>
      </c>
      <c r="C62" s="148" t="s">
        <v>2523</v>
      </c>
      <c r="D62" s="148"/>
      <c r="E62" s="148"/>
      <c r="F62" s="148"/>
      <c r="G62" s="148"/>
      <c r="H62" s="148"/>
      <c r="I62" s="148"/>
      <c r="J62" s="148"/>
      <c r="K62" s="55">
        <f>'Stavební rozpočet-vyplnit'!I1333</f>
        <v>0</v>
      </c>
      <c r="L62" s="126">
        <f>'Stavební rozpočet-vyplnit'!K1333</f>
        <v>0.7</v>
      </c>
      <c r="M62" s="125" t="s">
        <v>3773</v>
      </c>
      <c r="N62" s="55">
        <f t="shared" si="2"/>
        <v>0</v>
      </c>
      <c r="O62" s="2" t="s">
        <v>116</v>
      </c>
      <c r="P62" s="55">
        <f t="shared" si="3"/>
        <v>0</v>
      </c>
    </row>
    <row r="63" spans="1:16" ht="14.4">
      <c r="A63" s="1" t="s">
        <v>116</v>
      </c>
      <c r="B63" s="2" t="s">
        <v>2529</v>
      </c>
      <c r="C63" s="148" t="s">
        <v>2530</v>
      </c>
      <c r="D63" s="148"/>
      <c r="E63" s="148"/>
      <c r="F63" s="148"/>
      <c r="G63" s="148"/>
      <c r="H63" s="148"/>
      <c r="I63" s="148"/>
      <c r="J63" s="148"/>
      <c r="K63" s="55">
        <f>'Stavební rozpočet-vyplnit'!I1337</f>
        <v>0</v>
      </c>
      <c r="L63" s="126">
        <f>'Stavební rozpočet-vyplnit'!K1337</f>
        <v>0.05</v>
      </c>
      <c r="M63" s="125" t="s">
        <v>3773</v>
      </c>
      <c r="N63" s="55">
        <f t="shared" si="2"/>
        <v>0</v>
      </c>
      <c r="O63" s="2" t="s">
        <v>116</v>
      </c>
      <c r="P63" s="55">
        <f t="shared" si="3"/>
        <v>0</v>
      </c>
    </row>
    <row r="64" spans="1:16" ht="14.4">
      <c r="A64" s="3" t="s">
        <v>116</v>
      </c>
      <c r="B64" s="4" t="s">
        <v>2571</v>
      </c>
      <c r="C64" s="184" t="s">
        <v>2572</v>
      </c>
      <c r="D64" s="184"/>
      <c r="E64" s="184"/>
      <c r="F64" s="184"/>
      <c r="G64" s="184"/>
      <c r="H64" s="184"/>
      <c r="I64" s="184"/>
      <c r="J64" s="184"/>
      <c r="K64" s="127">
        <f>'Stavební rozpočet-vyplnit'!I1361</f>
        <v>0</v>
      </c>
      <c r="L64" s="128">
        <f>'Stavební rozpočet-vyplnit'!K1361</f>
        <v>0</v>
      </c>
      <c r="M64" s="125" t="s">
        <v>3773</v>
      </c>
      <c r="N64" s="55">
        <f t="shared" si="2"/>
        <v>0</v>
      </c>
      <c r="O64" s="2" t="s">
        <v>116</v>
      </c>
      <c r="P64" s="55">
        <f t="shared" si="3"/>
        <v>0</v>
      </c>
    </row>
    <row r="65" spans="9:12" ht="14.4">
      <c r="I65" s="252" t="s">
        <v>3774</v>
      </c>
      <c r="J65" s="252"/>
      <c r="K65" s="113">
        <f>SUM(K13:K64)</f>
        <v>0</v>
      </c>
      <c r="L65" s="135">
        <f>SUM(L13:L64)</f>
        <v>236.82427750000002</v>
      </c>
    </row>
    <row r="66" ht="14.4">
      <c r="A66" s="114" t="s">
        <v>56</v>
      </c>
    </row>
    <row r="67" spans="1:12" ht="12.75" customHeight="1">
      <c r="A67" s="147" t="s">
        <v>4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</sheetData>
  <sheetProtection password="F483" sheet="1" objects="1" scenarios="1"/>
  <mergeCells count="82"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C58:J58"/>
    <mergeCell ref="C59:J59"/>
    <mergeCell ref="C60:J60"/>
    <mergeCell ref="A67:L67"/>
    <mergeCell ref="C61:J61"/>
    <mergeCell ref="C62:J62"/>
    <mergeCell ref="C63:J63"/>
    <mergeCell ref="C64:J64"/>
    <mergeCell ref="I65:J65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392"/>
  <sheetViews>
    <sheetView workbookViewId="0" topLeftCell="A1">
      <pane ySplit="11" topLeftCell="A720" activePane="bottomLeft" state="frozen"/>
      <selection pane="bottomLeft" activeCell="L722" sqref="L722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7.0039062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259" t="s">
        <v>3776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AS1" s="27">
        <f>SUM(AJ1:AJ2)</f>
        <v>0</v>
      </c>
      <c r="AT1" s="27">
        <f>SUM(AK1:AK2)</f>
        <v>0</v>
      </c>
      <c r="AU1" s="27">
        <f>SUM(AL1:AL2)</f>
        <v>0</v>
      </c>
    </row>
    <row r="2" spans="1:12" ht="14.4">
      <c r="A2" s="190" t="s">
        <v>1</v>
      </c>
      <c r="B2" s="191"/>
      <c r="C2" s="191"/>
      <c r="D2" s="196" t="str">
        <f>'Stavební rozpočet-vyplnit'!D2</f>
        <v>Vybudování edukačního centra a digit.pracoviště v Městské knihovně T.G.Masaryka Šumperk</v>
      </c>
      <c r="E2" s="197"/>
      <c r="F2" s="191" t="s">
        <v>78</v>
      </c>
      <c r="G2" s="191"/>
      <c r="H2" s="187" t="str">
        <f>'Stavební rozpočet-vyplnit'!H2</f>
        <v xml:space="preserve"> </v>
      </c>
      <c r="I2" s="187" t="s">
        <v>2</v>
      </c>
      <c r="J2" s="187" t="str">
        <f>'Stavební rozpočet-vyplnit'!J2</f>
        <v>Město Šumperk</v>
      </c>
      <c r="K2" s="191"/>
      <c r="L2" s="193"/>
    </row>
    <row r="3" spans="1:12" ht="14.4">
      <c r="A3" s="192"/>
      <c r="B3" s="148"/>
      <c r="C3" s="148"/>
      <c r="D3" s="198"/>
      <c r="E3" s="198"/>
      <c r="F3" s="148"/>
      <c r="G3" s="148"/>
      <c r="H3" s="148"/>
      <c r="I3" s="148"/>
      <c r="J3" s="148"/>
      <c r="K3" s="148"/>
      <c r="L3" s="194"/>
    </row>
    <row r="4" spans="1:12" ht="14.4">
      <c r="A4" s="185" t="s">
        <v>5</v>
      </c>
      <c r="B4" s="148"/>
      <c r="C4" s="148"/>
      <c r="D4" s="147" t="str">
        <f>'Stavební rozpočet-vyplnit'!D4</f>
        <v>Stavební úpravy, nástavba</v>
      </c>
      <c r="E4" s="148"/>
      <c r="F4" s="148" t="s">
        <v>9</v>
      </c>
      <c r="G4" s="148"/>
      <c r="H4" s="147" t="str">
        <f>'Stavební rozpočet-vyplnit'!H4</f>
        <v xml:space="preserve"> </v>
      </c>
      <c r="I4" s="147" t="s">
        <v>6</v>
      </c>
      <c r="J4" s="147" t="str">
        <f>'Stavební rozpočet-vyplnit'!J4</f>
        <v>Ing.Ladislav Trčka - PROINK</v>
      </c>
      <c r="K4" s="148"/>
      <c r="L4" s="194"/>
    </row>
    <row r="5" spans="1:12" ht="14.4">
      <c r="A5" s="192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94"/>
    </row>
    <row r="6" spans="1:12" ht="14.4">
      <c r="A6" s="185" t="s">
        <v>7</v>
      </c>
      <c r="B6" s="148"/>
      <c r="C6" s="148"/>
      <c r="D6" s="147" t="str">
        <f>'Stavební rozpočet-vyplnit'!D6</f>
        <v>Šumperk</v>
      </c>
      <c r="E6" s="148"/>
      <c r="F6" s="148" t="s">
        <v>10</v>
      </c>
      <c r="G6" s="148"/>
      <c r="H6" s="147" t="str">
        <f>'Stavební rozpočet-vyplnit'!H6</f>
        <v xml:space="preserve"> </v>
      </c>
      <c r="I6" s="147" t="s">
        <v>8</v>
      </c>
      <c r="J6" s="147">
        <f>'Stavební rozpočet-vyplnit'!J6</f>
        <v>0</v>
      </c>
      <c r="K6" s="148"/>
      <c r="L6" s="194"/>
    </row>
    <row r="7" spans="1:12" ht="14.4">
      <c r="A7" s="192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94"/>
    </row>
    <row r="8" spans="1:12" ht="14.4">
      <c r="A8" s="185" t="s">
        <v>12</v>
      </c>
      <c r="B8" s="148"/>
      <c r="C8" s="148"/>
      <c r="D8" s="147" t="str">
        <f>'Stavební rozpočet-vyplnit'!D8</f>
        <v>8014614</v>
      </c>
      <c r="E8" s="148"/>
      <c r="F8" s="148" t="s">
        <v>85</v>
      </c>
      <c r="G8" s="148"/>
      <c r="H8" s="147">
        <f>'Stavební rozpočet-vyplnit'!H8</f>
        <v>0</v>
      </c>
      <c r="I8" s="147" t="s">
        <v>13</v>
      </c>
      <c r="J8" s="147">
        <f>'Stavební rozpočet-vyplnit'!J8</f>
        <v>0</v>
      </c>
      <c r="K8" s="148"/>
      <c r="L8" s="194"/>
    </row>
    <row r="9" spans="1:12" ht="14.4">
      <c r="A9" s="251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5"/>
    </row>
    <row r="10" spans="1:75" ht="14.4">
      <c r="A10" s="28" t="s">
        <v>86</v>
      </c>
      <c r="B10" s="29" t="s">
        <v>87</v>
      </c>
      <c r="C10" s="29" t="s">
        <v>88</v>
      </c>
      <c r="D10" s="247" t="s">
        <v>89</v>
      </c>
      <c r="E10" s="248"/>
      <c r="F10" s="29" t="s">
        <v>90</v>
      </c>
      <c r="G10" s="30" t="s">
        <v>91</v>
      </c>
      <c r="H10" s="129" t="s">
        <v>92</v>
      </c>
      <c r="I10" s="32" t="s">
        <v>93</v>
      </c>
      <c r="J10" s="238" t="s">
        <v>94</v>
      </c>
      <c r="K10" s="239"/>
      <c r="L10" s="33" t="s">
        <v>95</v>
      </c>
      <c r="BK10" s="34" t="s">
        <v>96</v>
      </c>
      <c r="BL10" s="35" t="s">
        <v>97</v>
      </c>
      <c r="BW10" s="35" t="s">
        <v>98</v>
      </c>
    </row>
    <row r="11" spans="1:62" ht="14.4">
      <c r="A11" s="36" t="s">
        <v>79</v>
      </c>
      <c r="B11" s="37" t="s">
        <v>79</v>
      </c>
      <c r="C11" s="37" t="s">
        <v>79</v>
      </c>
      <c r="D11" s="236" t="s">
        <v>99</v>
      </c>
      <c r="E11" s="237"/>
      <c r="F11" s="37" t="s">
        <v>79</v>
      </c>
      <c r="G11" s="37" t="s">
        <v>79</v>
      </c>
      <c r="H11" s="130" t="s">
        <v>100</v>
      </c>
      <c r="I11" s="39" t="s">
        <v>101</v>
      </c>
      <c r="J11" s="40" t="s">
        <v>102</v>
      </c>
      <c r="K11" s="41" t="s">
        <v>101</v>
      </c>
      <c r="L11" s="42" t="s">
        <v>103</v>
      </c>
      <c r="Z11" s="34" t="s">
        <v>104</v>
      </c>
      <c r="AA11" s="34" t="s">
        <v>105</v>
      </c>
      <c r="AB11" s="34" t="s">
        <v>106</v>
      </c>
      <c r="AC11" s="34" t="s">
        <v>107</v>
      </c>
      <c r="AD11" s="34" t="s">
        <v>108</v>
      </c>
      <c r="AE11" s="34" t="s">
        <v>109</v>
      </c>
      <c r="AF11" s="34" t="s">
        <v>110</v>
      </c>
      <c r="AG11" s="34" t="s">
        <v>111</v>
      </c>
      <c r="AH11" s="34" t="s">
        <v>112</v>
      </c>
      <c r="BH11" s="34" t="s">
        <v>113</v>
      </c>
      <c r="BI11" s="34" t="s">
        <v>114</v>
      </c>
      <c r="BJ11" s="34" t="s">
        <v>115</v>
      </c>
    </row>
    <row r="12" spans="1:12" ht="14.4">
      <c r="A12" s="43" t="s">
        <v>4</v>
      </c>
      <c r="B12" s="44" t="s">
        <v>116</v>
      </c>
      <c r="C12" s="44" t="s">
        <v>4</v>
      </c>
      <c r="D12" s="240" t="s">
        <v>117</v>
      </c>
      <c r="E12" s="241"/>
      <c r="F12" s="45" t="s">
        <v>79</v>
      </c>
      <c r="G12" s="45" t="s">
        <v>79</v>
      </c>
      <c r="H12" s="45" t="s">
        <v>79</v>
      </c>
      <c r="I12" s="47">
        <f>I13+I153+I157+I179+I249+I289+I335+I356+I365+I369+I440+I450+I459+I481+I500+I521+I538+I671+I676+I692+I715+I717+I732+I746+I753+I757+I766+I776+I791+I802+I899+I927+I943+I1050+I1112+I1132+I1150+I1174+I1192+I1204+I1215+I1222+I1228+I1243+I1276+I1308+I1324+I1327+I1330+I1333+I1337+I1361</f>
        <v>0</v>
      </c>
      <c r="J12" s="48" t="s">
        <v>4</v>
      </c>
      <c r="K12" s="47">
        <f>K13+K153+K157+K179+K249+K289+K335+K356+K365+K369+K440+K450+K459+K481+K500+K521+K538+K671+K676+K692+K715+K717+K732+K746+K753+K757+K766+K776+K791+K802+K899+K927+K943+K1050+K1112+K1132+K1150+K1174+K1192+K1204+K1215+K1222+K1228+K1243+K1276+K1308+K1324+K1327+K1330+K1333+K1337+K1361</f>
        <v>236.82427750000002</v>
      </c>
      <c r="L12" s="49" t="s">
        <v>4</v>
      </c>
    </row>
    <row r="13" spans="1:47" ht="14.4">
      <c r="A13" s="50" t="s">
        <v>4</v>
      </c>
      <c r="B13" s="51" t="s">
        <v>116</v>
      </c>
      <c r="C13" s="51" t="s">
        <v>118</v>
      </c>
      <c r="D13" s="222" t="s">
        <v>119</v>
      </c>
      <c r="E13" s="223"/>
      <c r="F13" s="52" t="s">
        <v>79</v>
      </c>
      <c r="G13" s="52" t="s">
        <v>79</v>
      </c>
      <c r="H13" s="52" t="s">
        <v>79</v>
      </c>
      <c r="I13" s="27">
        <f>SUM(I14:I152)</f>
        <v>0</v>
      </c>
      <c r="J13" s="34" t="s">
        <v>4</v>
      </c>
      <c r="K13" s="27">
        <f>SUM(K14:K152)</f>
        <v>0</v>
      </c>
      <c r="L13" s="54" t="s">
        <v>4</v>
      </c>
      <c r="AI13" s="34" t="s">
        <v>116</v>
      </c>
      <c r="AS13" s="27">
        <f>SUM(AJ14:AJ152)</f>
        <v>0</v>
      </c>
      <c r="AT13" s="27">
        <f>SUM(AK14:AK152)</f>
        <v>0</v>
      </c>
      <c r="AU13" s="27">
        <f>SUM(AL14:AL152)</f>
        <v>0</v>
      </c>
    </row>
    <row r="14" spans="1:75" ht="13.5" customHeight="1">
      <c r="A14" s="1" t="s">
        <v>120</v>
      </c>
      <c r="B14" s="2" t="s">
        <v>116</v>
      </c>
      <c r="C14" s="2" t="s">
        <v>121</v>
      </c>
      <c r="D14" s="147" t="s">
        <v>122</v>
      </c>
      <c r="E14" s="148"/>
      <c r="F14" s="2" t="s">
        <v>123</v>
      </c>
      <c r="G14" s="55">
        <f>'Stavební rozpočet-vyplnit'!G14</f>
        <v>119</v>
      </c>
      <c r="H14" s="55">
        <f>'Stavební rozpočet-vyplnit'!H14</f>
        <v>0</v>
      </c>
      <c r="I14" s="55">
        <f>G14*H14</f>
        <v>0</v>
      </c>
      <c r="J14" s="55">
        <f>'Stavební rozpočet-vyplnit'!J14</f>
        <v>0</v>
      </c>
      <c r="K14" s="55">
        <f>G14*J14</f>
        <v>0</v>
      </c>
      <c r="L14" s="57" t="s">
        <v>124</v>
      </c>
      <c r="Z14" s="55">
        <f>IF(AQ14="5",BJ14,0)</f>
        <v>0</v>
      </c>
      <c r="AB14" s="55">
        <f>IF(AQ14="1",BH14,0)</f>
        <v>0</v>
      </c>
      <c r="AC14" s="55">
        <f>IF(AQ14="1",BI14,0)</f>
        <v>0</v>
      </c>
      <c r="AD14" s="55">
        <f>IF(AQ14="7",BH14,0)</f>
        <v>0</v>
      </c>
      <c r="AE14" s="55">
        <f>IF(AQ14="7",BI14,0)</f>
        <v>0</v>
      </c>
      <c r="AF14" s="55">
        <f>IF(AQ14="2",BH14,0)</f>
        <v>0</v>
      </c>
      <c r="AG14" s="55">
        <f>IF(AQ14="2",BI14,0)</f>
        <v>0</v>
      </c>
      <c r="AH14" s="55">
        <f>IF(AQ14="0",BJ14,0)</f>
        <v>0</v>
      </c>
      <c r="AI14" s="34" t="s">
        <v>116</v>
      </c>
      <c r="AJ14" s="55">
        <f>IF(AN14=0,I14,0)</f>
        <v>0</v>
      </c>
      <c r="AK14" s="55">
        <f>IF(AN14=12,I14,0)</f>
        <v>0</v>
      </c>
      <c r="AL14" s="55">
        <f>IF(AN14=21,I14,0)</f>
        <v>0</v>
      </c>
      <c r="AN14" s="55">
        <v>21</v>
      </c>
      <c r="AO14" s="55">
        <f>H14*0.71007371</f>
        <v>0</v>
      </c>
      <c r="AP14" s="55">
        <f>H14*(1-0.71007371)</f>
        <v>0</v>
      </c>
      <c r="AQ14" s="58" t="s">
        <v>125</v>
      </c>
      <c r="AV14" s="55">
        <f>AW14+AX14</f>
        <v>0</v>
      </c>
      <c r="AW14" s="55">
        <f>G14*AO14</f>
        <v>0</v>
      </c>
      <c r="AX14" s="55">
        <f>G14*AP14</f>
        <v>0</v>
      </c>
      <c r="AY14" s="58" t="s">
        <v>126</v>
      </c>
      <c r="AZ14" s="58" t="s">
        <v>127</v>
      </c>
      <c r="BA14" s="34" t="s">
        <v>128</v>
      </c>
      <c r="BC14" s="55">
        <f>AW14+AX14</f>
        <v>0</v>
      </c>
      <c r="BD14" s="55">
        <f>H14/(100-BE14)*100</f>
        <v>0</v>
      </c>
      <c r="BE14" s="55">
        <v>0</v>
      </c>
      <c r="BF14" s="55">
        <f>K14</f>
        <v>0</v>
      </c>
      <c r="BH14" s="55">
        <f>G14*AO14</f>
        <v>0</v>
      </c>
      <c r="BI14" s="55">
        <f>G14*AP14</f>
        <v>0</v>
      </c>
      <c r="BJ14" s="55">
        <f>G14*H14</f>
        <v>0</v>
      </c>
      <c r="BK14" s="55"/>
      <c r="BL14" s="55"/>
      <c r="BW14" s="55">
        <v>21</v>
      </c>
    </row>
    <row r="15" spans="1:12" ht="13.5" customHeight="1">
      <c r="A15" s="59"/>
      <c r="D15" s="218" t="s">
        <v>129</v>
      </c>
      <c r="E15" s="219"/>
      <c r="F15" s="219"/>
      <c r="G15" s="219"/>
      <c r="H15" s="219"/>
      <c r="I15" s="219"/>
      <c r="J15" s="219"/>
      <c r="K15" s="219"/>
      <c r="L15" s="221"/>
    </row>
    <row r="16" spans="1:75" ht="13.5" customHeight="1">
      <c r="A16" s="1" t="s">
        <v>130</v>
      </c>
      <c r="B16" s="2" t="s">
        <v>116</v>
      </c>
      <c r="C16" s="2" t="s">
        <v>131</v>
      </c>
      <c r="D16" s="147" t="s">
        <v>132</v>
      </c>
      <c r="E16" s="148"/>
      <c r="F16" s="2" t="s">
        <v>123</v>
      </c>
      <c r="G16" s="55">
        <f>'Stavební rozpočet-vyplnit'!G16</f>
        <v>17</v>
      </c>
      <c r="H16" s="55">
        <f>'Stavební rozpočet-vyplnit'!H16</f>
        <v>0</v>
      </c>
      <c r="I16" s="55">
        <f>G16*H16</f>
        <v>0</v>
      </c>
      <c r="J16" s="55">
        <f>'Stavební rozpočet-vyplnit'!J16</f>
        <v>0</v>
      </c>
      <c r="K16" s="55">
        <f>G16*J16</f>
        <v>0</v>
      </c>
      <c r="L16" s="57" t="s">
        <v>124</v>
      </c>
      <c r="Z16" s="55">
        <f>IF(AQ16="5",BJ16,0)</f>
        <v>0</v>
      </c>
      <c r="AB16" s="55">
        <f>IF(AQ16="1",BH16,0)</f>
        <v>0</v>
      </c>
      <c r="AC16" s="55">
        <f>IF(AQ16="1",BI16,0)</f>
        <v>0</v>
      </c>
      <c r="AD16" s="55">
        <f>IF(AQ16="7",BH16,0)</f>
        <v>0</v>
      </c>
      <c r="AE16" s="55">
        <f>IF(AQ16="7",BI16,0)</f>
        <v>0</v>
      </c>
      <c r="AF16" s="55">
        <f>IF(AQ16="2",BH16,0)</f>
        <v>0</v>
      </c>
      <c r="AG16" s="55">
        <f>IF(AQ16="2",BI16,0)</f>
        <v>0</v>
      </c>
      <c r="AH16" s="55">
        <f>IF(AQ16="0",BJ16,0)</f>
        <v>0</v>
      </c>
      <c r="AI16" s="34" t="s">
        <v>116</v>
      </c>
      <c r="AJ16" s="55">
        <f>IF(AN16=0,I16,0)</f>
        <v>0</v>
      </c>
      <c r="AK16" s="55">
        <f>IF(AN16=12,I16,0)</f>
        <v>0</v>
      </c>
      <c r="AL16" s="55">
        <f>IF(AN16=21,I16,0)</f>
        <v>0</v>
      </c>
      <c r="AN16" s="55">
        <v>21</v>
      </c>
      <c r="AO16" s="55">
        <f>H16*0.909785933</f>
        <v>0</v>
      </c>
      <c r="AP16" s="55">
        <f>H16*(1-0.909785933)</f>
        <v>0</v>
      </c>
      <c r="AQ16" s="58" t="s">
        <v>125</v>
      </c>
      <c r="AV16" s="55">
        <f>AW16+AX16</f>
        <v>0</v>
      </c>
      <c r="AW16" s="55">
        <f>G16*AO16</f>
        <v>0</v>
      </c>
      <c r="AX16" s="55">
        <f>G16*AP16</f>
        <v>0</v>
      </c>
      <c r="AY16" s="58" t="s">
        <v>126</v>
      </c>
      <c r="AZ16" s="58" t="s">
        <v>127</v>
      </c>
      <c r="BA16" s="34" t="s">
        <v>128</v>
      </c>
      <c r="BC16" s="55">
        <f>AW16+AX16</f>
        <v>0</v>
      </c>
      <c r="BD16" s="55">
        <f>H16/(100-BE16)*100</f>
        <v>0</v>
      </c>
      <c r="BE16" s="55">
        <v>0</v>
      </c>
      <c r="BF16" s="55">
        <f>K16</f>
        <v>0</v>
      </c>
      <c r="BH16" s="55">
        <f>G16*AO16</f>
        <v>0</v>
      </c>
      <c r="BI16" s="55">
        <f>G16*AP16</f>
        <v>0</v>
      </c>
      <c r="BJ16" s="55">
        <f>G16*H16</f>
        <v>0</v>
      </c>
      <c r="BK16" s="55"/>
      <c r="BL16" s="55"/>
      <c r="BW16" s="55">
        <v>21</v>
      </c>
    </row>
    <row r="17" spans="1:12" ht="13.5" customHeight="1">
      <c r="A17" s="59"/>
      <c r="D17" s="218" t="s">
        <v>129</v>
      </c>
      <c r="E17" s="219"/>
      <c r="F17" s="219"/>
      <c r="G17" s="219"/>
      <c r="H17" s="219"/>
      <c r="I17" s="219"/>
      <c r="J17" s="219"/>
      <c r="K17" s="219"/>
      <c r="L17" s="221"/>
    </row>
    <row r="18" spans="1:75" ht="13.5" customHeight="1">
      <c r="A18" s="1" t="s">
        <v>133</v>
      </c>
      <c r="B18" s="2" t="s">
        <v>116</v>
      </c>
      <c r="C18" s="2" t="s">
        <v>134</v>
      </c>
      <c r="D18" s="147" t="s">
        <v>135</v>
      </c>
      <c r="E18" s="148"/>
      <c r="F18" s="2" t="s">
        <v>123</v>
      </c>
      <c r="G18" s="55">
        <f>'Stavební rozpočet-vyplnit'!G18</f>
        <v>9</v>
      </c>
      <c r="H18" s="55">
        <f>'Stavební rozpočet-vyplnit'!H18</f>
        <v>0</v>
      </c>
      <c r="I18" s="55">
        <f>G18*H18</f>
        <v>0</v>
      </c>
      <c r="J18" s="55">
        <f>'Stavební rozpočet-vyplnit'!J18</f>
        <v>0</v>
      </c>
      <c r="K18" s="55">
        <f>G18*J18</f>
        <v>0</v>
      </c>
      <c r="L18" s="57" t="s">
        <v>124</v>
      </c>
      <c r="Z18" s="55">
        <f>IF(AQ18="5",BJ18,0)</f>
        <v>0</v>
      </c>
      <c r="AB18" s="55">
        <f>IF(AQ18="1",BH18,0)</f>
        <v>0</v>
      </c>
      <c r="AC18" s="55">
        <f>IF(AQ18="1",BI18,0)</f>
        <v>0</v>
      </c>
      <c r="AD18" s="55">
        <f>IF(AQ18="7",BH18,0)</f>
        <v>0</v>
      </c>
      <c r="AE18" s="55">
        <f>IF(AQ18="7",BI18,0)</f>
        <v>0</v>
      </c>
      <c r="AF18" s="55">
        <f>IF(AQ18="2",BH18,0)</f>
        <v>0</v>
      </c>
      <c r="AG18" s="55">
        <f>IF(AQ18="2",BI18,0)</f>
        <v>0</v>
      </c>
      <c r="AH18" s="55">
        <f>IF(AQ18="0",BJ18,0)</f>
        <v>0</v>
      </c>
      <c r="AI18" s="34" t="s">
        <v>116</v>
      </c>
      <c r="AJ18" s="55">
        <f>IF(AN18=0,I18,0)</f>
        <v>0</v>
      </c>
      <c r="AK18" s="55">
        <f>IF(AN18=12,I18,0)</f>
        <v>0</v>
      </c>
      <c r="AL18" s="55">
        <f>IF(AN18=21,I18,0)</f>
        <v>0</v>
      </c>
      <c r="AN18" s="55">
        <v>21</v>
      </c>
      <c r="AO18" s="55">
        <f>H18*0.66572238</f>
        <v>0</v>
      </c>
      <c r="AP18" s="55">
        <f>H18*(1-0.66572238)</f>
        <v>0</v>
      </c>
      <c r="AQ18" s="58" t="s">
        <v>125</v>
      </c>
      <c r="AV18" s="55">
        <f>AW18+AX18</f>
        <v>0</v>
      </c>
      <c r="AW18" s="55">
        <f>G18*AO18</f>
        <v>0</v>
      </c>
      <c r="AX18" s="55">
        <f>G18*AP18</f>
        <v>0</v>
      </c>
      <c r="AY18" s="58" t="s">
        <v>126</v>
      </c>
      <c r="AZ18" s="58" t="s">
        <v>127</v>
      </c>
      <c r="BA18" s="34" t="s">
        <v>128</v>
      </c>
      <c r="BC18" s="55">
        <f>AW18+AX18</f>
        <v>0</v>
      </c>
      <c r="BD18" s="55">
        <f>H18/(100-BE18)*100</f>
        <v>0</v>
      </c>
      <c r="BE18" s="55">
        <v>0</v>
      </c>
      <c r="BF18" s="55">
        <f>K18</f>
        <v>0</v>
      </c>
      <c r="BH18" s="55">
        <f>G18*AO18</f>
        <v>0</v>
      </c>
      <c r="BI18" s="55">
        <f>G18*AP18</f>
        <v>0</v>
      </c>
      <c r="BJ18" s="55">
        <f>G18*H18</f>
        <v>0</v>
      </c>
      <c r="BK18" s="55"/>
      <c r="BL18" s="55"/>
      <c r="BW18" s="55">
        <v>21</v>
      </c>
    </row>
    <row r="19" spans="1:12" ht="13.5" customHeight="1">
      <c r="A19" s="59"/>
      <c r="D19" s="218" t="s">
        <v>129</v>
      </c>
      <c r="E19" s="219"/>
      <c r="F19" s="219"/>
      <c r="G19" s="219"/>
      <c r="H19" s="219"/>
      <c r="I19" s="219"/>
      <c r="J19" s="219"/>
      <c r="K19" s="219"/>
      <c r="L19" s="221"/>
    </row>
    <row r="20" spans="1:75" ht="13.5" customHeight="1">
      <c r="A20" s="1" t="s">
        <v>136</v>
      </c>
      <c r="B20" s="2" t="s">
        <v>116</v>
      </c>
      <c r="C20" s="2" t="s">
        <v>137</v>
      </c>
      <c r="D20" s="147" t="s">
        <v>138</v>
      </c>
      <c r="E20" s="148"/>
      <c r="F20" s="2" t="s">
        <v>123</v>
      </c>
      <c r="G20" s="55">
        <f>'Stavební rozpočet-vyplnit'!G20</f>
        <v>5</v>
      </c>
      <c r="H20" s="55">
        <f>'Stavební rozpočet-vyplnit'!H20</f>
        <v>0</v>
      </c>
      <c r="I20" s="55">
        <f>G20*H20</f>
        <v>0</v>
      </c>
      <c r="J20" s="55">
        <f>'Stavební rozpočet-vyplnit'!J20</f>
        <v>0</v>
      </c>
      <c r="K20" s="55">
        <f>G20*J20</f>
        <v>0</v>
      </c>
      <c r="L20" s="57" t="s">
        <v>124</v>
      </c>
      <c r="Z20" s="55">
        <f>IF(AQ20="5",BJ20,0)</f>
        <v>0</v>
      </c>
      <c r="AB20" s="55">
        <f>IF(AQ20="1",BH20,0)</f>
        <v>0</v>
      </c>
      <c r="AC20" s="55">
        <f>IF(AQ20="1",BI20,0)</f>
        <v>0</v>
      </c>
      <c r="AD20" s="55">
        <f>IF(AQ20="7",BH20,0)</f>
        <v>0</v>
      </c>
      <c r="AE20" s="55">
        <f>IF(AQ20="7",BI20,0)</f>
        <v>0</v>
      </c>
      <c r="AF20" s="55">
        <f>IF(AQ20="2",BH20,0)</f>
        <v>0</v>
      </c>
      <c r="AG20" s="55">
        <f>IF(AQ20="2",BI20,0)</f>
        <v>0</v>
      </c>
      <c r="AH20" s="55">
        <f>IF(AQ20="0",BJ20,0)</f>
        <v>0</v>
      </c>
      <c r="AI20" s="34" t="s">
        <v>116</v>
      </c>
      <c r="AJ20" s="55">
        <f>IF(AN20=0,I20,0)</f>
        <v>0</v>
      </c>
      <c r="AK20" s="55">
        <f>IF(AN20=12,I20,0)</f>
        <v>0</v>
      </c>
      <c r="AL20" s="55">
        <f>IF(AN20=21,I20,0)</f>
        <v>0</v>
      </c>
      <c r="AN20" s="55">
        <v>21</v>
      </c>
      <c r="AO20" s="55">
        <f>H20*0.738396624</f>
        <v>0</v>
      </c>
      <c r="AP20" s="55">
        <f>H20*(1-0.738396624)</f>
        <v>0</v>
      </c>
      <c r="AQ20" s="58" t="s">
        <v>125</v>
      </c>
      <c r="AV20" s="55">
        <f>AW20+AX20</f>
        <v>0</v>
      </c>
      <c r="AW20" s="55">
        <f>G20*AO20</f>
        <v>0</v>
      </c>
      <c r="AX20" s="55">
        <f>G20*AP20</f>
        <v>0</v>
      </c>
      <c r="AY20" s="58" t="s">
        <v>126</v>
      </c>
      <c r="AZ20" s="58" t="s">
        <v>127</v>
      </c>
      <c r="BA20" s="34" t="s">
        <v>128</v>
      </c>
      <c r="BC20" s="55">
        <f>AW20+AX20</f>
        <v>0</v>
      </c>
      <c r="BD20" s="55">
        <f>H20/(100-BE20)*100</f>
        <v>0</v>
      </c>
      <c r="BE20" s="55">
        <v>0</v>
      </c>
      <c r="BF20" s="55">
        <f>K20</f>
        <v>0</v>
      </c>
      <c r="BH20" s="55">
        <f>G20*AO20</f>
        <v>0</v>
      </c>
      <c r="BI20" s="55">
        <f>G20*AP20</f>
        <v>0</v>
      </c>
      <c r="BJ20" s="55">
        <f>G20*H20</f>
        <v>0</v>
      </c>
      <c r="BK20" s="55"/>
      <c r="BL20" s="55"/>
      <c r="BW20" s="55">
        <v>21</v>
      </c>
    </row>
    <row r="21" spans="1:12" ht="13.5" customHeight="1">
      <c r="A21" s="59"/>
      <c r="D21" s="218" t="s">
        <v>129</v>
      </c>
      <c r="E21" s="219"/>
      <c r="F21" s="219"/>
      <c r="G21" s="219"/>
      <c r="H21" s="219"/>
      <c r="I21" s="219"/>
      <c r="J21" s="219"/>
      <c r="K21" s="219"/>
      <c r="L21" s="221"/>
    </row>
    <row r="22" spans="1:75" ht="13.5" customHeight="1">
      <c r="A22" s="1" t="s">
        <v>139</v>
      </c>
      <c r="B22" s="2" t="s">
        <v>116</v>
      </c>
      <c r="C22" s="2" t="s">
        <v>140</v>
      </c>
      <c r="D22" s="147" t="s">
        <v>141</v>
      </c>
      <c r="E22" s="148"/>
      <c r="F22" s="2" t="s">
        <v>123</v>
      </c>
      <c r="G22" s="55">
        <f>'Stavební rozpočet-vyplnit'!G22</f>
        <v>5</v>
      </c>
      <c r="H22" s="55">
        <f>'Stavební rozpočet-vyplnit'!H22</f>
        <v>0</v>
      </c>
      <c r="I22" s="55">
        <f>G22*H22</f>
        <v>0</v>
      </c>
      <c r="J22" s="55">
        <f>'Stavební rozpočet-vyplnit'!J22</f>
        <v>0</v>
      </c>
      <c r="K22" s="55">
        <f>G22*J22</f>
        <v>0</v>
      </c>
      <c r="L22" s="57" t="s">
        <v>124</v>
      </c>
      <c r="Z22" s="55">
        <f>IF(AQ22="5",BJ22,0)</f>
        <v>0</v>
      </c>
      <c r="AB22" s="55">
        <f>IF(AQ22="1",BH22,0)</f>
        <v>0</v>
      </c>
      <c r="AC22" s="55">
        <f>IF(AQ22="1",BI22,0)</f>
        <v>0</v>
      </c>
      <c r="AD22" s="55">
        <f>IF(AQ22="7",BH22,0)</f>
        <v>0</v>
      </c>
      <c r="AE22" s="55">
        <f>IF(AQ22="7",BI22,0)</f>
        <v>0</v>
      </c>
      <c r="AF22" s="55">
        <f>IF(AQ22="2",BH22,0)</f>
        <v>0</v>
      </c>
      <c r="AG22" s="55">
        <f>IF(AQ22="2",BI22,0)</f>
        <v>0</v>
      </c>
      <c r="AH22" s="55">
        <f>IF(AQ22="0",BJ22,0)</f>
        <v>0</v>
      </c>
      <c r="AI22" s="34" t="s">
        <v>116</v>
      </c>
      <c r="AJ22" s="55">
        <f>IF(AN22=0,I22,0)</f>
        <v>0</v>
      </c>
      <c r="AK22" s="55">
        <f>IF(AN22=12,I22,0)</f>
        <v>0</v>
      </c>
      <c r="AL22" s="55">
        <f>IF(AN22=21,I22,0)</f>
        <v>0</v>
      </c>
      <c r="AN22" s="55">
        <v>21</v>
      </c>
      <c r="AO22" s="55">
        <f>H22*0.94021215</f>
        <v>0</v>
      </c>
      <c r="AP22" s="55">
        <f>H22*(1-0.94021215)</f>
        <v>0</v>
      </c>
      <c r="AQ22" s="58" t="s">
        <v>125</v>
      </c>
      <c r="AV22" s="55">
        <f>AW22+AX22</f>
        <v>0</v>
      </c>
      <c r="AW22" s="55">
        <f>G22*AO22</f>
        <v>0</v>
      </c>
      <c r="AX22" s="55">
        <f>G22*AP22</f>
        <v>0</v>
      </c>
      <c r="AY22" s="58" t="s">
        <v>126</v>
      </c>
      <c r="AZ22" s="58" t="s">
        <v>127</v>
      </c>
      <c r="BA22" s="34" t="s">
        <v>128</v>
      </c>
      <c r="BC22" s="55">
        <f>AW22+AX22</f>
        <v>0</v>
      </c>
      <c r="BD22" s="55">
        <f>H22/(100-BE22)*100</f>
        <v>0</v>
      </c>
      <c r="BE22" s="55">
        <v>0</v>
      </c>
      <c r="BF22" s="55">
        <f>K22</f>
        <v>0</v>
      </c>
      <c r="BH22" s="55">
        <f>G22*AO22</f>
        <v>0</v>
      </c>
      <c r="BI22" s="55">
        <f>G22*AP22</f>
        <v>0</v>
      </c>
      <c r="BJ22" s="55">
        <f>G22*H22</f>
        <v>0</v>
      </c>
      <c r="BK22" s="55"/>
      <c r="BL22" s="55"/>
      <c r="BW22" s="55">
        <v>21</v>
      </c>
    </row>
    <row r="23" spans="1:12" ht="13.5" customHeight="1">
      <c r="A23" s="59"/>
      <c r="D23" s="218" t="s">
        <v>129</v>
      </c>
      <c r="E23" s="219"/>
      <c r="F23" s="219"/>
      <c r="G23" s="219"/>
      <c r="H23" s="219"/>
      <c r="I23" s="219"/>
      <c r="J23" s="219"/>
      <c r="K23" s="219"/>
      <c r="L23" s="221"/>
    </row>
    <row r="24" spans="1:75" ht="13.5" customHeight="1">
      <c r="A24" s="1" t="s">
        <v>142</v>
      </c>
      <c r="B24" s="2" t="s">
        <v>116</v>
      </c>
      <c r="C24" s="2" t="s">
        <v>143</v>
      </c>
      <c r="D24" s="147" t="s">
        <v>144</v>
      </c>
      <c r="E24" s="148"/>
      <c r="F24" s="2" t="s">
        <v>123</v>
      </c>
      <c r="G24" s="55">
        <f>'Stavební rozpočet-vyplnit'!G24</f>
        <v>3</v>
      </c>
      <c r="H24" s="55">
        <f>'Stavební rozpočet-vyplnit'!H24</f>
        <v>0</v>
      </c>
      <c r="I24" s="55">
        <f>G24*H24</f>
        <v>0</v>
      </c>
      <c r="J24" s="55">
        <f>'Stavební rozpočet-vyplnit'!J24</f>
        <v>0</v>
      </c>
      <c r="K24" s="55">
        <f>G24*J24</f>
        <v>0</v>
      </c>
      <c r="L24" s="57" t="s">
        <v>124</v>
      </c>
      <c r="Z24" s="55">
        <f>IF(AQ24="5",BJ24,0)</f>
        <v>0</v>
      </c>
      <c r="AB24" s="55">
        <f>IF(AQ24="1",BH24,0)</f>
        <v>0</v>
      </c>
      <c r="AC24" s="55">
        <f>IF(AQ24="1",BI24,0)</f>
        <v>0</v>
      </c>
      <c r="AD24" s="55">
        <f>IF(AQ24="7",BH24,0)</f>
        <v>0</v>
      </c>
      <c r="AE24" s="55">
        <f>IF(AQ24="7",BI24,0)</f>
        <v>0</v>
      </c>
      <c r="AF24" s="55">
        <f>IF(AQ24="2",BH24,0)</f>
        <v>0</v>
      </c>
      <c r="AG24" s="55">
        <f>IF(AQ24="2",BI24,0)</f>
        <v>0</v>
      </c>
      <c r="AH24" s="55">
        <f>IF(AQ24="0",BJ24,0)</f>
        <v>0</v>
      </c>
      <c r="AI24" s="34" t="s">
        <v>116</v>
      </c>
      <c r="AJ24" s="55">
        <f>IF(AN24=0,I24,0)</f>
        <v>0</v>
      </c>
      <c r="AK24" s="55">
        <f>IF(AN24=12,I24,0)</f>
        <v>0</v>
      </c>
      <c r="AL24" s="55">
        <f>IF(AN24=21,I24,0)</f>
        <v>0</v>
      </c>
      <c r="AN24" s="55">
        <v>21</v>
      </c>
      <c r="AO24" s="55">
        <f>H24*0.939177102</f>
        <v>0</v>
      </c>
      <c r="AP24" s="55">
        <f>H24*(1-0.939177102)</f>
        <v>0</v>
      </c>
      <c r="AQ24" s="58" t="s">
        <v>125</v>
      </c>
      <c r="AV24" s="55">
        <f>AW24+AX24</f>
        <v>0</v>
      </c>
      <c r="AW24" s="55">
        <f>G24*AO24</f>
        <v>0</v>
      </c>
      <c r="AX24" s="55">
        <f>G24*AP24</f>
        <v>0</v>
      </c>
      <c r="AY24" s="58" t="s">
        <v>126</v>
      </c>
      <c r="AZ24" s="58" t="s">
        <v>127</v>
      </c>
      <c r="BA24" s="34" t="s">
        <v>128</v>
      </c>
      <c r="BC24" s="55">
        <f>AW24+AX24</f>
        <v>0</v>
      </c>
      <c r="BD24" s="55">
        <f>H24/(100-BE24)*100</f>
        <v>0</v>
      </c>
      <c r="BE24" s="55">
        <v>0</v>
      </c>
      <c r="BF24" s="55">
        <f>K24</f>
        <v>0</v>
      </c>
      <c r="BH24" s="55">
        <f>G24*AO24</f>
        <v>0</v>
      </c>
      <c r="BI24" s="55">
        <f>G24*AP24</f>
        <v>0</v>
      </c>
      <c r="BJ24" s="55">
        <f>G24*H24</f>
        <v>0</v>
      </c>
      <c r="BK24" s="55"/>
      <c r="BL24" s="55"/>
      <c r="BW24" s="55">
        <v>21</v>
      </c>
    </row>
    <row r="25" spans="1:12" ht="13.5" customHeight="1">
      <c r="A25" s="59"/>
      <c r="D25" s="218" t="s">
        <v>129</v>
      </c>
      <c r="E25" s="219"/>
      <c r="F25" s="219"/>
      <c r="G25" s="219"/>
      <c r="H25" s="219"/>
      <c r="I25" s="219"/>
      <c r="J25" s="219"/>
      <c r="K25" s="219"/>
      <c r="L25" s="221"/>
    </row>
    <row r="26" spans="1:75" ht="13.5" customHeight="1">
      <c r="A26" s="1" t="s">
        <v>125</v>
      </c>
      <c r="B26" s="2" t="s">
        <v>116</v>
      </c>
      <c r="C26" s="2" t="s">
        <v>145</v>
      </c>
      <c r="D26" s="147" t="s">
        <v>146</v>
      </c>
      <c r="E26" s="148"/>
      <c r="F26" s="2" t="s">
        <v>123</v>
      </c>
      <c r="G26" s="55">
        <f>'Stavební rozpočet-vyplnit'!G26</f>
        <v>10</v>
      </c>
      <c r="H26" s="55">
        <f>'Stavební rozpočet-vyplnit'!H26</f>
        <v>0</v>
      </c>
      <c r="I26" s="55">
        <f>G26*H26</f>
        <v>0</v>
      </c>
      <c r="J26" s="55">
        <f>'Stavební rozpočet-vyplnit'!J26</f>
        <v>0</v>
      </c>
      <c r="K26" s="55">
        <f>G26*J26</f>
        <v>0</v>
      </c>
      <c r="L26" s="57" t="s">
        <v>124</v>
      </c>
      <c r="Z26" s="55">
        <f>IF(AQ26="5",BJ26,0)</f>
        <v>0</v>
      </c>
      <c r="AB26" s="55">
        <f>IF(AQ26="1",BH26,0)</f>
        <v>0</v>
      </c>
      <c r="AC26" s="55">
        <f>IF(AQ26="1",BI26,0)</f>
        <v>0</v>
      </c>
      <c r="AD26" s="55">
        <f>IF(AQ26="7",BH26,0)</f>
        <v>0</v>
      </c>
      <c r="AE26" s="55">
        <f>IF(AQ26="7",BI26,0)</f>
        <v>0</v>
      </c>
      <c r="AF26" s="55">
        <f>IF(AQ26="2",BH26,0)</f>
        <v>0</v>
      </c>
      <c r="AG26" s="55">
        <f>IF(AQ26="2",BI26,0)</f>
        <v>0</v>
      </c>
      <c r="AH26" s="55">
        <f>IF(AQ26="0",BJ26,0)</f>
        <v>0</v>
      </c>
      <c r="AI26" s="34" t="s">
        <v>116</v>
      </c>
      <c r="AJ26" s="55">
        <f>IF(AN26=0,I26,0)</f>
        <v>0</v>
      </c>
      <c r="AK26" s="55">
        <f>IF(AN26=12,I26,0)</f>
        <v>0</v>
      </c>
      <c r="AL26" s="55">
        <f>IF(AN26=21,I26,0)</f>
        <v>0</v>
      </c>
      <c r="AN26" s="55">
        <v>21</v>
      </c>
      <c r="AO26" s="55">
        <f>H26*0.740072202</f>
        <v>0</v>
      </c>
      <c r="AP26" s="55">
        <f>H26*(1-0.740072202)</f>
        <v>0</v>
      </c>
      <c r="AQ26" s="58" t="s">
        <v>125</v>
      </c>
      <c r="AV26" s="55">
        <f>AW26+AX26</f>
        <v>0</v>
      </c>
      <c r="AW26" s="55">
        <f>G26*AO26</f>
        <v>0</v>
      </c>
      <c r="AX26" s="55">
        <f>G26*AP26</f>
        <v>0</v>
      </c>
      <c r="AY26" s="58" t="s">
        <v>126</v>
      </c>
      <c r="AZ26" s="58" t="s">
        <v>127</v>
      </c>
      <c r="BA26" s="34" t="s">
        <v>128</v>
      </c>
      <c r="BC26" s="55">
        <f>AW26+AX26</f>
        <v>0</v>
      </c>
      <c r="BD26" s="55">
        <f>H26/(100-BE26)*100</f>
        <v>0</v>
      </c>
      <c r="BE26" s="55">
        <v>0</v>
      </c>
      <c r="BF26" s="55">
        <f>K26</f>
        <v>0</v>
      </c>
      <c r="BH26" s="55">
        <f>G26*AO26</f>
        <v>0</v>
      </c>
      <c r="BI26" s="55">
        <f>G26*AP26</f>
        <v>0</v>
      </c>
      <c r="BJ26" s="55">
        <f>G26*H26</f>
        <v>0</v>
      </c>
      <c r="BK26" s="55"/>
      <c r="BL26" s="55"/>
      <c r="BW26" s="55">
        <v>21</v>
      </c>
    </row>
    <row r="27" spans="1:12" ht="13.5" customHeight="1">
      <c r="A27" s="59"/>
      <c r="D27" s="218" t="s">
        <v>129</v>
      </c>
      <c r="E27" s="219"/>
      <c r="F27" s="219"/>
      <c r="G27" s="219"/>
      <c r="H27" s="219"/>
      <c r="I27" s="219"/>
      <c r="J27" s="219"/>
      <c r="K27" s="219"/>
      <c r="L27" s="221"/>
    </row>
    <row r="28" spans="1:75" ht="13.5" customHeight="1">
      <c r="A28" s="1" t="s">
        <v>147</v>
      </c>
      <c r="B28" s="2" t="s">
        <v>116</v>
      </c>
      <c r="C28" s="2" t="s">
        <v>148</v>
      </c>
      <c r="D28" s="147" t="s">
        <v>149</v>
      </c>
      <c r="E28" s="148"/>
      <c r="F28" s="2" t="s">
        <v>123</v>
      </c>
      <c r="G28" s="55">
        <f>'Stavební rozpočet-vyplnit'!G28</f>
        <v>2</v>
      </c>
      <c r="H28" s="55">
        <f>'Stavební rozpočet-vyplnit'!H28</f>
        <v>0</v>
      </c>
      <c r="I28" s="55">
        <f>G28*H28</f>
        <v>0</v>
      </c>
      <c r="J28" s="55">
        <f>'Stavební rozpočet-vyplnit'!J28</f>
        <v>0</v>
      </c>
      <c r="K28" s="55">
        <f>G28*J28</f>
        <v>0</v>
      </c>
      <c r="L28" s="57" t="s">
        <v>124</v>
      </c>
      <c r="Z28" s="55">
        <f>IF(AQ28="5",BJ28,0)</f>
        <v>0</v>
      </c>
      <c r="AB28" s="55">
        <f>IF(AQ28="1",BH28,0)</f>
        <v>0</v>
      </c>
      <c r="AC28" s="55">
        <f>IF(AQ28="1",BI28,0)</f>
        <v>0</v>
      </c>
      <c r="AD28" s="55">
        <f>IF(AQ28="7",BH28,0)</f>
        <v>0</v>
      </c>
      <c r="AE28" s="55">
        <f>IF(AQ28="7",BI28,0)</f>
        <v>0</v>
      </c>
      <c r="AF28" s="55">
        <f>IF(AQ28="2",BH28,0)</f>
        <v>0</v>
      </c>
      <c r="AG28" s="55">
        <f>IF(AQ28="2",BI28,0)</f>
        <v>0</v>
      </c>
      <c r="AH28" s="55">
        <f>IF(AQ28="0",BJ28,0)</f>
        <v>0</v>
      </c>
      <c r="AI28" s="34" t="s">
        <v>116</v>
      </c>
      <c r="AJ28" s="55">
        <f>IF(AN28=0,I28,0)</f>
        <v>0</v>
      </c>
      <c r="AK28" s="55">
        <f>IF(AN28=12,I28,0)</f>
        <v>0</v>
      </c>
      <c r="AL28" s="55">
        <f>IF(AN28=21,I28,0)</f>
        <v>0</v>
      </c>
      <c r="AN28" s="55">
        <v>21</v>
      </c>
      <c r="AO28" s="55">
        <f>H28*0.743944637</f>
        <v>0</v>
      </c>
      <c r="AP28" s="55">
        <f>H28*(1-0.743944637)</f>
        <v>0</v>
      </c>
      <c r="AQ28" s="58" t="s">
        <v>125</v>
      </c>
      <c r="AV28" s="55">
        <f>AW28+AX28</f>
        <v>0</v>
      </c>
      <c r="AW28" s="55">
        <f>G28*AO28</f>
        <v>0</v>
      </c>
      <c r="AX28" s="55">
        <f>G28*AP28</f>
        <v>0</v>
      </c>
      <c r="AY28" s="58" t="s">
        <v>126</v>
      </c>
      <c r="AZ28" s="58" t="s">
        <v>127</v>
      </c>
      <c r="BA28" s="34" t="s">
        <v>128</v>
      </c>
      <c r="BC28" s="55">
        <f>AW28+AX28</f>
        <v>0</v>
      </c>
      <c r="BD28" s="55">
        <f>H28/(100-BE28)*100</f>
        <v>0</v>
      </c>
      <c r="BE28" s="55">
        <v>0</v>
      </c>
      <c r="BF28" s="55">
        <f>K28</f>
        <v>0</v>
      </c>
      <c r="BH28" s="55">
        <f>G28*AO28</f>
        <v>0</v>
      </c>
      <c r="BI28" s="55">
        <f>G28*AP28</f>
        <v>0</v>
      </c>
      <c r="BJ28" s="55">
        <f>G28*H28</f>
        <v>0</v>
      </c>
      <c r="BK28" s="55"/>
      <c r="BL28" s="55"/>
      <c r="BW28" s="55">
        <v>21</v>
      </c>
    </row>
    <row r="29" spans="1:12" ht="13.5" customHeight="1">
      <c r="A29" s="59"/>
      <c r="D29" s="218" t="s">
        <v>129</v>
      </c>
      <c r="E29" s="219"/>
      <c r="F29" s="219"/>
      <c r="G29" s="219"/>
      <c r="H29" s="219"/>
      <c r="I29" s="219"/>
      <c r="J29" s="219"/>
      <c r="K29" s="219"/>
      <c r="L29" s="221"/>
    </row>
    <row r="30" spans="1:75" ht="13.5" customHeight="1">
      <c r="A30" s="1" t="s">
        <v>150</v>
      </c>
      <c r="B30" s="2" t="s">
        <v>116</v>
      </c>
      <c r="C30" s="2" t="s">
        <v>151</v>
      </c>
      <c r="D30" s="147" t="s">
        <v>152</v>
      </c>
      <c r="E30" s="148"/>
      <c r="F30" s="2" t="s">
        <v>123</v>
      </c>
      <c r="G30" s="55">
        <f>'Stavební rozpočet-vyplnit'!G30</f>
        <v>2</v>
      </c>
      <c r="H30" s="55">
        <f>'Stavební rozpočet-vyplnit'!H30</f>
        <v>0</v>
      </c>
      <c r="I30" s="55">
        <f>G30*H30</f>
        <v>0</v>
      </c>
      <c r="J30" s="55">
        <f>'Stavební rozpočet-vyplnit'!J30</f>
        <v>0</v>
      </c>
      <c r="K30" s="55">
        <f>G30*J30</f>
        <v>0</v>
      </c>
      <c r="L30" s="57" t="s">
        <v>124</v>
      </c>
      <c r="Z30" s="55">
        <f>IF(AQ30="5",BJ30,0)</f>
        <v>0</v>
      </c>
      <c r="AB30" s="55">
        <f>IF(AQ30="1",BH30,0)</f>
        <v>0</v>
      </c>
      <c r="AC30" s="55">
        <f>IF(AQ30="1",BI30,0)</f>
        <v>0</v>
      </c>
      <c r="AD30" s="55">
        <f>IF(AQ30="7",BH30,0)</f>
        <v>0</v>
      </c>
      <c r="AE30" s="55">
        <f>IF(AQ30="7",BI30,0)</f>
        <v>0</v>
      </c>
      <c r="AF30" s="55">
        <f>IF(AQ30="2",BH30,0)</f>
        <v>0</v>
      </c>
      <c r="AG30" s="55">
        <f>IF(AQ30="2",BI30,0)</f>
        <v>0</v>
      </c>
      <c r="AH30" s="55">
        <f>IF(AQ30="0",BJ30,0)</f>
        <v>0</v>
      </c>
      <c r="AI30" s="34" t="s">
        <v>116</v>
      </c>
      <c r="AJ30" s="55">
        <f>IF(AN30=0,I30,0)</f>
        <v>0</v>
      </c>
      <c r="AK30" s="55">
        <f>IF(AN30=12,I30,0)</f>
        <v>0</v>
      </c>
      <c r="AL30" s="55">
        <f>IF(AN30=21,I30,0)</f>
        <v>0</v>
      </c>
      <c r="AN30" s="55">
        <v>21</v>
      </c>
      <c r="AO30" s="55">
        <f>H30*0.747572816</f>
        <v>0</v>
      </c>
      <c r="AP30" s="55">
        <f>H30*(1-0.747572816)</f>
        <v>0</v>
      </c>
      <c r="AQ30" s="58" t="s">
        <v>125</v>
      </c>
      <c r="AV30" s="55">
        <f>AW30+AX30</f>
        <v>0</v>
      </c>
      <c r="AW30" s="55">
        <f>G30*AO30</f>
        <v>0</v>
      </c>
      <c r="AX30" s="55">
        <f>G30*AP30</f>
        <v>0</v>
      </c>
      <c r="AY30" s="58" t="s">
        <v>126</v>
      </c>
      <c r="AZ30" s="58" t="s">
        <v>127</v>
      </c>
      <c r="BA30" s="34" t="s">
        <v>128</v>
      </c>
      <c r="BC30" s="55">
        <f>AW30+AX30</f>
        <v>0</v>
      </c>
      <c r="BD30" s="55">
        <f>H30/(100-BE30)*100</f>
        <v>0</v>
      </c>
      <c r="BE30" s="55">
        <v>0</v>
      </c>
      <c r="BF30" s="55">
        <f>K30</f>
        <v>0</v>
      </c>
      <c r="BH30" s="55">
        <f>G30*AO30</f>
        <v>0</v>
      </c>
      <c r="BI30" s="55">
        <f>G30*AP30</f>
        <v>0</v>
      </c>
      <c r="BJ30" s="55">
        <f>G30*H30</f>
        <v>0</v>
      </c>
      <c r="BK30" s="55"/>
      <c r="BL30" s="55"/>
      <c r="BW30" s="55">
        <v>21</v>
      </c>
    </row>
    <row r="31" spans="1:12" ht="13.5" customHeight="1">
      <c r="A31" s="59"/>
      <c r="D31" s="218" t="s">
        <v>129</v>
      </c>
      <c r="E31" s="219"/>
      <c r="F31" s="219"/>
      <c r="G31" s="219"/>
      <c r="H31" s="219"/>
      <c r="I31" s="219"/>
      <c r="J31" s="219"/>
      <c r="K31" s="219"/>
      <c r="L31" s="221"/>
    </row>
    <row r="32" spans="1:75" ht="13.5" customHeight="1">
      <c r="A32" s="1" t="s">
        <v>153</v>
      </c>
      <c r="B32" s="2" t="s">
        <v>116</v>
      </c>
      <c r="C32" s="2" t="s">
        <v>154</v>
      </c>
      <c r="D32" s="147" t="s">
        <v>155</v>
      </c>
      <c r="E32" s="148"/>
      <c r="F32" s="2" t="s">
        <v>123</v>
      </c>
      <c r="G32" s="55">
        <f>'Stavební rozpočet-vyplnit'!G32</f>
        <v>1</v>
      </c>
      <c r="H32" s="55">
        <f>'Stavební rozpočet-vyplnit'!H32</f>
        <v>0</v>
      </c>
      <c r="I32" s="55">
        <f>G32*H32</f>
        <v>0</v>
      </c>
      <c r="J32" s="55">
        <f>'Stavební rozpočet-vyplnit'!J32</f>
        <v>0</v>
      </c>
      <c r="K32" s="55">
        <f>G32*J32</f>
        <v>0</v>
      </c>
      <c r="L32" s="57" t="s">
        <v>124</v>
      </c>
      <c r="Z32" s="55">
        <f>IF(AQ32="5",BJ32,0)</f>
        <v>0</v>
      </c>
      <c r="AB32" s="55">
        <f>IF(AQ32="1",BH32,0)</f>
        <v>0</v>
      </c>
      <c r="AC32" s="55">
        <f>IF(AQ32="1",BI32,0)</f>
        <v>0</v>
      </c>
      <c r="AD32" s="55">
        <f>IF(AQ32="7",BH32,0)</f>
        <v>0</v>
      </c>
      <c r="AE32" s="55">
        <f>IF(AQ32="7",BI32,0)</f>
        <v>0</v>
      </c>
      <c r="AF32" s="55">
        <f>IF(AQ32="2",BH32,0)</f>
        <v>0</v>
      </c>
      <c r="AG32" s="55">
        <f>IF(AQ32="2",BI32,0)</f>
        <v>0</v>
      </c>
      <c r="AH32" s="55">
        <f>IF(AQ32="0",BJ32,0)</f>
        <v>0</v>
      </c>
      <c r="AI32" s="34" t="s">
        <v>116</v>
      </c>
      <c r="AJ32" s="55">
        <f>IF(AN32=0,I32,0)</f>
        <v>0</v>
      </c>
      <c r="AK32" s="55">
        <f>IF(AN32=12,I32,0)</f>
        <v>0</v>
      </c>
      <c r="AL32" s="55">
        <f>IF(AN32=21,I32,0)</f>
        <v>0</v>
      </c>
      <c r="AN32" s="55">
        <v>21</v>
      </c>
      <c r="AO32" s="55">
        <f>H32*0.864150943</f>
        <v>0</v>
      </c>
      <c r="AP32" s="55">
        <f>H32*(1-0.864150943)</f>
        <v>0</v>
      </c>
      <c r="AQ32" s="58" t="s">
        <v>125</v>
      </c>
      <c r="AV32" s="55">
        <f>AW32+AX32</f>
        <v>0</v>
      </c>
      <c r="AW32" s="55">
        <f>G32*AO32</f>
        <v>0</v>
      </c>
      <c r="AX32" s="55">
        <f>G32*AP32</f>
        <v>0</v>
      </c>
      <c r="AY32" s="58" t="s">
        <v>126</v>
      </c>
      <c r="AZ32" s="58" t="s">
        <v>127</v>
      </c>
      <c r="BA32" s="34" t="s">
        <v>128</v>
      </c>
      <c r="BC32" s="55">
        <f>AW32+AX32</f>
        <v>0</v>
      </c>
      <c r="BD32" s="55">
        <f>H32/(100-BE32)*100</f>
        <v>0</v>
      </c>
      <c r="BE32" s="55">
        <v>0</v>
      </c>
      <c r="BF32" s="55">
        <f>K32</f>
        <v>0</v>
      </c>
      <c r="BH32" s="55">
        <f>G32*AO32</f>
        <v>0</v>
      </c>
      <c r="BI32" s="55">
        <f>G32*AP32</f>
        <v>0</v>
      </c>
      <c r="BJ32" s="55">
        <f>G32*H32</f>
        <v>0</v>
      </c>
      <c r="BK32" s="55"/>
      <c r="BL32" s="55"/>
      <c r="BW32" s="55">
        <v>21</v>
      </c>
    </row>
    <row r="33" spans="1:12" ht="13.5" customHeight="1">
      <c r="A33" s="59"/>
      <c r="D33" s="218" t="s">
        <v>129</v>
      </c>
      <c r="E33" s="219"/>
      <c r="F33" s="219"/>
      <c r="G33" s="219"/>
      <c r="H33" s="219"/>
      <c r="I33" s="219"/>
      <c r="J33" s="219"/>
      <c r="K33" s="219"/>
      <c r="L33" s="221"/>
    </row>
    <row r="34" spans="1:75" ht="13.5" customHeight="1">
      <c r="A34" s="1" t="s">
        <v>156</v>
      </c>
      <c r="B34" s="2" t="s">
        <v>116</v>
      </c>
      <c r="C34" s="2" t="s">
        <v>157</v>
      </c>
      <c r="D34" s="147" t="s">
        <v>158</v>
      </c>
      <c r="E34" s="148"/>
      <c r="F34" s="2" t="s">
        <v>123</v>
      </c>
      <c r="G34" s="55">
        <f>'Stavební rozpočet-vyplnit'!G34</f>
        <v>2</v>
      </c>
      <c r="H34" s="55">
        <f>'Stavební rozpočet-vyplnit'!H34</f>
        <v>0</v>
      </c>
      <c r="I34" s="55">
        <f>G34*H34</f>
        <v>0</v>
      </c>
      <c r="J34" s="55">
        <f>'Stavební rozpočet-vyplnit'!J34</f>
        <v>0</v>
      </c>
      <c r="K34" s="55">
        <f>G34*J34</f>
        <v>0</v>
      </c>
      <c r="L34" s="57" t="s">
        <v>124</v>
      </c>
      <c r="Z34" s="55">
        <f>IF(AQ34="5",BJ34,0)</f>
        <v>0</v>
      </c>
      <c r="AB34" s="55">
        <f>IF(AQ34="1",BH34,0)</f>
        <v>0</v>
      </c>
      <c r="AC34" s="55">
        <f>IF(AQ34="1",BI34,0)</f>
        <v>0</v>
      </c>
      <c r="AD34" s="55">
        <f>IF(AQ34="7",BH34,0)</f>
        <v>0</v>
      </c>
      <c r="AE34" s="55">
        <f>IF(AQ34="7",BI34,0)</f>
        <v>0</v>
      </c>
      <c r="AF34" s="55">
        <f>IF(AQ34="2",BH34,0)</f>
        <v>0</v>
      </c>
      <c r="AG34" s="55">
        <f>IF(AQ34="2",BI34,0)</f>
        <v>0</v>
      </c>
      <c r="AH34" s="55">
        <f>IF(AQ34="0",BJ34,0)</f>
        <v>0</v>
      </c>
      <c r="AI34" s="34" t="s">
        <v>116</v>
      </c>
      <c r="AJ34" s="55">
        <f>IF(AN34=0,I34,0)</f>
        <v>0</v>
      </c>
      <c r="AK34" s="55">
        <f>IF(AN34=12,I34,0)</f>
        <v>0</v>
      </c>
      <c r="AL34" s="55">
        <f>IF(AN34=21,I34,0)</f>
        <v>0</v>
      </c>
      <c r="AN34" s="55">
        <v>21</v>
      </c>
      <c r="AO34" s="55">
        <f>H34*0.751004016</f>
        <v>0</v>
      </c>
      <c r="AP34" s="55">
        <f>H34*(1-0.751004016)</f>
        <v>0</v>
      </c>
      <c r="AQ34" s="58" t="s">
        <v>125</v>
      </c>
      <c r="AV34" s="55">
        <f>AW34+AX34</f>
        <v>0</v>
      </c>
      <c r="AW34" s="55">
        <f>G34*AO34</f>
        <v>0</v>
      </c>
      <c r="AX34" s="55">
        <f>G34*AP34</f>
        <v>0</v>
      </c>
      <c r="AY34" s="58" t="s">
        <v>126</v>
      </c>
      <c r="AZ34" s="58" t="s">
        <v>127</v>
      </c>
      <c r="BA34" s="34" t="s">
        <v>128</v>
      </c>
      <c r="BC34" s="55">
        <f>AW34+AX34</f>
        <v>0</v>
      </c>
      <c r="BD34" s="55">
        <f>H34/(100-BE34)*100</f>
        <v>0</v>
      </c>
      <c r="BE34" s="55">
        <v>0</v>
      </c>
      <c r="BF34" s="55">
        <f>K34</f>
        <v>0</v>
      </c>
      <c r="BH34" s="55">
        <f>G34*AO34</f>
        <v>0</v>
      </c>
      <c r="BI34" s="55">
        <f>G34*AP34</f>
        <v>0</v>
      </c>
      <c r="BJ34" s="55">
        <f>G34*H34</f>
        <v>0</v>
      </c>
      <c r="BK34" s="55"/>
      <c r="BL34" s="55"/>
      <c r="BW34" s="55">
        <v>21</v>
      </c>
    </row>
    <row r="35" spans="1:12" ht="13.5" customHeight="1">
      <c r="A35" s="59"/>
      <c r="D35" s="218" t="s">
        <v>129</v>
      </c>
      <c r="E35" s="219"/>
      <c r="F35" s="219"/>
      <c r="G35" s="219"/>
      <c r="H35" s="219"/>
      <c r="I35" s="219"/>
      <c r="J35" s="219"/>
      <c r="K35" s="219"/>
      <c r="L35" s="221"/>
    </row>
    <row r="36" spans="1:75" ht="13.5" customHeight="1">
      <c r="A36" s="1" t="s">
        <v>159</v>
      </c>
      <c r="B36" s="2" t="s">
        <v>116</v>
      </c>
      <c r="C36" s="2" t="s">
        <v>160</v>
      </c>
      <c r="D36" s="147" t="s">
        <v>161</v>
      </c>
      <c r="E36" s="148"/>
      <c r="F36" s="2" t="s">
        <v>123</v>
      </c>
      <c r="G36" s="55">
        <f>'Stavební rozpočet-vyplnit'!G36</f>
        <v>2</v>
      </c>
      <c r="H36" s="55">
        <f>'Stavební rozpočet-vyplnit'!H36</f>
        <v>0</v>
      </c>
      <c r="I36" s="55">
        <f>G36*H36</f>
        <v>0</v>
      </c>
      <c r="J36" s="55">
        <f>'Stavební rozpočet-vyplnit'!J36</f>
        <v>0</v>
      </c>
      <c r="K36" s="55">
        <f>G36*J36</f>
        <v>0</v>
      </c>
      <c r="L36" s="57" t="s">
        <v>124</v>
      </c>
      <c r="Z36" s="55">
        <f>IF(AQ36="5",BJ36,0)</f>
        <v>0</v>
      </c>
      <c r="AB36" s="55">
        <f>IF(AQ36="1",BH36,0)</f>
        <v>0</v>
      </c>
      <c r="AC36" s="55">
        <f>IF(AQ36="1",BI36,0)</f>
        <v>0</v>
      </c>
      <c r="AD36" s="55">
        <f>IF(AQ36="7",BH36,0)</f>
        <v>0</v>
      </c>
      <c r="AE36" s="55">
        <f>IF(AQ36="7",BI36,0)</f>
        <v>0</v>
      </c>
      <c r="AF36" s="55">
        <f>IF(AQ36="2",BH36,0)</f>
        <v>0</v>
      </c>
      <c r="AG36" s="55">
        <f>IF(AQ36="2",BI36,0)</f>
        <v>0</v>
      </c>
      <c r="AH36" s="55">
        <f>IF(AQ36="0",BJ36,0)</f>
        <v>0</v>
      </c>
      <c r="AI36" s="34" t="s">
        <v>116</v>
      </c>
      <c r="AJ36" s="55">
        <f>IF(AN36=0,I36,0)</f>
        <v>0</v>
      </c>
      <c r="AK36" s="55">
        <f>IF(AN36=12,I36,0)</f>
        <v>0</v>
      </c>
      <c r="AL36" s="55">
        <f>IF(AN36=21,I36,0)</f>
        <v>0</v>
      </c>
      <c r="AN36" s="55">
        <v>21</v>
      </c>
      <c r="AO36" s="55">
        <f>H36*0.724907063</f>
        <v>0</v>
      </c>
      <c r="AP36" s="55">
        <f>H36*(1-0.724907063)</f>
        <v>0</v>
      </c>
      <c r="AQ36" s="58" t="s">
        <v>125</v>
      </c>
      <c r="AV36" s="55">
        <f>AW36+AX36</f>
        <v>0</v>
      </c>
      <c r="AW36" s="55">
        <f>G36*AO36</f>
        <v>0</v>
      </c>
      <c r="AX36" s="55">
        <f>G36*AP36</f>
        <v>0</v>
      </c>
      <c r="AY36" s="58" t="s">
        <v>126</v>
      </c>
      <c r="AZ36" s="58" t="s">
        <v>127</v>
      </c>
      <c r="BA36" s="34" t="s">
        <v>128</v>
      </c>
      <c r="BC36" s="55">
        <f>AW36+AX36</f>
        <v>0</v>
      </c>
      <c r="BD36" s="55">
        <f>H36/(100-BE36)*100</f>
        <v>0</v>
      </c>
      <c r="BE36" s="55">
        <v>0</v>
      </c>
      <c r="BF36" s="55">
        <f>K36</f>
        <v>0</v>
      </c>
      <c r="BH36" s="55">
        <f>G36*AO36</f>
        <v>0</v>
      </c>
      <c r="BI36" s="55">
        <f>G36*AP36</f>
        <v>0</v>
      </c>
      <c r="BJ36" s="55">
        <f>G36*H36</f>
        <v>0</v>
      </c>
      <c r="BK36" s="55"/>
      <c r="BL36" s="55"/>
      <c r="BW36" s="55">
        <v>21</v>
      </c>
    </row>
    <row r="37" spans="1:12" ht="13.5" customHeight="1">
      <c r="A37" s="59"/>
      <c r="D37" s="218" t="s">
        <v>129</v>
      </c>
      <c r="E37" s="219"/>
      <c r="F37" s="219"/>
      <c r="G37" s="219"/>
      <c r="H37" s="219"/>
      <c r="I37" s="219"/>
      <c r="J37" s="219"/>
      <c r="K37" s="219"/>
      <c r="L37" s="221"/>
    </row>
    <row r="38" spans="1:75" ht="13.5" customHeight="1">
      <c r="A38" s="1" t="s">
        <v>162</v>
      </c>
      <c r="B38" s="2" t="s">
        <v>116</v>
      </c>
      <c r="C38" s="2" t="s">
        <v>163</v>
      </c>
      <c r="D38" s="147" t="s">
        <v>164</v>
      </c>
      <c r="E38" s="148"/>
      <c r="F38" s="2" t="s">
        <v>123</v>
      </c>
      <c r="G38" s="55">
        <f>'Stavební rozpočet-vyplnit'!G38</f>
        <v>2</v>
      </c>
      <c r="H38" s="55">
        <f>'Stavební rozpočet-vyplnit'!H38</f>
        <v>0</v>
      </c>
      <c r="I38" s="55">
        <f>G38*H38</f>
        <v>0</v>
      </c>
      <c r="J38" s="55">
        <f>'Stavební rozpočet-vyplnit'!J38</f>
        <v>0</v>
      </c>
      <c r="K38" s="55">
        <f>G38*J38</f>
        <v>0</v>
      </c>
      <c r="L38" s="57" t="s">
        <v>124</v>
      </c>
      <c r="Z38" s="55">
        <f>IF(AQ38="5",BJ38,0)</f>
        <v>0</v>
      </c>
      <c r="AB38" s="55">
        <f>IF(AQ38="1",BH38,0)</f>
        <v>0</v>
      </c>
      <c r="AC38" s="55">
        <f>IF(AQ38="1",BI38,0)</f>
        <v>0</v>
      </c>
      <c r="AD38" s="55">
        <f>IF(AQ38="7",BH38,0)</f>
        <v>0</v>
      </c>
      <c r="AE38" s="55">
        <f>IF(AQ38="7",BI38,0)</f>
        <v>0</v>
      </c>
      <c r="AF38" s="55">
        <f>IF(AQ38="2",BH38,0)</f>
        <v>0</v>
      </c>
      <c r="AG38" s="55">
        <f>IF(AQ38="2",BI38,0)</f>
        <v>0</v>
      </c>
      <c r="AH38" s="55">
        <f>IF(AQ38="0",BJ38,0)</f>
        <v>0</v>
      </c>
      <c r="AI38" s="34" t="s">
        <v>116</v>
      </c>
      <c r="AJ38" s="55">
        <f>IF(AN38=0,I38,0)</f>
        <v>0</v>
      </c>
      <c r="AK38" s="55">
        <f>IF(AN38=12,I38,0)</f>
        <v>0</v>
      </c>
      <c r="AL38" s="55">
        <f>IF(AN38=21,I38,0)</f>
        <v>0</v>
      </c>
      <c r="AN38" s="55">
        <v>21</v>
      </c>
      <c r="AO38" s="55">
        <f>H38*0.894021739</f>
        <v>0</v>
      </c>
      <c r="AP38" s="55">
        <f>H38*(1-0.894021739)</f>
        <v>0</v>
      </c>
      <c r="AQ38" s="58" t="s">
        <v>125</v>
      </c>
      <c r="AV38" s="55">
        <f>AW38+AX38</f>
        <v>0</v>
      </c>
      <c r="AW38" s="55">
        <f>G38*AO38</f>
        <v>0</v>
      </c>
      <c r="AX38" s="55">
        <f>G38*AP38</f>
        <v>0</v>
      </c>
      <c r="AY38" s="58" t="s">
        <v>126</v>
      </c>
      <c r="AZ38" s="58" t="s">
        <v>127</v>
      </c>
      <c r="BA38" s="34" t="s">
        <v>128</v>
      </c>
      <c r="BC38" s="55">
        <f>AW38+AX38</f>
        <v>0</v>
      </c>
      <c r="BD38" s="55">
        <f>H38/(100-BE38)*100</f>
        <v>0</v>
      </c>
      <c r="BE38" s="55">
        <v>0</v>
      </c>
      <c r="BF38" s="55">
        <f>K38</f>
        <v>0</v>
      </c>
      <c r="BH38" s="55">
        <f>G38*AO38</f>
        <v>0</v>
      </c>
      <c r="BI38" s="55">
        <f>G38*AP38</f>
        <v>0</v>
      </c>
      <c r="BJ38" s="55">
        <f>G38*H38</f>
        <v>0</v>
      </c>
      <c r="BK38" s="55"/>
      <c r="BL38" s="55"/>
      <c r="BW38" s="55">
        <v>21</v>
      </c>
    </row>
    <row r="39" spans="1:12" ht="13.5" customHeight="1">
      <c r="A39" s="59"/>
      <c r="D39" s="218" t="s">
        <v>129</v>
      </c>
      <c r="E39" s="219"/>
      <c r="F39" s="219"/>
      <c r="G39" s="219"/>
      <c r="H39" s="219"/>
      <c r="I39" s="219"/>
      <c r="J39" s="219"/>
      <c r="K39" s="219"/>
      <c r="L39" s="221"/>
    </row>
    <row r="40" spans="1:75" ht="13.5" customHeight="1">
      <c r="A40" s="1" t="s">
        <v>165</v>
      </c>
      <c r="B40" s="2" t="s">
        <v>116</v>
      </c>
      <c r="C40" s="2" t="s">
        <v>166</v>
      </c>
      <c r="D40" s="147" t="s">
        <v>167</v>
      </c>
      <c r="E40" s="148"/>
      <c r="F40" s="2" t="s">
        <v>123</v>
      </c>
      <c r="G40" s="55">
        <f>'Stavební rozpočet-vyplnit'!G40</f>
        <v>179</v>
      </c>
      <c r="H40" s="55">
        <f>'Stavební rozpočet-vyplnit'!H40</f>
        <v>0</v>
      </c>
      <c r="I40" s="55">
        <f>G40*H40</f>
        <v>0</v>
      </c>
      <c r="J40" s="55">
        <f>'Stavební rozpočet-vyplnit'!J40</f>
        <v>0</v>
      </c>
      <c r="K40" s="55">
        <f>G40*J40</f>
        <v>0</v>
      </c>
      <c r="L40" s="57" t="s">
        <v>124</v>
      </c>
      <c r="Z40" s="55">
        <f>IF(AQ40="5",BJ40,0)</f>
        <v>0</v>
      </c>
      <c r="AB40" s="55">
        <f>IF(AQ40="1",BH40,0)</f>
        <v>0</v>
      </c>
      <c r="AC40" s="55">
        <f>IF(AQ40="1",BI40,0)</f>
        <v>0</v>
      </c>
      <c r="AD40" s="55">
        <f>IF(AQ40="7",BH40,0)</f>
        <v>0</v>
      </c>
      <c r="AE40" s="55">
        <f>IF(AQ40="7",BI40,0)</f>
        <v>0</v>
      </c>
      <c r="AF40" s="55">
        <f>IF(AQ40="2",BH40,0)</f>
        <v>0</v>
      </c>
      <c r="AG40" s="55">
        <f>IF(AQ40="2",BI40,0)</f>
        <v>0</v>
      </c>
      <c r="AH40" s="55">
        <f>IF(AQ40="0",BJ40,0)</f>
        <v>0</v>
      </c>
      <c r="AI40" s="34" t="s">
        <v>116</v>
      </c>
      <c r="AJ40" s="55">
        <f>IF(AN40=0,I40,0)</f>
        <v>0</v>
      </c>
      <c r="AK40" s="55">
        <f>IF(AN40=12,I40,0)</f>
        <v>0</v>
      </c>
      <c r="AL40" s="55">
        <f>IF(AN40=21,I40,0)</f>
        <v>0</v>
      </c>
      <c r="AN40" s="55">
        <v>21</v>
      </c>
      <c r="AO40" s="55">
        <f>H40*0.424242424</f>
        <v>0</v>
      </c>
      <c r="AP40" s="55">
        <f>H40*(1-0.424242424)</f>
        <v>0</v>
      </c>
      <c r="AQ40" s="58" t="s">
        <v>125</v>
      </c>
      <c r="AV40" s="55">
        <f>AW40+AX40</f>
        <v>0</v>
      </c>
      <c r="AW40" s="55">
        <f>G40*AO40</f>
        <v>0</v>
      </c>
      <c r="AX40" s="55">
        <f>G40*AP40</f>
        <v>0</v>
      </c>
      <c r="AY40" s="58" t="s">
        <v>126</v>
      </c>
      <c r="AZ40" s="58" t="s">
        <v>127</v>
      </c>
      <c r="BA40" s="34" t="s">
        <v>128</v>
      </c>
      <c r="BC40" s="55">
        <f>AW40+AX40</f>
        <v>0</v>
      </c>
      <c r="BD40" s="55">
        <f>H40/(100-BE40)*100</f>
        <v>0</v>
      </c>
      <c r="BE40" s="55">
        <v>0</v>
      </c>
      <c r="BF40" s="55">
        <f>K40</f>
        <v>0</v>
      </c>
      <c r="BH40" s="55">
        <f>G40*AO40</f>
        <v>0</v>
      </c>
      <c r="BI40" s="55">
        <f>G40*AP40</f>
        <v>0</v>
      </c>
      <c r="BJ40" s="55">
        <f>G40*H40</f>
        <v>0</v>
      </c>
      <c r="BK40" s="55"/>
      <c r="BL40" s="55"/>
      <c r="BW40" s="55">
        <v>21</v>
      </c>
    </row>
    <row r="41" spans="1:12" ht="13.5" customHeight="1">
      <c r="A41" s="59"/>
      <c r="D41" s="218" t="s">
        <v>129</v>
      </c>
      <c r="E41" s="219"/>
      <c r="F41" s="219"/>
      <c r="G41" s="219"/>
      <c r="H41" s="219"/>
      <c r="I41" s="219"/>
      <c r="J41" s="219"/>
      <c r="K41" s="219"/>
      <c r="L41" s="221"/>
    </row>
    <row r="42" spans="1:75" ht="13.5" customHeight="1">
      <c r="A42" s="1" t="s">
        <v>168</v>
      </c>
      <c r="B42" s="2" t="s">
        <v>116</v>
      </c>
      <c r="C42" s="2" t="s">
        <v>169</v>
      </c>
      <c r="D42" s="147" t="s">
        <v>170</v>
      </c>
      <c r="E42" s="148"/>
      <c r="F42" s="2" t="s">
        <v>123</v>
      </c>
      <c r="G42" s="55">
        <f>'Stavební rozpočet-vyplnit'!G42</f>
        <v>215</v>
      </c>
      <c r="H42" s="55">
        <f>'Stavební rozpočet-vyplnit'!H42</f>
        <v>0</v>
      </c>
      <c r="I42" s="55">
        <f>G42*H42</f>
        <v>0</v>
      </c>
      <c r="J42" s="55">
        <f>'Stavební rozpočet-vyplnit'!J42</f>
        <v>0</v>
      </c>
      <c r="K42" s="55">
        <f>G42*J42</f>
        <v>0</v>
      </c>
      <c r="L42" s="57" t="s">
        <v>124</v>
      </c>
      <c r="Z42" s="55">
        <f>IF(AQ42="5",BJ42,0)</f>
        <v>0</v>
      </c>
      <c r="AB42" s="55">
        <f>IF(AQ42="1",BH42,0)</f>
        <v>0</v>
      </c>
      <c r="AC42" s="55">
        <f>IF(AQ42="1",BI42,0)</f>
        <v>0</v>
      </c>
      <c r="AD42" s="55">
        <f>IF(AQ42="7",BH42,0)</f>
        <v>0</v>
      </c>
      <c r="AE42" s="55">
        <f>IF(AQ42="7",BI42,0)</f>
        <v>0</v>
      </c>
      <c r="AF42" s="55">
        <f>IF(AQ42="2",BH42,0)</f>
        <v>0</v>
      </c>
      <c r="AG42" s="55">
        <f>IF(AQ42="2",BI42,0)</f>
        <v>0</v>
      </c>
      <c r="AH42" s="55">
        <f>IF(AQ42="0",BJ42,0)</f>
        <v>0</v>
      </c>
      <c r="AI42" s="34" t="s">
        <v>116</v>
      </c>
      <c r="AJ42" s="55">
        <f>IF(AN42=0,I42,0)</f>
        <v>0</v>
      </c>
      <c r="AK42" s="55">
        <f>IF(AN42=12,I42,0)</f>
        <v>0</v>
      </c>
      <c r="AL42" s="55">
        <f>IF(AN42=21,I42,0)</f>
        <v>0</v>
      </c>
      <c r="AN42" s="55">
        <v>21</v>
      </c>
      <c r="AO42" s="55">
        <f>H42*0.766129032</f>
        <v>0</v>
      </c>
      <c r="AP42" s="55">
        <f>H42*(1-0.766129032)</f>
        <v>0</v>
      </c>
      <c r="AQ42" s="58" t="s">
        <v>125</v>
      </c>
      <c r="AV42" s="55">
        <f>AW42+AX42</f>
        <v>0</v>
      </c>
      <c r="AW42" s="55">
        <f>G42*AO42</f>
        <v>0</v>
      </c>
      <c r="AX42" s="55">
        <f>G42*AP42</f>
        <v>0</v>
      </c>
      <c r="AY42" s="58" t="s">
        <v>126</v>
      </c>
      <c r="AZ42" s="58" t="s">
        <v>127</v>
      </c>
      <c r="BA42" s="34" t="s">
        <v>128</v>
      </c>
      <c r="BC42" s="55">
        <f>AW42+AX42</f>
        <v>0</v>
      </c>
      <c r="BD42" s="55">
        <f>H42/(100-BE42)*100</f>
        <v>0</v>
      </c>
      <c r="BE42" s="55">
        <v>0</v>
      </c>
      <c r="BF42" s="55">
        <f>K42</f>
        <v>0</v>
      </c>
      <c r="BH42" s="55">
        <f>G42*AO42</f>
        <v>0</v>
      </c>
      <c r="BI42" s="55">
        <f>G42*AP42</f>
        <v>0</v>
      </c>
      <c r="BJ42" s="55">
        <f>G42*H42</f>
        <v>0</v>
      </c>
      <c r="BK42" s="55"/>
      <c r="BL42" s="55"/>
      <c r="BW42" s="55">
        <v>21</v>
      </c>
    </row>
    <row r="43" spans="1:12" ht="13.5" customHeight="1">
      <c r="A43" s="59"/>
      <c r="D43" s="218" t="s">
        <v>129</v>
      </c>
      <c r="E43" s="219"/>
      <c r="F43" s="219"/>
      <c r="G43" s="219"/>
      <c r="H43" s="219"/>
      <c r="I43" s="219"/>
      <c r="J43" s="219"/>
      <c r="K43" s="219"/>
      <c r="L43" s="221"/>
    </row>
    <row r="44" spans="1:75" ht="13.5" customHeight="1">
      <c r="A44" s="1" t="s">
        <v>171</v>
      </c>
      <c r="B44" s="2" t="s">
        <v>116</v>
      </c>
      <c r="C44" s="2" t="s">
        <v>172</v>
      </c>
      <c r="D44" s="147" t="s">
        <v>173</v>
      </c>
      <c r="E44" s="148"/>
      <c r="F44" s="2" t="s">
        <v>174</v>
      </c>
      <c r="G44" s="55">
        <f>'Stavební rozpočet-vyplnit'!G44</f>
        <v>2</v>
      </c>
      <c r="H44" s="55">
        <f>'Stavební rozpočet-vyplnit'!H44</f>
        <v>0</v>
      </c>
      <c r="I44" s="55">
        <f>G44*H44</f>
        <v>0</v>
      </c>
      <c r="J44" s="55">
        <f>'Stavební rozpočet-vyplnit'!J44</f>
        <v>0</v>
      </c>
      <c r="K44" s="55">
        <f>G44*J44</f>
        <v>0</v>
      </c>
      <c r="L44" s="57" t="s">
        <v>124</v>
      </c>
      <c r="Z44" s="55">
        <f>IF(AQ44="5",BJ44,0)</f>
        <v>0</v>
      </c>
      <c r="AB44" s="55">
        <f>IF(AQ44="1",BH44,0)</f>
        <v>0</v>
      </c>
      <c r="AC44" s="55">
        <f>IF(AQ44="1",BI44,0)</f>
        <v>0</v>
      </c>
      <c r="AD44" s="55">
        <f>IF(AQ44="7",BH44,0)</f>
        <v>0</v>
      </c>
      <c r="AE44" s="55">
        <f>IF(AQ44="7",BI44,0)</f>
        <v>0</v>
      </c>
      <c r="AF44" s="55">
        <f>IF(AQ44="2",BH44,0)</f>
        <v>0</v>
      </c>
      <c r="AG44" s="55">
        <f>IF(AQ44="2",BI44,0)</f>
        <v>0</v>
      </c>
      <c r="AH44" s="55">
        <f>IF(AQ44="0",BJ44,0)</f>
        <v>0</v>
      </c>
      <c r="AI44" s="34" t="s">
        <v>116</v>
      </c>
      <c r="AJ44" s="55">
        <f>IF(AN44=0,I44,0)</f>
        <v>0</v>
      </c>
      <c r="AK44" s="55">
        <f>IF(AN44=12,I44,0)</f>
        <v>0</v>
      </c>
      <c r="AL44" s="55">
        <f>IF(AN44=21,I44,0)</f>
        <v>0</v>
      </c>
      <c r="AN44" s="55">
        <v>21</v>
      </c>
      <c r="AO44" s="55">
        <f>H44*0.764024933</f>
        <v>0</v>
      </c>
      <c r="AP44" s="55">
        <f>H44*(1-0.764024933)</f>
        <v>0</v>
      </c>
      <c r="AQ44" s="58" t="s">
        <v>125</v>
      </c>
      <c r="AV44" s="55">
        <f>AW44+AX44</f>
        <v>0</v>
      </c>
      <c r="AW44" s="55">
        <f>G44*AO44</f>
        <v>0</v>
      </c>
      <c r="AX44" s="55">
        <f>G44*AP44</f>
        <v>0</v>
      </c>
      <c r="AY44" s="58" t="s">
        <v>126</v>
      </c>
      <c r="AZ44" s="58" t="s">
        <v>127</v>
      </c>
      <c r="BA44" s="34" t="s">
        <v>128</v>
      </c>
      <c r="BC44" s="55">
        <f>AW44+AX44</f>
        <v>0</v>
      </c>
      <c r="BD44" s="55">
        <f>H44/(100-BE44)*100</f>
        <v>0</v>
      </c>
      <c r="BE44" s="55">
        <v>0</v>
      </c>
      <c r="BF44" s="55">
        <f>K44</f>
        <v>0</v>
      </c>
      <c r="BH44" s="55">
        <f>G44*AO44</f>
        <v>0</v>
      </c>
      <c r="BI44" s="55">
        <f>G44*AP44</f>
        <v>0</v>
      </c>
      <c r="BJ44" s="55">
        <f>G44*H44</f>
        <v>0</v>
      </c>
      <c r="BK44" s="55"/>
      <c r="BL44" s="55"/>
      <c r="BW44" s="55">
        <v>21</v>
      </c>
    </row>
    <row r="45" spans="1:12" ht="13.5" customHeight="1">
      <c r="A45" s="59"/>
      <c r="D45" s="218" t="s">
        <v>129</v>
      </c>
      <c r="E45" s="219"/>
      <c r="F45" s="219"/>
      <c r="G45" s="219"/>
      <c r="H45" s="219"/>
      <c r="I45" s="219"/>
      <c r="J45" s="219"/>
      <c r="K45" s="219"/>
      <c r="L45" s="221"/>
    </row>
    <row r="46" spans="1:75" ht="13.5" customHeight="1">
      <c r="A46" s="1" t="s">
        <v>175</v>
      </c>
      <c r="B46" s="2" t="s">
        <v>116</v>
      </c>
      <c r="C46" s="2" t="s">
        <v>176</v>
      </c>
      <c r="D46" s="147" t="s">
        <v>177</v>
      </c>
      <c r="E46" s="148"/>
      <c r="F46" s="2" t="s">
        <v>123</v>
      </c>
      <c r="G46" s="55">
        <f>'Stavební rozpočet-vyplnit'!G46</f>
        <v>8</v>
      </c>
      <c r="H46" s="55">
        <f>'Stavební rozpočet-vyplnit'!H46</f>
        <v>0</v>
      </c>
      <c r="I46" s="55">
        <f>G46*H46</f>
        <v>0</v>
      </c>
      <c r="J46" s="55">
        <f>'Stavební rozpočet-vyplnit'!J46</f>
        <v>0</v>
      </c>
      <c r="K46" s="55">
        <f>G46*J46</f>
        <v>0</v>
      </c>
      <c r="L46" s="57" t="s">
        <v>124</v>
      </c>
      <c r="Z46" s="55">
        <f>IF(AQ46="5",BJ46,0)</f>
        <v>0</v>
      </c>
      <c r="AB46" s="55">
        <f>IF(AQ46="1",BH46,0)</f>
        <v>0</v>
      </c>
      <c r="AC46" s="55">
        <f>IF(AQ46="1",BI46,0)</f>
        <v>0</v>
      </c>
      <c r="AD46" s="55">
        <f>IF(AQ46="7",BH46,0)</f>
        <v>0</v>
      </c>
      <c r="AE46" s="55">
        <f>IF(AQ46="7",BI46,0)</f>
        <v>0</v>
      </c>
      <c r="AF46" s="55">
        <f>IF(AQ46="2",BH46,0)</f>
        <v>0</v>
      </c>
      <c r="AG46" s="55">
        <f>IF(AQ46="2",BI46,0)</f>
        <v>0</v>
      </c>
      <c r="AH46" s="55">
        <f>IF(AQ46="0",BJ46,0)</f>
        <v>0</v>
      </c>
      <c r="AI46" s="34" t="s">
        <v>116</v>
      </c>
      <c r="AJ46" s="55">
        <f>IF(AN46=0,I46,0)</f>
        <v>0</v>
      </c>
      <c r="AK46" s="55">
        <f>IF(AN46=12,I46,0)</f>
        <v>0</v>
      </c>
      <c r="AL46" s="55">
        <f>IF(AN46=21,I46,0)</f>
        <v>0</v>
      </c>
      <c r="AN46" s="55">
        <v>21</v>
      </c>
      <c r="AO46" s="55">
        <f>H46*0.701799486</f>
        <v>0</v>
      </c>
      <c r="AP46" s="55">
        <f>H46*(1-0.701799486)</f>
        <v>0</v>
      </c>
      <c r="AQ46" s="58" t="s">
        <v>125</v>
      </c>
      <c r="AV46" s="55">
        <f>AW46+AX46</f>
        <v>0</v>
      </c>
      <c r="AW46" s="55">
        <f>G46*AO46</f>
        <v>0</v>
      </c>
      <c r="AX46" s="55">
        <f>G46*AP46</f>
        <v>0</v>
      </c>
      <c r="AY46" s="58" t="s">
        <v>126</v>
      </c>
      <c r="AZ46" s="58" t="s">
        <v>127</v>
      </c>
      <c r="BA46" s="34" t="s">
        <v>128</v>
      </c>
      <c r="BC46" s="55">
        <f>AW46+AX46</f>
        <v>0</v>
      </c>
      <c r="BD46" s="55">
        <f>H46/(100-BE46)*100</f>
        <v>0</v>
      </c>
      <c r="BE46" s="55">
        <v>0</v>
      </c>
      <c r="BF46" s="55">
        <f>K46</f>
        <v>0</v>
      </c>
      <c r="BH46" s="55">
        <f>G46*AO46</f>
        <v>0</v>
      </c>
      <c r="BI46" s="55">
        <f>G46*AP46</f>
        <v>0</v>
      </c>
      <c r="BJ46" s="55">
        <f>G46*H46</f>
        <v>0</v>
      </c>
      <c r="BK46" s="55"/>
      <c r="BL46" s="55"/>
      <c r="BW46" s="55">
        <v>21</v>
      </c>
    </row>
    <row r="47" spans="1:12" ht="13.5" customHeight="1">
      <c r="A47" s="59"/>
      <c r="D47" s="218" t="s">
        <v>129</v>
      </c>
      <c r="E47" s="219"/>
      <c r="F47" s="219"/>
      <c r="G47" s="219"/>
      <c r="H47" s="219"/>
      <c r="I47" s="219"/>
      <c r="J47" s="219"/>
      <c r="K47" s="219"/>
      <c r="L47" s="221"/>
    </row>
    <row r="48" spans="1:75" ht="13.5" customHeight="1">
      <c r="A48" s="1" t="s">
        <v>178</v>
      </c>
      <c r="B48" s="2" t="s">
        <v>116</v>
      </c>
      <c r="C48" s="2" t="s">
        <v>179</v>
      </c>
      <c r="D48" s="147" t="s">
        <v>180</v>
      </c>
      <c r="E48" s="148"/>
      <c r="F48" s="2" t="s">
        <v>123</v>
      </c>
      <c r="G48" s="55">
        <f>'Stavební rozpočet-vyplnit'!G48</f>
        <v>2</v>
      </c>
      <c r="H48" s="55">
        <f>'Stavební rozpočet-vyplnit'!H48</f>
        <v>0</v>
      </c>
      <c r="I48" s="55">
        <f>G48*H48</f>
        <v>0</v>
      </c>
      <c r="J48" s="55">
        <f>'Stavební rozpočet-vyplnit'!J48</f>
        <v>0</v>
      </c>
      <c r="K48" s="55">
        <f>G48*J48</f>
        <v>0</v>
      </c>
      <c r="L48" s="57" t="s">
        <v>124</v>
      </c>
      <c r="Z48" s="55">
        <f>IF(AQ48="5",BJ48,0)</f>
        <v>0</v>
      </c>
      <c r="AB48" s="55">
        <f>IF(AQ48="1",BH48,0)</f>
        <v>0</v>
      </c>
      <c r="AC48" s="55">
        <f>IF(AQ48="1",BI48,0)</f>
        <v>0</v>
      </c>
      <c r="AD48" s="55">
        <f>IF(AQ48="7",BH48,0)</f>
        <v>0</v>
      </c>
      <c r="AE48" s="55">
        <f>IF(AQ48="7",BI48,0)</f>
        <v>0</v>
      </c>
      <c r="AF48" s="55">
        <f>IF(AQ48="2",BH48,0)</f>
        <v>0</v>
      </c>
      <c r="AG48" s="55">
        <f>IF(AQ48="2",BI48,0)</f>
        <v>0</v>
      </c>
      <c r="AH48" s="55">
        <f>IF(AQ48="0",BJ48,0)</f>
        <v>0</v>
      </c>
      <c r="AI48" s="34" t="s">
        <v>116</v>
      </c>
      <c r="AJ48" s="55">
        <f>IF(AN48=0,I48,0)</f>
        <v>0</v>
      </c>
      <c r="AK48" s="55">
        <f>IF(AN48=12,I48,0)</f>
        <v>0</v>
      </c>
      <c r="AL48" s="55">
        <f>IF(AN48=21,I48,0)</f>
        <v>0</v>
      </c>
      <c r="AN48" s="55">
        <v>21</v>
      </c>
      <c r="AO48" s="55">
        <f>H48*0.952203137</f>
        <v>0</v>
      </c>
      <c r="AP48" s="55">
        <f>H48*(1-0.952203137)</f>
        <v>0</v>
      </c>
      <c r="AQ48" s="58" t="s">
        <v>125</v>
      </c>
      <c r="AV48" s="55">
        <f>AW48+AX48</f>
        <v>0</v>
      </c>
      <c r="AW48" s="55">
        <f>G48*AO48</f>
        <v>0</v>
      </c>
      <c r="AX48" s="55">
        <f>G48*AP48</f>
        <v>0</v>
      </c>
      <c r="AY48" s="58" t="s">
        <v>126</v>
      </c>
      <c r="AZ48" s="58" t="s">
        <v>127</v>
      </c>
      <c r="BA48" s="34" t="s">
        <v>128</v>
      </c>
      <c r="BC48" s="55">
        <f>AW48+AX48</f>
        <v>0</v>
      </c>
      <c r="BD48" s="55">
        <f>H48/(100-BE48)*100</f>
        <v>0</v>
      </c>
      <c r="BE48" s="55">
        <v>0</v>
      </c>
      <c r="BF48" s="55">
        <f>K48</f>
        <v>0</v>
      </c>
      <c r="BH48" s="55">
        <f>G48*AO48</f>
        <v>0</v>
      </c>
      <c r="BI48" s="55">
        <f>G48*AP48</f>
        <v>0</v>
      </c>
      <c r="BJ48" s="55">
        <f>G48*H48</f>
        <v>0</v>
      </c>
      <c r="BK48" s="55"/>
      <c r="BL48" s="55"/>
      <c r="BW48" s="55">
        <v>21</v>
      </c>
    </row>
    <row r="49" spans="1:12" ht="13.5" customHeight="1">
      <c r="A49" s="59"/>
      <c r="D49" s="218" t="s">
        <v>129</v>
      </c>
      <c r="E49" s="219"/>
      <c r="F49" s="219"/>
      <c r="G49" s="219"/>
      <c r="H49" s="219"/>
      <c r="I49" s="219"/>
      <c r="J49" s="219"/>
      <c r="K49" s="219"/>
      <c r="L49" s="221"/>
    </row>
    <row r="50" spans="1:75" ht="13.5" customHeight="1">
      <c r="A50" s="1" t="s">
        <v>181</v>
      </c>
      <c r="B50" s="2" t="s">
        <v>116</v>
      </c>
      <c r="C50" s="2" t="s">
        <v>182</v>
      </c>
      <c r="D50" s="147" t="s">
        <v>183</v>
      </c>
      <c r="E50" s="148"/>
      <c r="F50" s="2" t="s">
        <v>123</v>
      </c>
      <c r="G50" s="55">
        <f>'Stavební rozpočet-vyplnit'!G50</f>
        <v>4</v>
      </c>
      <c r="H50" s="55">
        <f>'Stavební rozpočet-vyplnit'!H50</f>
        <v>0</v>
      </c>
      <c r="I50" s="55">
        <f>G50*H50</f>
        <v>0</v>
      </c>
      <c r="J50" s="55">
        <f>'Stavební rozpočet-vyplnit'!J50</f>
        <v>0</v>
      </c>
      <c r="K50" s="55">
        <f>G50*J50</f>
        <v>0</v>
      </c>
      <c r="L50" s="57" t="s">
        <v>124</v>
      </c>
      <c r="Z50" s="55">
        <f>IF(AQ50="5",BJ50,0)</f>
        <v>0</v>
      </c>
      <c r="AB50" s="55">
        <f>IF(AQ50="1",BH50,0)</f>
        <v>0</v>
      </c>
      <c r="AC50" s="55">
        <f>IF(AQ50="1",BI50,0)</f>
        <v>0</v>
      </c>
      <c r="AD50" s="55">
        <f>IF(AQ50="7",BH50,0)</f>
        <v>0</v>
      </c>
      <c r="AE50" s="55">
        <f>IF(AQ50="7",BI50,0)</f>
        <v>0</v>
      </c>
      <c r="AF50" s="55">
        <f>IF(AQ50="2",BH50,0)</f>
        <v>0</v>
      </c>
      <c r="AG50" s="55">
        <f>IF(AQ50="2",BI50,0)</f>
        <v>0</v>
      </c>
      <c r="AH50" s="55">
        <f>IF(AQ50="0",BJ50,0)</f>
        <v>0</v>
      </c>
      <c r="AI50" s="34" t="s">
        <v>116</v>
      </c>
      <c r="AJ50" s="55">
        <f>IF(AN50=0,I50,0)</f>
        <v>0</v>
      </c>
      <c r="AK50" s="55">
        <f>IF(AN50=12,I50,0)</f>
        <v>0</v>
      </c>
      <c r="AL50" s="55">
        <f>IF(AN50=21,I50,0)</f>
        <v>0</v>
      </c>
      <c r="AN50" s="55">
        <v>21</v>
      </c>
      <c r="AO50" s="55">
        <f>H50*0.887573964</f>
        <v>0</v>
      </c>
      <c r="AP50" s="55">
        <f>H50*(1-0.887573964)</f>
        <v>0</v>
      </c>
      <c r="AQ50" s="58" t="s">
        <v>125</v>
      </c>
      <c r="AV50" s="55">
        <f>AW50+AX50</f>
        <v>0</v>
      </c>
      <c r="AW50" s="55">
        <f>G50*AO50</f>
        <v>0</v>
      </c>
      <c r="AX50" s="55">
        <f>G50*AP50</f>
        <v>0</v>
      </c>
      <c r="AY50" s="58" t="s">
        <v>126</v>
      </c>
      <c r="AZ50" s="58" t="s">
        <v>127</v>
      </c>
      <c r="BA50" s="34" t="s">
        <v>128</v>
      </c>
      <c r="BC50" s="55">
        <f>AW50+AX50</f>
        <v>0</v>
      </c>
      <c r="BD50" s="55">
        <f>H50/(100-BE50)*100</f>
        <v>0</v>
      </c>
      <c r="BE50" s="55">
        <v>0</v>
      </c>
      <c r="BF50" s="55">
        <f>K50</f>
        <v>0</v>
      </c>
      <c r="BH50" s="55">
        <f>G50*AO50</f>
        <v>0</v>
      </c>
      <c r="BI50" s="55">
        <f>G50*AP50</f>
        <v>0</v>
      </c>
      <c r="BJ50" s="55">
        <f>G50*H50</f>
        <v>0</v>
      </c>
      <c r="BK50" s="55"/>
      <c r="BL50" s="55"/>
      <c r="BW50" s="55">
        <v>21</v>
      </c>
    </row>
    <row r="51" spans="1:12" ht="13.5" customHeight="1">
      <c r="A51" s="59"/>
      <c r="D51" s="218" t="s">
        <v>129</v>
      </c>
      <c r="E51" s="219"/>
      <c r="F51" s="219"/>
      <c r="G51" s="219"/>
      <c r="H51" s="219"/>
      <c r="I51" s="219"/>
      <c r="J51" s="219"/>
      <c r="K51" s="219"/>
      <c r="L51" s="221"/>
    </row>
    <row r="52" spans="1:75" ht="13.5" customHeight="1">
      <c r="A52" s="1" t="s">
        <v>184</v>
      </c>
      <c r="B52" s="2" t="s">
        <v>116</v>
      </c>
      <c r="C52" s="2" t="s">
        <v>185</v>
      </c>
      <c r="D52" s="147" t="s">
        <v>186</v>
      </c>
      <c r="E52" s="148"/>
      <c r="F52" s="2" t="s">
        <v>123</v>
      </c>
      <c r="G52" s="55">
        <f>'Stavební rozpočet-vyplnit'!G52</f>
        <v>4</v>
      </c>
      <c r="H52" s="55">
        <f>'Stavební rozpočet-vyplnit'!H52</f>
        <v>0</v>
      </c>
      <c r="I52" s="55">
        <f>G52*H52</f>
        <v>0</v>
      </c>
      <c r="J52" s="55">
        <f>'Stavební rozpočet-vyplnit'!J52</f>
        <v>0</v>
      </c>
      <c r="K52" s="55">
        <f>G52*J52</f>
        <v>0</v>
      </c>
      <c r="L52" s="57" t="s">
        <v>124</v>
      </c>
      <c r="Z52" s="55">
        <f>IF(AQ52="5",BJ52,0)</f>
        <v>0</v>
      </c>
      <c r="AB52" s="55">
        <f>IF(AQ52="1",BH52,0)</f>
        <v>0</v>
      </c>
      <c r="AC52" s="55">
        <f>IF(AQ52="1",BI52,0)</f>
        <v>0</v>
      </c>
      <c r="AD52" s="55">
        <f>IF(AQ52="7",BH52,0)</f>
        <v>0</v>
      </c>
      <c r="AE52" s="55">
        <f>IF(AQ52="7",BI52,0)</f>
        <v>0</v>
      </c>
      <c r="AF52" s="55">
        <f>IF(AQ52="2",BH52,0)</f>
        <v>0</v>
      </c>
      <c r="AG52" s="55">
        <f>IF(AQ52="2",BI52,0)</f>
        <v>0</v>
      </c>
      <c r="AH52" s="55">
        <f>IF(AQ52="0",BJ52,0)</f>
        <v>0</v>
      </c>
      <c r="AI52" s="34" t="s">
        <v>116</v>
      </c>
      <c r="AJ52" s="55">
        <f>IF(AN52=0,I52,0)</f>
        <v>0</v>
      </c>
      <c r="AK52" s="55">
        <f>IF(AN52=12,I52,0)</f>
        <v>0</v>
      </c>
      <c r="AL52" s="55">
        <f>IF(AN52=21,I52,0)</f>
        <v>0</v>
      </c>
      <c r="AN52" s="55">
        <v>21</v>
      </c>
      <c r="AO52" s="55">
        <f>H52*0.923076923</f>
        <v>0</v>
      </c>
      <c r="AP52" s="55">
        <f>H52*(1-0.923076923)</f>
        <v>0</v>
      </c>
      <c r="AQ52" s="58" t="s">
        <v>125</v>
      </c>
      <c r="AV52" s="55">
        <f>AW52+AX52</f>
        <v>0</v>
      </c>
      <c r="AW52" s="55">
        <f>G52*AO52</f>
        <v>0</v>
      </c>
      <c r="AX52" s="55">
        <f>G52*AP52</f>
        <v>0</v>
      </c>
      <c r="AY52" s="58" t="s">
        <v>126</v>
      </c>
      <c r="AZ52" s="58" t="s">
        <v>127</v>
      </c>
      <c r="BA52" s="34" t="s">
        <v>128</v>
      </c>
      <c r="BC52" s="55">
        <f>AW52+AX52</f>
        <v>0</v>
      </c>
      <c r="BD52" s="55">
        <f>H52/(100-BE52)*100</f>
        <v>0</v>
      </c>
      <c r="BE52" s="55">
        <v>0</v>
      </c>
      <c r="BF52" s="55">
        <f>K52</f>
        <v>0</v>
      </c>
      <c r="BH52" s="55">
        <f>G52*AO52</f>
        <v>0</v>
      </c>
      <c r="BI52" s="55">
        <f>G52*AP52</f>
        <v>0</v>
      </c>
      <c r="BJ52" s="55">
        <f>G52*H52</f>
        <v>0</v>
      </c>
      <c r="BK52" s="55"/>
      <c r="BL52" s="55"/>
      <c r="BW52" s="55">
        <v>21</v>
      </c>
    </row>
    <row r="53" spans="1:12" ht="13.5" customHeight="1">
      <c r="A53" s="59"/>
      <c r="D53" s="218" t="s">
        <v>129</v>
      </c>
      <c r="E53" s="219"/>
      <c r="F53" s="219"/>
      <c r="G53" s="219"/>
      <c r="H53" s="219"/>
      <c r="I53" s="219"/>
      <c r="J53" s="219"/>
      <c r="K53" s="219"/>
      <c r="L53" s="221"/>
    </row>
    <row r="54" spans="1:75" ht="13.5" customHeight="1">
      <c r="A54" s="1" t="s">
        <v>187</v>
      </c>
      <c r="B54" s="2" t="s">
        <v>116</v>
      </c>
      <c r="C54" s="2" t="s">
        <v>188</v>
      </c>
      <c r="D54" s="147" t="s">
        <v>189</v>
      </c>
      <c r="E54" s="148"/>
      <c r="F54" s="2" t="s">
        <v>123</v>
      </c>
      <c r="G54" s="55">
        <f>'Stavební rozpočet-vyplnit'!G54</f>
        <v>2</v>
      </c>
      <c r="H54" s="55">
        <f>'Stavební rozpočet-vyplnit'!H54</f>
        <v>0</v>
      </c>
      <c r="I54" s="55">
        <f>G54*H54</f>
        <v>0</v>
      </c>
      <c r="J54" s="55">
        <f>'Stavební rozpočet-vyplnit'!J54</f>
        <v>0</v>
      </c>
      <c r="K54" s="55">
        <f>G54*J54</f>
        <v>0</v>
      </c>
      <c r="L54" s="57" t="s">
        <v>124</v>
      </c>
      <c r="Z54" s="55">
        <f>IF(AQ54="5",BJ54,0)</f>
        <v>0</v>
      </c>
      <c r="AB54" s="55">
        <f>IF(AQ54="1",BH54,0)</f>
        <v>0</v>
      </c>
      <c r="AC54" s="55">
        <f>IF(AQ54="1",BI54,0)</f>
        <v>0</v>
      </c>
      <c r="AD54" s="55">
        <f>IF(AQ54="7",BH54,0)</f>
        <v>0</v>
      </c>
      <c r="AE54" s="55">
        <f>IF(AQ54="7",BI54,0)</f>
        <v>0</v>
      </c>
      <c r="AF54" s="55">
        <f>IF(AQ54="2",BH54,0)</f>
        <v>0</v>
      </c>
      <c r="AG54" s="55">
        <f>IF(AQ54="2",BI54,0)</f>
        <v>0</v>
      </c>
      <c r="AH54" s="55">
        <f>IF(AQ54="0",BJ54,0)</f>
        <v>0</v>
      </c>
      <c r="AI54" s="34" t="s">
        <v>116</v>
      </c>
      <c r="AJ54" s="55">
        <f>IF(AN54=0,I54,0)</f>
        <v>0</v>
      </c>
      <c r="AK54" s="55">
        <f>IF(AN54=12,I54,0)</f>
        <v>0</v>
      </c>
      <c r="AL54" s="55">
        <f>IF(AN54=21,I54,0)</f>
        <v>0</v>
      </c>
      <c r="AN54" s="55">
        <v>21</v>
      </c>
      <c r="AO54" s="55">
        <f>H54*0.95</f>
        <v>0</v>
      </c>
      <c r="AP54" s="55">
        <f>H54*(1-0.95)</f>
        <v>0</v>
      </c>
      <c r="AQ54" s="58" t="s">
        <v>125</v>
      </c>
      <c r="AV54" s="55">
        <f>AW54+AX54</f>
        <v>0</v>
      </c>
      <c r="AW54" s="55">
        <f>G54*AO54</f>
        <v>0</v>
      </c>
      <c r="AX54" s="55">
        <f>G54*AP54</f>
        <v>0</v>
      </c>
      <c r="AY54" s="58" t="s">
        <v>126</v>
      </c>
      <c r="AZ54" s="58" t="s">
        <v>127</v>
      </c>
      <c r="BA54" s="34" t="s">
        <v>128</v>
      </c>
      <c r="BC54" s="55">
        <f>AW54+AX54</f>
        <v>0</v>
      </c>
      <c r="BD54" s="55">
        <f>H54/(100-BE54)*100</f>
        <v>0</v>
      </c>
      <c r="BE54" s="55">
        <v>0</v>
      </c>
      <c r="BF54" s="55">
        <f>K54</f>
        <v>0</v>
      </c>
      <c r="BH54" s="55">
        <f>G54*AO54</f>
        <v>0</v>
      </c>
      <c r="BI54" s="55">
        <f>G54*AP54</f>
        <v>0</v>
      </c>
      <c r="BJ54" s="55">
        <f>G54*H54</f>
        <v>0</v>
      </c>
      <c r="BK54" s="55"/>
      <c r="BL54" s="55"/>
      <c r="BW54" s="55">
        <v>21</v>
      </c>
    </row>
    <row r="55" spans="1:12" ht="13.5" customHeight="1">
      <c r="A55" s="59"/>
      <c r="D55" s="218" t="s">
        <v>129</v>
      </c>
      <c r="E55" s="219"/>
      <c r="F55" s="219"/>
      <c r="G55" s="219"/>
      <c r="H55" s="219"/>
      <c r="I55" s="219"/>
      <c r="J55" s="219"/>
      <c r="K55" s="219"/>
      <c r="L55" s="221"/>
    </row>
    <row r="56" spans="1:75" ht="13.5" customHeight="1">
      <c r="A56" s="1" t="s">
        <v>190</v>
      </c>
      <c r="B56" s="2" t="s">
        <v>116</v>
      </c>
      <c r="C56" s="2" t="s">
        <v>191</v>
      </c>
      <c r="D56" s="147" t="s">
        <v>192</v>
      </c>
      <c r="E56" s="148"/>
      <c r="F56" s="2" t="s">
        <v>123</v>
      </c>
      <c r="G56" s="55">
        <f>'Stavební rozpočet-vyplnit'!G56</f>
        <v>17</v>
      </c>
      <c r="H56" s="55">
        <f>'Stavební rozpočet-vyplnit'!H56</f>
        <v>0</v>
      </c>
      <c r="I56" s="55">
        <f>G56*H56</f>
        <v>0</v>
      </c>
      <c r="J56" s="55">
        <f>'Stavební rozpočet-vyplnit'!J56</f>
        <v>0</v>
      </c>
      <c r="K56" s="55">
        <f>G56*J56</f>
        <v>0</v>
      </c>
      <c r="L56" s="57" t="s">
        <v>124</v>
      </c>
      <c r="Z56" s="55">
        <f>IF(AQ56="5",BJ56,0)</f>
        <v>0</v>
      </c>
      <c r="AB56" s="55">
        <f>IF(AQ56="1",BH56,0)</f>
        <v>0</v>
      </c>
      <c r="AC56" s="55">
        <f>IF(AQ56="1",BI56,0)</f>
        <v>0</v>
      </c>
      <c r="AD56" s="55">
        <f>IF(AQ56="7",BH56,0)</f>
        <v>0</v>
      </c>
      <c r="AE56" s="55">
        <f>IF(AQ56="7",BI56,0)</f>
        <v>0</v>
      </c>
      <c r="AF56" s="55">
        <f>IF(AQ56="2",BH56,0)</f>
        <v>0</v>
      </c>
      <c r="AG56" s="55">
        <f>IF(AQ56="2",BI56,0)</f>
        <v>0</v>
      </c>
      <c r="AH56" s="55">
        <f>IF(AQ56="0",BJ56,0)</f>
        <v>0</v>
      </c>
      <c r="AI56" s="34" t="s">
        <v>116</v>
      </c>
      <c r="AJ56" s="55">
        <f>IF(AN56=0,I56,0)</f>
        <v>0</v>
      </c>
      <c r="AK56" s="55">
        <f>IF(AN56=12,I56,0)</f>
        <v>0</v>
      </c>
      <c r="AL56" s="55">
        <f>IF(AN56=21,I56,0)</f>
        <v>0</v>
      </c>
      <c r="AN56" s="55">
        <v>21</v>
      </c>
      <c r="AO56" s="55">
        <f>H56*0.761904762</f>
        <v>0</v>
      </c>
      <c r="AP56" s="55">
        <f>H56*(1-0.761904762)</f>
        <v>0</v>
      </c>
      <c r="AQ56" s="58" t="s">
        <v>125</v>
      </c>
      <c r="AV56" s="55">
        <f>AW56+AX56</f>
        <v>0</v>
      </c>
      <c r="AW56" s="55">
        <f>G56*AO56</f>
        <v>0</v>
      </c>
      <c r="AX56" s="55">
        <f>G56*AP56</f>
        <v>0</v>
      </c>
      <c r="AY56" s="58" t="s">
        <v>126</v>
      </c>
      <c r="AZ56" s="58" t="s">
        <v>127</v>
      </c>
      <c r="BA56" s="34" t="s">
        <v>128</v>
      </c>
      <c r="BC56" s="55">
        <f>AW56+AX56</f>
        <v>0</v>
      </c>
      <c r="BD56" s="55">
        <f>H56/(100-BE56)*100</f>
        <v>0</v>
      </c>
      <c r="BE56" s="55">
        <v>0</v>
      </c>
      <c r="BF56" s="55">
        <f>K56</f>
        <v>0</v>
      </c>
      <c r="BH56" s="55">
        <f>G56*AO56</f>
        <v>0</v>
      </c>
      <c r="BI56" s="55">
        <f>G56*AP56</f>
        <v>0</v>
      </c>
      <c r="BJ56" s="55">
        <f>G56*H56</f>
        <v>0</v>
      </c>
      <c r="BK56" s="55"/>
      <c r="BL56" s="55"/>
      <c r="BW56" s="55">
        <v>21</v>
      </c>
    </row>
    <row r="57" spans="1:12" ht="13.5" customHeight="1">
      <c r="A57" s="59"/>
      <c r="D57" s="218" t="s">
        <v>129</v>
      </c>
      <c r="E57" s="219"/>
      <c r="F57" s="219"/>
      <c r="G57" s="219"/>
      <c r="H57" s="219"/>
      <c r="I57" s="219"/>
      <c r="J57" s="219"/>
      <c r="K57" s="219"/>
      <c r="L57" s="221"/>
    </row>
    <row r="58" spans="1:75" ht="13.5" customHeight="1">
      <c r="A58" s="1" t="s">
        <v>193</v>
      </c>
      <c r="B58" s="2" t="s">
        <v>116</v>
      </c>
      <c r="C58" s="2" t="s">
        <v>194</v>
      </c>
      <c r="D58" s="147" t="s">
        <v>195</v>
      </c>
      <c r="E58" s="148"/>
      <c r="F58" s="2" t="s">
        <v>123</v>
      </c>
      <c r="G58" s="55">
        <f>'Stavební rozpočet-vyplnit'!G58</f>
        <v>19</v>
      </c>
      <c r="H58" s="55">
        <f>'Stavební rozpočet-vyplnit'!H58</f>
        <v>0</v>
      </c>
      <c r="I58" s="55">
        <f>G58*H58</f>
        <v>0</v>
      </c>
      <c r="J58" s="55">
        <f>'Stavební rozpočet-vyplnit'!J58</f>
        <v>0</v>
      </c>
      <c r="K58" s="55">
        <f>G58*J58</f>
        <v>0</v>
      </c>
      <c r="L58" s="57" t="s">
        <v>124</v>
      </c>
      <c r="Z58" s="55">
        <f>IF(AQ58="5",BJ58,0)</f>
        <v>0</v>
      </c>
      <c r="AB58" s="55">
        <f>IF(AQ58="1",BH58,0)</f>
        <v>0</v>
      </c>
      <c r="AC58" s="55">
        <f>IF(AQ58="1",BI58,0)</f>
        <v>0</v>
      </c>
      <c r="AD58" s="55">
        <f>IF(AQ58="7",BH58,0)</f>
        <v>0</v>
      </c>
      <c r="AE58" s="55">
        <f>IF(AQ58="7",BI58,0)</f>
        <v>0</v>
      </c>
      <c r="AF58" s="55">
        <f>IF(AQ58="2",BH58,0)</f>
        <v>0</v>
      </c>
      <c r="AG58" s="55">
        <f>IF(AQ58="2",BI58,0)</f>
        <v>0</v>
      </c>
      <c r="AH58" s="55">
        <f>IF(AQ58="0",BJ58,0)</f>
        <v>0</v>
      </c>
      <c r="AI58" s="34" t="s">
        <v>116</v>
      </c>
      <c r="AJ58" s="55">
        <f>IF(AN58=0,I58,0)</f>
        <v>0</v>
      </c>
      <c r="AK58" s="55">
        <f>IF(AN58=12,I58,0)</f>
        <v>0</v>
      </c>
      <c r="AL58" s="55">
        <f>IF(AN58=21,I58,0)</f>
        <v>0</v>
      </c>
      <c r="AN58" s="55">
        <v>21</v>
      </c>
      <c r="AO58" s="55">
        <f>H58*0.642857143</f>
        <v>0</v>
      </c>
      <c r="AP58" s="55">
        <f>H58*(1-0.642857143)</f>
        <v>0</v>
      </c>
      <c r="AQ58" s="58" t="s">
        <v>125</v>
      </c>
      <c r="AV58" s="55">
        <f>AW58+AX58</f>
        <v>0</v>
      </c>
      <c r="AW58" s="55">
        <f>G58*AO58</f>
        <v>0</v>
      </c>
      <c r="AX58" s="55">
        <f>G58*AP58</f>
        <v>0</v>
      </c>
      <c r="AY58" s="58" t="s">
        <v>126</v>
      </c>
      <c r="AZ58" s="58" t="s">
        <v>127</v>
      </c>
      <c r="BA58" s="34" t="s">
        <v>128</v>
      </c>
      <c r="BC58" s="55">
        <f>AW58+AX58</f>
        <v>0</v>
      </c>
      <c r="BD58" s="55">
        <f>H58/(100-BE58)*100</f>
        <v>0</v>
      </c>
      <c r="BE58" s="55">
        <v>0</v>
      </c>
      <c r="BF58" s="55">
        <f>K58</f>
        <v>0</v>
      </c>
      <c r="BH58" s="55">
        <f>G58*AO58</f>
        <v>0</v>
      </c>
      <c r="BI58" s="55">
        <f>G58*AP58</f>
        <v>0</v>
      </c>
      <c r="BJ58" s="55">
        <f>G58*H58</f>
        <v>0</v>
      </c>
      <c r="BK58" s="55"/>
      <c r="BL58" s="55"/>
      <c r="BW58" s="55">
        <v>21</v>
      </c>
    </row>
    <row r="59" spans="1:12" ht="13.5" customHeight="1">
      <c r="A59" s="59"/>
      <c r="D59" s="218" t="s">
        <v>129</v>
      </c>
      <c r="E59" s="219"/>
      <c r="F59" s="219"/>
      <c r="G59" s="219"/>
      <c r="H59" s="219"/>
      <c r="I59" s="219"/>
      <c r="J59" s="219"/>
      <c r="K59" s="219"/>
      <c r="L59" s="221"/>
    </row>
    <row r="60" spans="1:75" ht="13.5" customHeight="1">
      <c r="A60" s="1" t="s">
        <v>196</v>
      </c>
      <c r="B60" s="2" t="s">
        <v>116</v>
      </c>
      <c r="C60" s="2" t="s">
        <v>197</v>
      </c>
      <c r="D60" s="147" t="s">
        <v>198</v>
      </c>
      <c r="E60" s="148"/>
      <c r="F60" s="2" t="s">
        <v>174</v>
      </c>
      <c r="G60" s="55">
        <f>'Stavební rozpočet-vyplnit'!G60</f>
        <v>50</v>
      </c>
      <c r="H60" s="55">
        <f>'Stavební rozpočet-vyplnit'!H60</f>
        <v>0</v>
      </c>
      <c r="I60" s="55">
        <f>G60*H60</f>
        <v>0</v>
      </c>
      <c r="J60" s="55">
        <f>'Stavební rozpočet-vyplnit'!J60</f>
        <v>0</v>
      </c>
      <c r="K60" s="55">
        <f>G60*J60</f>
        <v>0</v>
      </c>
      <c r="L60" s="57" t="s">
        <v>124</v>
      </c>
      <c r="Z60" s="55">
        <f>IF(AQ60="5",BJ60,0)</f>
        <v>0</v>
      </c>
      <c r="AB60" s="55">
        <f>IF(AQ60="1",BH60,0)</f>
        <v>0</v>
      </c>
      <c r="AC60" s="55">
        <f>IF(AQ60="1",BI60,0)</f>
        <v>0</v>
      </c>
      <c r="AD60" s="55">
        <f>IF(AQ60="7",BH60,0)</f>
        <v>0</v>
      </c>
      <c r="AE60" s="55">
        <f>IF(AQ60="7",BI60,0)</f>
        <v>0</v>
      </c>
      <c r="AF60" s="55">
        <f>IF(AQ60="2",BH60,0)</f>
        <v>0</v>
      </c>
      <c r="AG60" s="55">
        <f>IF(AQ60="2",BI60,0)</f>
        <v>0</v>
      </c>
      <c r="AH60" s="55">
        <f>IF(AQ60="0",BJ60,0)</f>
        <v>0</v>
      </c>
      <c r="AI60" s="34" t="s">
        <v>116</v>
      </c>
      <c r="AJ60" s="55">
        <f>IF(AN60=0,I60,0)</f>
        <v>0</v>
      </c>
      <c r="AK60" s="55">
        <f>IF(AN60=12,I60,0)</f>
        <v>0</v>
      </c>
      <c r="AL60" s="55">
        <f>IF(AN60=21,I60,0)</f>
        <v>0</v>
      </c>
      <c r="AN60" s="55">
        <v>21</v>
      </c>
      <c r="AO60" s="55">
        <f>H60*0.25</f>
        <v>0</v>
      </c>
      <c r="AP60" s="55">
        <f>H60*(1-0.25)</f>
        <v>0</v>
      </c>
      <c r="AQ60" s="58" t="s">
        <v>125</v>
      </c>
      <c r="AV60" s="55">
        <f>AW60+AX60</f>
        <v>0</v>
      </c>
      <c r="AW60" s="55">
        <f>G60*AO60</f>
        <v>0</v>
      </c>
      <c r="AX60" s="55">
        <f>G60*AP60</f>
        <v>0</v>
      </c>
      <c r="AY60" s="58" t="s">
        <v>126</v>
      </c>
      <c r="AZ60" s="58" t="s">
        <v>127</v>
      </c>
      <c r="BA60" s="34" t="s">
        <v>128</v>
      </c>
      <c r="BC60" s="55">
        <f>AW60+AX60</f>
        <v>0</v>
      </c>
      <c r="BD60" s="55">
        <f>H60/(100-BE60)*100</f>
        <v>0</v>
      </c>
      <c r="BE60" s="55">
        <v>0</v>
      </c>
      <c r="BF60" s="55">
        <f>K60</f>
        <v>0</v>
      </c>
      <c r="BH60" s="55">
        <f>G60*AO60</f>
        <v>0</v>
      </c>
      <c r="BI60" s="55">
        <f>G60*AP60</f>
        <v>0</v>
      </c>
      <c r="BJ60" s="55">
        <f>G60*H60</f>
        <v>0</v>
      </c>
      <c r="BK60" s="55"/>
      <c r="BL60" s="55"/>
      <c r="BW60" s="55">
        <v>21</v>
      </c>
    </row>
    <row r="61" spans="1:12" ht="13.5" customHeight="1">
      <c r="A61" s="59"/>
      <c r="D61" s="218" t="s">
        <v>129</v>
      </c>
      <c r="E61" s="219"/>
      <c r="F61" s="219"/>
      <c r="G61" s="219"/>
      <c r="H61" s="219"/>
      <c r="I61" s="219"/>
      <c r="J61" s="219"/>
      <c r="K61" s="219"/>
      <c r="L61" s="221"/>
    </row>
    <row r="62" spans="1:75" ht="13.5" customHeight="1">
      <c r="A62" s="1" t="s">
        <v>199</v>
      </c>
      <c r="B62" s="2" t="s">
        <v>116</v>
      </c>
      <c r="C62" s="2" t="s">
        <v>200</v>
      </c>
      <c r="D62" s="147" t="s">
        <v>201</v>
      </c>
      <c r="E62" s="148"/>
      <c r="F62" s="2" t="s">
        <v>174</v>
      </c>
      <c r="G62" s="55">
        <f>'Stavební rozpočet-vyplnit'!G62</f>
        <v>350</v>
      </c>
      <c r="H62" s="55">
        <f>'Stavební rozpočet-vyplnit'!H62</f>
        <v>0</v>
      </c>
      <c r="I62" s="55">
        <f>G62*H62</f>
        <v>0</v>
      </c>
      <c r="J62" s="55">
        <f>'Stavební rozpočet-vyplnit'!J62</f>
        <v>0</v>
      </c>
      <c r="K62" s="55">
        <f>G62*J62</f>
        <v>0</v>
      </c>
      <c r="L62" s="57" t="s">
        <v>124</v>
      </c>
      <c r="Z62" s="55">
        <f>IF(AQ62="5",BJ62,0)</f>
        <v>0</v>
      </c>
      <c r="AB62" s="55">
        <f>IF(AQ62="1",BH62,0)</f>
        <v>0</v>
      </c>
      <c r="AC62" s="55">
        <f>IF(AQ62="1",BI62,0)</f>
        <v>0</v>
      </c>
      <c r="AD62" s="55">
        <f>IF(AQ62="7",BH62,0)</f>
        <v>0</v>
      </c>
      <c r="AE62" s="55">
        <f>IF(AQ62="7",BI62,0)</f>
        <v>0</v>
      </c>
      <c r="AF62" s="55">
        <f>IF(AQ62="2",BH62,0)</f>
        <v>0</v>
      </c>
      <c r="AG62" s="55">
        <f>IF(AQ62="2",BI62,0)</f>
        <v>0</v>
      </c>
      <c r="AH62" s="55">
        <f>IF(AQ62="0",BJ62,0)</f>
        <v>0</v>
      </c>
      <c r="AI62" s="34" t="s">
        <v>116</v>
      </c>
      <c r="AJ62" s="55">
        <f>IF(AN62=0,I62,0)</f>
        <v>0</v>
      </c>
      <c r="AK62" s="55">
        <f>IF(AN62=12,I62,0)</f>
        <v>0</v>
      </c>
      <c r="AL62" s="55">
        <f>IF(AN62=21,I62,0)</f>
        <v>0</v>
      </c>
      <c r="AN62" s="55">
        <v>21</v>
      </c>
      <c r="AO62" s="55">
        <f>H62*0.307692308</f>
        <v>0</v>
      </c>
      <c r="AP62" s="55">
        <f>H62*(1-0.307692308)</f>
        <v>0</v>
      </c>
      <c r="AQ62" s="58" t="s">
        <v>125</v>
      </c>
      <c r="AV62" s="55">
        <f>AW62+AX62</f>
        <v>0</v>
      </c>
      <c r="AW62" s="55">
        <f>G62*AO62</f>
        <v>0</v>
      </c>
      <c r="AX62" s="55">
        <f>G62*AP62</f>
        <v>0</v>
      </c>
      <c r="AY62" s="58" t="s">
        <v>126</v>
      </c>
      <c r="AZ62" s="58" t="s">
        <v>127</v>
      </c>
      <c r="BA62" s="34" t="s">
        <v>128</v>
      </c>
      <c r="BC62" s="55">
        <f>AW62+AX62</f>
        <v>0</v>
      </c>
      <c r="BD62" s="55">
        <f>H62/(100-BE62)*100</f>
        <v>0</v>
      </c>
      <c r="BE62" s="55">
        <v>0</v>
      </c>
      <c r="BF62" s="55">
        <f>K62</f>
        <v>0</v>
      </c>
      <c r="BH62" s="55">
        <f>G62*AO62</f>
        <v>0</v>
      </c>
      <c r="BI62" s="55">
        <f>G62*AP62</f>
        <v>0</v>
      </c>
      <c r="BJ62" s="55">
        <f>G62*H62</f>
        <v>0</v>
      </c>
      <c r="BK62" s="55"/>
      <c r="BL62" s="55"/>
      <c r="BW62" s="55">
        <v>21</v>
      </c>
    </row>
    <row r="63" spans="1:12" ht="13.5" customHeight="1">
      <c r="A63" s="59"/>
      <c r="D63" s="218" t="s">
        <v>129</v>
      </c>
      <c r="E63" s="219"/>
      <c r="F63" s="219"/>
      <c r="G63" s="219"/>
      <c r="H63" s="219"/>
      <c r="I63" s="219"/>
      <c r="J63" s="219"/>
      <c r="K63" s="219"/>
      <c r="L63" s="221"/>
    </row>
    <row r="64" spans="1:75" ht="13.5" customHeight="1">
      <c r="A64" s="1" t="s">
        <v>202</v>
      </c>
      <c r="B64" s="2" t="s">
        <v>116</v>
      </c>
      <c r="C64" s="2" t="s">
        <v>203</v>
      </c>
      <c r="D64" s="147" t="s">
        <v>204</v>
      </c>
      <c r="E64" s="148"/>
      <c r="F64" s="2" t="s">
        <v>174</v>
      </c>
      <c r="G64" s="55">
        <f>'Stavební rozpočet-vyplnit'!G64</f>
        <v>850</v>
      </c>
      <c r="H64" s="55">
        <f>'Stavební rozpočet-vyplnit'!H64</f>
        <v>0</v>
      </c>
      <c r="I64" s="55">
        <f>G64*H64</f>
        <v>0</v>
      </c>
      <c r="J64" s="55">
        <f>'Stavební rozpočet-vyplnit'!J64</f>
        <v>0</v>
      </c>
      <c r="K64" s="55">
        <f>G64*J64</f>
        <v>0</v>
      </c>
      <c r="L64" s="57" t="s">
        <v>124</v>
      </c>
      <c r="Z64" s="55">
        <f>IF(AQ64="5",BJ64,0)</f>
        <v>0</v>
      </c>
      <c r="AB64" s="55">
        <f>IF(AQ64="1",BH64,0)</f>
        <v>0</v>
      </c>
      <c r="AC64" s="55">
        <f>IF(AQ64="1",BI64,0)</f>
        <v>0</v>
      </c>
      <c r="AD64" s="55">
        <f>IF(AQ64="7",BH64,0)</f>
        <v>0</v>
      </c>
      <c r="AE64" s="55">
        <f>IF(AQ64="7",BI64,0)</f>
        <v>0</v>
      </c>
      <c r="AF64" s="55">
        <f>IF(AQ64="2",BH64,0)</f>
        <v>0</v>
      </c>
      <c r="AG64" s="55">
        <f>IF(AQ64="2",BI64,0)</f>
        <v>0</v>
      </c>
      <c r="AH64" s="55">
        <f>IF(AQ64="0",BJ64,0)</f>
        <v>0</v>
      </c>
      <c r="AI64" s="34" t="s">
        <v>116</v>
      </c>
      <c r="AJ64" s="55">
        <f>IF(AN64=0,I64,0)</f>
        <v>0</v>
      </c>
      <c r="AK64" s="55">
        <f>IF(AN64=12,I64,0)</f>
        <v>0</v>
      </c>
      <c r="AL64" s="55">
        <f>IF(AN64=21,I64,0)</f>
        <v>0</v>
      </c>
      <c r="AN64" s="55">
        <v>21</v>
      </c>
      <c r="AO64" s="55">
        <f>H64*0.307692308</f>
        <v>0</v>
      </c>
      <c r="AP64" s="55">
        <f>H64*(1-0.307692308)</f>
        <v>0</v>
      </c>
      <c r="AQ64" s="58" t="s">
        <v>125</v>
      </c>
      <c r="AV64" s="55">
        <f>AW64+AX64</f>
        <v>0</v>
      </c>
      <c r="AW64" s="55">
        <f>G64*AO64</f>
        <v>0</v>
      </c>
      <c r="AX64" s="55">
        <f>G64*AP64</f>
        <v>0</v>
      </c>
      <c r="AY64" s="58" t="s">
        <v>126</v>
      </c>
      <c r="AZ64" s="58" t="s">
        <v>127</v>
      </c>
      <c r="BA64" s="34" t="s">
        <v>128</v>
      </c>
      <c r="BC64" s="55">
        <f>AW64+AX64</f>
        <v>0</v>
      </c>
      <c r="BD64" s="55">
        <f>H64/(100-BE64)*100</f>
        <v>0</v>
      </c>
      <c r="BE64" s="55">
        <v>0</v>
      </c>
      <c r="BF64" s="55">
        <f>K64</f>
        <v>0</v>
      </c>
      <c r="BH64" s="55">
        <f>G64*AO64</f>
        <v>0</v>
      </c>
      <c r="BI64" s="55">
        <f>G64*AP64</f>
        <v>0</v>
      </c>
      <c r="BJ64" s="55">
        <f>G64*H64</f>
        <v>0</v>
      </c>
      <c r="BK64" s="55"/>
      <c r="BL64" s="55"/>
      <c r="BW64" s="55">
        <v>21</v>
      </c>
    </row>
    <row r="65" spans="1:12" ht="13.5" customHeight="1">
      <c r="A65" s="59"/>
      <c r="D65" s="218" t="s">
        <v>129</v>
      </c>
      <c r="E65" s="219"/>
      <c r="F65" s="219"/>
      <c r="G65" s="219"/>
      <c r="H65" s="219"/>
      <c r="I65" s="219"/>
      <c r="J65" s="219"/>
      <c r="K65" s="219"/>
      <c r="L65" s="221"/>
    </row>
    <row r="66" spans="1:75" ht="13.5" customHeight="1">
      <c r="A66" s="1" t="s">
        <v>205</v>
      </c>
      <c r="B66" s="2" t="s">
        <v>116</v>
      </c>
      <c r="C66" s="2" t="s">
        <v>206</v>
      </c>
      <c r="D66" s="147" t="s">
        <v>207</v>
      </c>
      <c r="E66" s="148"/>
      <c r="F66" s="2" t="s">
        <v>174</v>
      </c>
      <c r="G66" s="55">
        <f>'Stavební rozpočet-vyplnit'!G66</f>
        <v>200</v>
      </c>
      <c r="H66" s="55">
        <f>'Stavební rozpočet-vyplnit'!H66</f>
        <v>0</v>
      </c>
      <c r="I66" s="55">
        <f>G66*H66</f>
        <v>0</v>
      </c>
      <c r="J66" s="55">
        <f>'Stavební rozpočet-vyplnit'!J66</f>
        <v>0</v>
      </c>
      <c r="K66" s="55">
        <f>G66*J66</f>
        <v>0</v>
      </c>
      <c r="L66" s="57" t="s">
        <v>124</v>
      </c>
      <c r="Z66" s="55">
        <f>IF(AQ66="5",BJ66,0)</f>
        <v>0</v>
      </c>
      <c r="AB66" s="55">
        <f>IF(AQ66="1",BH66,0)</f>
        <v>0</v>
      </c>
      <c r="AC66" s="55">
        <f>IF(AQ66="1",BI66,0)</f>
        <v>0</v>
      </c>
      <c r="AD66" s="55">
        <f>IF(AQ66="7",BH66,0)</f>
        <v>0</v>
      </c>
      <c r="AE66" s="55">
        <f>IF(AQ66="7",BI66,0)</f>
        <v>0</v>
      </c>
      <c r="AF66" s="55">
        <f>IF(AQ66="2",BH66,0)</f>
        <v>0</v>
      </c>
      <c r="AG66" s="55">
        <f>IF(AQ66="2",BI66,0)</f>
        <v>0</v>
      </c>
      <c r="AH66" s="55">
        <f>IF(AQ66="0",BJ66,0)</f>
        <v>0</v>
      </c>
      <c r="AI66" s="34" t="s">
        <v>116</v>
      </c>
      <c r="AJ66" s="55">
        <f>IF(AN66=0,I66,0)</f>
        <v>0</v>
      </c>
      <c r="AK66" s="55">
        <f>IF(AN66=12,I66,0)</f>
        <v>0</v>
      </c>
      <c r="AL66" s="55">
        <f>IF(AN66=21,I66,0)</f>
        <v>0</v>
      </c>
      <c r="AN66" s="55">
        <v>21</v>
      </c>
      <c r="AO66" s="55">
        <f>H66*0.470588235</f>
        <v>0</v>
      </c>
      <c r="AP66" s="55">
        <f>H66*(1-0.470588235)</f>
        <v>0</v>
      </c>
      <c r="AQ66" s="58" t="s">
        <v>125</v>
      </c>
      <c r="AV66" s="55">
        <f>AW66+AX66</f>
        <v>0</v>
      </c>
      <c r="AW66" s="55">
        <f>G66*AO66</f>
        <v>0</v>
      </c>
      <c r="AX66" s="55">
        <f>G66*AP66</f>
        <v>0</v>
      </c>
      <c r="AY66" s="58" t="s">
        <v>126</v>
      </c>
      <c r="AZ66" s="58" t="s">
        <v>127</v>
      </c>
      <c r="BA66" s="34" t="s">
        <v>128</v>
      </c>
      <c r="BC66" s="55">
        <f>AW66+AX66</f>
        <v>0</v>
      </c>
      <c r="BD66" s="55">
        <f>H66/(100-BE66)*100</f>
        <v>0</v>
      </c>
      <c r="BE66" s="55">
        <v>0</v>
      </c>
      <c r="BF66" s="55">
        <f>K66</f>
        <v>0</v>
      </c>
      <c r="BH66" s="55">
        <f>G66*AO66</f>
        <v>0</v>
      </c>
      <c r="BI66" s="55">
        <f>G66*AP66</f>
        <v>0</v>
      </c>
      <c r="BJ66" s="55">
        <f>G66*H66</f>
        <v>0</v>
      </c>
      <c r="BK66" s="55"/>
      <c r="BL66" s="55"/>
      <c r="BW66" s="55">
        <v>21</v>
      </c>
    </row>
    <row r="67" spans="1:12" ht="13.5" customHeight="1">
      <c r="A67" s="59"/>
      <c r="D67" s="218" t="s">
        <v>129</v>
      </c>
      <c r="E67" s="219"/>
      <c r="F67" s="219"/>
      <c r="G67" s="219"/>
      <c r="H67" s="219"/>
      <c r="I67" s="219"/>
      <c r="J67" s="219"/>
      <c r="K67" s="219"/>
      <c r="L67" s="221"/>
    </row>
    <row r="68" spans="1:75" ht="13.5" customHeight="1">
      <c r="A68" s="1" t="s">
        <v>208</v>
      </c>
      <c r="B68" s="2" t="s">
        <v>116</v>
      </c>
      <c r="C68" s="2" t="s">
        <v>209</v>
      </c>
      <c r="D68" s="147" t="s">
        <v>210</v>
      </c>
      <c r="E68" s="148"/>
      <c r="F68" s="2" t="s">
        <v>174</v>
      </c>
      <c r="G68" s="55">
        <f>'Stavební rozpočet-vyplnit'!G68</f>
        <v>3000</v>
      </c>
      <c r="H68" s="55">
        <f>'Stavební rozpočet-vyplnit'!H68</f>
        <v>0</v>
      </c>
      <c r="I68" s="55">
        <f>G68*H68</f>
        <v>0</v>
      </c>
      <c r="J68" s="55">
        <f>'Stavební rozpočet-vyplnit'!J68</f>
        <v>0</v>
      </c>
      <c r="K68" s="55">
        <f>G68*J68</f>
        <v>0</v>
      </c>
      <c r="L68" s="57" t="s">
        <v>124</v>
      </c>
      <c r="Z68" s="55">
        <f>IF(AQ68="5",BJ68,0)</f>
        <v>0</v>
      </c>
      <c r="AB68" s="55">
        <f>IF(AQ68="1",BH68,0)</f>
        <v>0</v>
      </c>
      <c r="AC68" s="55">
        <f>IF(AQ68="1",BI68,0)</f>
        <v>0</v>
      </c>
      <c r="AD68" s="55">
        <f>IF(AQ68="7",BH68,0)</f>
        <v>0</v>
      </c>
      <c r="AE68" s="55">
        <f>IF(AQ68="7",BI68,0)</f>
        <v>0</v>
      </c>
      <c r="AF68" s="55">
        <f>IF(AQ68="2",BH68,0)</f>
        <v>0</v>
      </c>
      <c r="AG68" s="55">
        <f>IF(AQ68="2",BI68,0)</f>
        <v>0</v>
      </c>
      <c r="AH68" s="55">
        <f>IF(AQ68="0",BJ68,0)</f>
        <v>0</v>
      </c>
      <c r="AI68" s="34" t="s">
        <v>116</v>
      </c>
      <c r="AJ68" s="55">
        <f>IF(AN68=0,I68,0)</f>
        <v>0</v>
      </c>
      <c r="AK68" s="55">
        <f>IF(AN68=12,I68,0)</f>
        <v>0</v>
      </c>
      <c r="AL68" s="55">
        <f>IF(AN68=21,I68,0)</f>
        <v>0</v>
      </c>
      <c r="AN68" s="55">
        <v>21</v>
      </c>
      <c r="AO68" s="55">
        <f>H68*0.415384615</f>
        <v>0</v>
      </c>
      <c r="AP68" s="55">
        <f>H68*(1-0.415384615)</f>
        <v>0</v>
      </c>
      <c r="AQ68" s="58" t="s">
        <v>125</v>
      </c>
      <c r="AV68" s="55">
        <f>AW68+AX68</f>
        <v>0</v>
      </c>
      <c r="AW68" s="55">
        <f>G68*AO68</f>
        <v>0</v>
      </c>
      <c r="AX68" s="55">
        <f>G68*AP68</f>
        <v>0</v>
      </c>
      <c r="AY68" s="58" t="s">
        <v>126</v>
      </c>
      <c r="AZ68" s="58" t="s">
        <v>127</v>
      </c>
      <c r="BA68" s="34" t="s">
        <v>128</v>
      </c>
      <c r="BC68" s="55">
        <f>AW68+AX68</f>
        <v>0</v>
      </c>
      <c r="BD68" s="55">
        <f>H68/(100-BE68)*100</f>
        <v>0</v>
      </c>
      <c r="BE68" s="55">
        <v>0</v>
      </c>
      <c r="BF68" s="55">
        <f>K68</f>
        <v>0</v>
      </c>
      <c r="BH68" s="55">
        <f>G68*AO68</f>
        <v>0</v>
      </c>
      <c r="BI68" s="55">
        <f>G68*AP68</f>
        <v>0</v>
      </c>
      <c r="BJ68" s="55">
        <f>G68*H68</f>
        <v>0</v>
      </c>
      <c r="BK68" s="55"/>
      <c r="BL68" s="55"/>
      <c r="BW68" s="55">
        <v>21</v>
      </c>
    </row>
    <row r="69" spans="1:12" ht="13.5" customHeight="1">
      <c r="A69" s="59"/>
      <c r="D69" s="218" t="s">
        <v>129</v>
      </c>
      <c r="E69" s="219"/>
      <c r="F69" s="219"/>
      <c r="G69" s="219"/>
      <c r="H69" s="219"/>
      <c r="I69" s="219"/>
      <c r="J69" s="219"/>
      <c r="K69" s="219"/>
      <c r="L69" s="221"/>
    </row>
    <row r="70" spans="1:75" ht="13.5" customHeight="1">
      <c r="A70" s="1" t="s">
        <v>211</v>
      </c>
      <c r="B70" s="2" t="s">
        <v>116</v>
      </c>
      <c r="C70" s="2" t="s">
        <v>212</v>
      </c>
      <c r="D70" s="147" t="s">
        <v>213</v>
      </c>
      <c r="E70" s="148"/>
      <c r="F70" s="2" t="s">
        <v>174</v>
      </c>
      <c r="G70" s="55">
        <f>'Stavební rozpočet-vyplnit'!G70</f>
        <v>300</v>
      </c>
      <c r="H70" s="55">
        <f>'Stavební rozpočet-vyplnit'!H70</f>
        <v>0</v>
      </c>
      <c r="I70" s="55">
        <f>G70*H70</f>
        <v>0</v>
      </c>
      <c r="J70" s="55">
        <f>'Stavební rozpočet-vyplnit'!J70</f>
        <v>0</v>
      </c>
      <c r="K70" s="55">
        <f>G70*J70</f>
        <v>0</v>
      </c>
      <c r="L70" s="57" t="s">
        <v>124</v>
      </c>
      <c r="Z70" s="55">
        <f>IF(AQ70="5",BJ70,0)</f>
        <v>0</v>
      </c>
      <c r="AB70" s="55">
        <f>IF(AQ70="1",BH70,0)</f>
        <v>0</v>
      </c>
      <c r="AC70" s="55">
        <f>IF(AQ70="1",BI70,0)</f>
        <v>0</v>
      </c>
      <c r="AD70" s="55">
        <f>IF(AQ70="7",BH70,0)</f>
        <v>0</v>
      </c>
      <c r="AE70" s="55">
        <f>IF(AQ70="7",BI70,0)</f>
        <v>0</v>
      </c>
      <c r="AF70" s="55">
        <f>IF(AQ70="2",BH70,0)</f>
        <v>0</v>
      </c>
      <c r="AG70" s="55">
        <f>IF(AQ70="2",BI70,0)</f>
        <v>0</v>
      </c>
      <c r="AH70" s="55">
        <f>IF(AQ70="0",BJ70,0)</f>
        <v>0</v>
      </c>
      <c r="AI70" s="34" t="s">
        <v>116</v>
      </c>
      <c r="AJ70" s="55">
        <f>IF(AN70=0,I70,0)</f>
        <v>0</v>
      </c>
      <c r="AK70" s="55">
        <f>IF(AN70=12,I70,0)</f>
        <v>0</v>
      </c>
      <c r="AL70" s="55">
        <f>IF(AN70=21,I70,0)</f>
        <v>0</v>
      </c>
      <c r="AN70" s="55">
        <v>21</v>
      </c>
      <c r="AO70" s="55">
        <f>H70*0.438596491</f>
        <v>0</v>
      </c>
      <c r="AP70" s="55">
        <f>H70*(1-0.438596491)</f>
        <v>0</v>
      </c>
      <c r="AQ70" s="58" t="s">
        <v>125</v>
      </c>
      <c r="AV70" s="55">
        <f>AW70+AX70</f>
        <v>0</v>
      </c>
      <c r="AW70" s="55">
        <f>G70*AO70</f>
        <v>0</v>
      </c>
      <c r="AX70" s="55">
        <f>G70*AP70</f>
        <v>0</v>
      </c>
      <c r="AY70" s="58" t="s">
        <v>126</v>
      </c>
      <c r="AZ70" s="58" t="s">
        <v>127</v>
      </c>
      <c r="BA70" s="34" t="s">
        <v>128</v>
      </c>
      <c r="BC70" s="55">
        <f>AW70+AX70</f>
        <v>0</v>
      </c>
      <c r="BD70" s="55">
        <f>H70/(100-BE70)*100</f>
        <v>0</v>
      </c>
      <c r="BE70" s="55">
        <v>0</v>
      </c>
      <c r="BF70" s="55">
        <f>K70</f>
        <v>0</v>
      </c>
      <c r="BH70" s="55">
        <f>G70*AO70</f>
        <v>0</v>
      </c>
      <c r="BI70" s="55">
        <f>G70*AP70</f>
        <v>0</v>
      </c>
      <c r="BJ70" s="55">
        <f>G70*H70</f>
        <v>0</v>
      </c>
      <c r="BK70" s="55"/>
      <c r="BL70" s="55"/>
      <c r="BW70" s="55">
        <v>21</v>
      </c>
    </row>
    <row r="71" spans="1:12" ht="13.5" customHeight="1">
      <c r="A71" s="59"/>
      <c r="D71" s="218" t="s">
        <v>129</v>
      </c>
      <c r="E71" s="219"/>
      <c r="F71" s="219"/>
      <c r="G71" s="219"/>
      <c r="H71" s="219"/>
      <c r="I71" s="219"/>
      <c r="J71" s="219"/>
      <c r="K71" s="219"/>
      <c r="L71" s="221"/>
    </row>
    <row r="72" spans="1:75" ht="13.5" customHeight="1">
      <c r="A72" s="1" t="s">
        <v>214</v>
      </c>
      <c r="B72" s="2" t="s">
        <v>116</v>
      </c>
      <c r="C72" s="2" t="s">
        <v>215</v>
      </c>
      <c r="D72" s="147" t="s">
        <v>216</v>
      </c>
      <c r="E72" s="148"/>
      <c r="F72" s="2" t="s">
        <v>174</v>
      </c>
      <c r="G72" s="55">
        <f>'Stavební rozpočet-vyplnit'!G72</f>
        <v>180</v>
      </c>
      <c r="H72" s="55">
        <f>'Stavební rozpočet-vyplnit'!H72</f>
        <v>0</v>
      </c>
      <c r="I72" s="55">
        <f>G72*H72</f>
        <v>0</v>
      </c>
      <c r="J72" s="55">
        <f>'Stavební rozpočet-vyplnit'!J72</f>
        <v>0</v>
      </c>
      <c r="K72" s="55">
        <f>G72*J72</f>
        <v>0</v>
      </c>
      <c r="L72" s="57" t="s">
        <v>124</v>
      </c>
      <c r="Z72" s="55">
        <f>IF(AQ72="5",BJ72,0)</f>
        <v>0</v>
      </c>
      <c r="AB72" s="55">
        <f>IF(AQ72="1",BH72,0)</f>
        <v>0</v>
      </c>
      <c r="AC72" s="55">
        <f>IF(AQ72="1",BI72,0)</f>
        <v>0</v>
      </c>
      <c r="AD72" s="55">
        <f>IF(AQ72="7",BH72,0)</f>
        <v>0</v>
      </c>
      <c r="AE72" s="55">
        <f>IF(AQ72="7",BI72,0)</f>
        <v>0</v>
      </c>
      <c r="AF72" s="55">
        <f>IF(AQ72="2",BH72,0)</f>
        <v>0</v>
      </c>
      <c r="AG72" s="55">
        <f>IF(AQ72="2",BI72,0)</f>
        <v>0</v>
      </c>
      <c r="AH72" s="55">
        <f>IF(AQ72="0",BJ72,0)</f>
        <v>0</v>
      </c>
      <c r="AI72" s="34" t="s">
        <v>116</v>
      </c>
      <c r="AJ72" s="55">
        <f>IF(AN72=0,I72,0)</f>
        <v>0</v>
      </c>
      <c r="AK72" s="55">
        <f>IF(AN72=12,I72,0)</f>
        <v>0</v>
      </c>
      <c r="AL72" s="55">
        <f>IF(AN72=21,I72,0)</f>
        <v>0</v>
      </c>
      <c r="AN72" s="55">
        <v>21</v>
      </c>
      <c r="AO72" s="55">
        <f>H72*0.691588785</f>
        <v>0</v>
      </c>
      <c r="AP72" s="55">
        <f>H72*(1-0.691588785)</f>
        <v>0</v>
      </c>
      <c r="AQ72" s="58" t="s">
        <v>125</v>
      </c>
      <c r="AV72" s="55">
        <f>AW72+AX72</f>
        <v>0</v>
      </c>
      <c r="AW72" s="55">
        <f>G72*AO72</f>
        <v>0</v>
      </c>
      <c r="AX72" s="55">
        <f>G72*AP72</f>
        <v>0</v>
      </c>
      <c r="AY72" s="58" t="s">
        <v>126</v>
      </c>
      <c r="AZ72" s="58" t="s">
        <v>127</v>
      </c>
      <c r="BA72" s="34" t="s">
        <v>128</v>
      </c>
      <c r="BC72" s="55">
        <f>AW72+AX72</f>
        <v>0</v>
      </c>
      <c r="BD72" s="55">
        <f>H72/(100-BE72)*100</f>
        <v>0</v>
      </c>
      <c r="BE72" s="55">
        <v>0</v>
      </c>
      <c r="BF72" s="55">
        <f>K72</f>
        <v>0</v>
      </c>
      <c r="BH72" s="55">
        <f>G72*AO72</f>
        <v>0</v>
      </c>
      <c r="BI72" s="55">
        <f>G72*AP72</f>
        <v>0</v>
      </c>
      <c r="BJ72" s="55">
        <f>G72*H72</f>
        <v>0</v>
      </c>
      <c r="BK72" s="55"/>
      <c r="BL72" s="55"/>
      <c r="BW72" s="55">
        <v>21</v>
      </c>
    </row>
    <row r="73" spans="1:12" ht="13.5" customHeight="1">
      <c r="A73" s="59"/>
      <c r="D73" s="218" t="s">
        <v>129</v>
      </c>
      <c r="E73" s="219"/>
      <c r="F73" s="219"/>
      <c r="G73" s="219"/>
      <c r="H73" s="219"/>
      <c r="I73" s="219"/>
      <c r="J73" s="219"/>
      <c r="K73" s="219"/>
      <c r="L73" s="221"/>
    </row>
    <row r="74" spans="1:75" ht="13.5" customHeight="1">
      <c r="A74" s="1" t="s">
        <v>217</v>
      </c>
      <c r="B74" s="2" t="s">
        <v>116</v>
      </c>
      <c r="C74" s="2" t="s">
        <v>218</v>
      </c>
      <c r="D74" s="147" t="s">
        <v>219</v>
      </c>
      <c r="E74" s="148"/>
      <c r="F74" s="2" t="s">
        <v>123</v>
      </c>
      <c r="G74" s="55">
        <f>'Stavební rozpočet-vyplnit'!G74</f>
        <v>7</v>
      </c>
      <c r="H74" s="55">
        <f>'Stavební rozpočet-vyplnit'!H74</f>
        <v>0</v>
      </c>
      <c r="I74" s="55">
        <f>G74*H74</f>
        <v>0</v>
      </c>
      <c r="J74" s="55">
        <f>'Stavební rozpočet-vyplnit'!J74</f>
        <v>0</v>
      </c>
      <c r="K74" s="55">
        <f>G74*J74</f>
        <v>0</v>
      </c>
      <c r="L74" s="57" t="s">
        <v>124</v>
      </c>
      <c r="Z74" s="55">
        <f>IF(AQ74="5",BJ74,0)</f>
        <v>0</v>
      </c>
      <c r="AB74" s="55">
        <f>IF(AQ74="1",BH74,0)</f>
        <v>0</v>
      </c>
      <c r="AC74" s="55">
        <f>IF(AQ74="1",BI74,0)</f>
        <v>0</v>
      </c>
      <c r="AD74" s="55">
        <f>IF(AQ74="7",BH74,0)</f>
        <v>0</v>
      </c>
      <c r="AE74" s="55">
        <f>IF(AQ74="7",BI74,0)</f>
        <v>0</v>
      </c>
      <c r="AF74" s="55">
        <f>IF(AQ74="2",BH74,0)</f>
        <v>0</v>
      </c>
      <c r="AG74" s="55">
        <f>IF(AQ74="2",BI74,0)</f>
        <v>0</v>
      </c>
      <c r="AH74" s="55">
        <f>IF(AQ74="0",BJ74,0)</f>
        <v>0</v>
      </c>
      <c r="AI74" s="34" t="s">
        <v>116</v>
      </c>
      <c r="AJ74" s="55">
        <f>IF(AN74=0,I74,0)</f>
        <v>0</v>
      </c>
      <c r="AK74" s="55">
        <f>IF(AN74=12,I74,0)</f>
        <v>0</v>
      </c>
      <c r="AL74" s="55">
        <f>IF(AN74=21,I74,0)</f>
        <v>0</v>
      </c>
      <c r="AN74" s="55">
        <v>21</v>
      </c>
      <c r="AO74" s="55">
        <f>H74*0.916570104</f>
        <v>0</v>
      </c>
      <c r="AP74" s="55">
        <f>H74*(1-0.916570104)</f>
        <v>0</v>
      </c>
      <c r="AQ74" s="58" t="s">
        <v>125</v>
      </c>
      <c r="AV74" s="55">
        <f>AW74+AX74</f>
        <v>0</v>
      </c>
      <c r="AW74" s="55">
        <f>G74*AO74</f>
        <v>0</v>
      </c>
      <c r="AX74" s="55">
        <f>G74*AP74</f>
        <v>0</v>
      </c>
      <c r="AY74" s="58" t="s">
        <v>126</v>
      </c>
      <c r="AZ74" s="58" t="s">
        <v>127</v>
      </c>
      <c r="BA74" s="34" t="s">
        <v>128</v>
      </c>
      <c r="BC74" s="55">
        <f>AW74+AX74</f>
        <v>0</v>
      </c>
      <c r="BD74" s="55">
        <f>H74/(100-BE74)*100</f>
        <v>0</v>
      </c>
      <c r="BE74" s="55">
        <v>0</v>
      </c>
      <c r="BF74" s="55">
        <f>K74</f>
        <v>0</v>
      </c>
      <c r="BH74" s="55">
        <f>G74*AO74</f>
        <v>0</v>
      </c>
      <c r="BI74" s="55">
        <f>G74*AP74</f>
        <v>0</v>
      </c>
      <c r="BJ74" s="55">
        <f>G74*H74</f>
        <v>0</v>
      </c>
      <c r="BK74" s="55"/>
      <c r="BL74" s="55"/>
      <c r="BW74" s="55">
        <v>21</v>
      </c>
    </row>
    <row r="75" spans="1:12" ht="13.5" customHeight="1">
      <c r="A75" s="59"/>
      <c r="D75" s="218" t="s">
        <v>129</v>
      </c>
      <c r="E75" s="219"/>
      <c r="F75" s="219"/>
      <c r="G75" s="219"/>
      <c r="H75" s="219"/>
      <c r="I75" s="219"/>
      <c r="J75" s="219"/>
      <c r="K75" s="219"/>
      <c r="L75" s="221"/>
    </row>
    <row r="76" spans="1:75" ht="13.5" customHeight="1">
      <c r="A76" s="1" t="s">
        <v>220</v>
      </c>
      <c r="B76" s="2" t="s">
        <v>116</v>
      </c>
      <c r="C76" s="2" t="s">
        <v>221</v>
      </c>
      <c r="D76" s="147" t="s">
        <v>222</v>
      </c>
      <c r="E76" s="148"/>
      <c r="F76" s="2" t="s">
        <v>174</v>
      </c>
      <c r="G76" s="55">
        <f>'Stavební rozpočet-vyplnit'!G76</f>
        <v>100</v>
      </c>
      <c r="H76" s="55">
        <f>'Stavební rozpočet-vyplnit'!H76</f>
        <v>0</v>
      </c>
      <c r="I76" s="55">
        <f>G76*H76</f>
        <v>0</v>
      </c>
      <c r="J76" s="55">
        <f>'Stavební rozpočet-vyplnit'!J76</f>
        <v>0</v>
      </c>
      <c r="K76" s="55">
        <f>G76*J76</f>
        <v>0</v>
      </c>
      <c r="L76" s="57" t="s">
        <v>124</v>
      </c>
      <c r="Z76" s="55">
        <f>IF(AQ76="5",BJ76,0)</f>
        <v>0</v>
      </c>
      <c r="AB76" s="55">
        <f>IF(AQ76="1",BH76,0)</f>
        <v>0</v>
      </c>
      <c r="AC76" s="55">
        <f>IF(AQ76="1",BI76,0)</f>
        <v>0</v>
      </c>
      <c r="AD76" s="55">
        <f>IF(AQ76="7",BH76,0)</f>
        <v>0</v>
      </c>
      <c r="AE76" s="55">
        <f>IF(AQ76="7",BI76,0)</f>
        <v>0</v>
      </c>
      <c r="AF76" s="55">
        <f>IF(AQ76="2",BH76,0)</f>
        <v>0</v>
      </c>
      <c r="AG76" s="55">
        <f>IF(AQ76="2",BI76,0)</f>
        <v>0</v>
      </c>
      <c r="AH76" s="55">
        <f>IF(AQ76="0",BJ76,0)</f>
        <v>0</v>
      </c>
      <c r="AI76" s="34" t="s">
        <v>116</v>
      </c>
      <c r="AJ76" s="55">
        <f>IF(AN76=0,I76,0)</f>
        <v>0</v>
      </c>
      <c r="AK76" s="55">
        <f>IF(AN76=12,I76,0)</f>
        <v>0</v>
      </c>
      <c r="AL76" s="55">
        <f>IF(AN76=21,I76,0)</f>
        <v>0</v>
      </c>
      <c r="AN76" s="55">
        <v>21</v>
      </c>
      <c r="AO76" s="55">
        <f>H76*0.730769231</f>
        <v>0</v>
      </c>
      <c r="AP76" s="55">
        <f>H76*(1-0.730769231)</f>
        <v>0</v>
      </c>
      <c r="AQ76" s="58" t="s">
        <v>125</v>
      </c>
      <c r="AV76" s="55">
        <f>AW76+AX76</f>
        <v>0</v>
      </c>
      <c r="AW76" s="55">
        <f>G76*AO76</f>
        <v>0</v>
      </c>
      <c r="AX76" s="55">
        <f>G76*AP76</f>
        <v>0</v>
      </c>
      <c r="AY76" s="58" t="s">
        <v>126</v>
      </c>
      <c r="AZ76" s="58" t="s">
        <v>127</v>
      </c>
      <c r="BA76" s="34" t="s">
        <v>128</v>
      </c>
      <c r="BC76" s="55">
        <f>AW76+AX76</f>
        <v>0</v>
      </c>
      <c r="BD76" s="55">
        <f>H76/(100-BE76)*100</f>
        <v>0</v>
      </c>
      <c r="BE76" s="55">
        <v>0</v>
      </c>
      <c r="BF76" s="55">
        <f>K76</f>
        <v>0</v>
      </c>
      <c r="BH76" s="55">
        <f>G76*AO76</f>
        <v>0</v>
      </c>
      <c r="BI76" s="55">
        <f>G76*AP76</f>
        <v>0</v>
      </c>
      <c r="BJ76" s="55">
        <f>G76*H76</f>
        <v>0</v>
      </c>
      <c r="BK76" s="55"/>
      <c r="BL76" s="55"/>
      <c r="BW76" s="55">
        <v>21</v>
      </c>
    </row>
    <row r="77" spans="1:12" ht="13.5" customHeight="1">
      <c r="A77" s="59"/>
      <c r="D77" s="218" t="s">
        <v>129</v>
      </c>
      <c r="E77" s="219"/>
      <c r="F77" s="219"/>
      <c r="G77" s="219"/>
      <c r="H77" s="219"/>
      <c r="I77" s="219"/>
      <c r="J77" s="219"/>
      <c r="K77" s="219"/>
      <c r="L77" s="221"/>
    </row>
    <row r="78" spans="1:75" ht="13.5" customHeight="1">
      <c r="A78" s="1" t="s">
        <v>223</v>
      </c>
      <c r="B78" s="2" t="s">
        <v>116</v>
      </c>
      <c r="C78" s="2" t="s">
        <v>224</v>
      </c>
      <c r="D78" s="147" t="s">
        <v>225</v>
      </c>
      <c r="E78" s="148"/>
      <c r="F78" s="2" t="s">
        <v>174</v>
      </c>
      <c r="G78" s="55">
        <f>'Stavební rozpočet-vyplnit'!G78</f>
        <v>350</v>
      </c>
      <c r="H78" s="55">
        <f>'Stavební rozpočet-vyplnit'!H78</f>
        <v>0</v>
      </c>
      <c r="I78" s="55">
        <f>G78*H78</f>
        <v>0</v>
      </c>
      <c r="J78" s="55">
        <f>'Stavební rozpočet-vyplnit'!J78</f>
        <v>0</v>
      </c>
      <c r="K78" s="55">
        <f>G78*J78</f>
        <v>0</v>
      </c>
      <c r="L78" s="57" t="s">
        <v>124</v>
      </c>
      <c r="Z78" s="55">
        <f>IF(AQ78="5",BJ78,0)</f>
        <v>0</v>
      </c>
      <c r="AB78" s="55">
        <f>IF(AQ78="1",BH78,0)</f>
        <v>0</v>
      </c>
      <c r="AC78" s="55">
        <f>IF(AQ78="1",BI78,0)</f>
        <v>0</v>
      </c>
      <c r="AD78" s="55">
        <f>IF(AQ78="7",BH78,0)</f>
        <v>0</v>
      </c>
      <c r="AE78" s="55">
        <f>IF(AQ78="7",BI78,0)</f>
        <v>0</v>
      </c>
      <c r="AF78" s="55">
        <f>IF(AQ78="2",BH78,0)</f>
        <v>0</v>
      </c>
      <c r="AG78" s="55">
        <f>IF(AQ78="2",BI78,0)</f>
        <v>0</v>
      </c>
      <c r="AH78" s="55">
        <f>IF(AQ78="0",BJ78,0)</f>
        <v>0</v>
      </c>
      <c r="AI78" s="34" t="s">
        <v>116</v>
      </c>
      <c r="AJ78" s="55">
        <f>IF(AN78=0,I78,0)</f>
        <v>0</v>
      </c>
      <c r="AK78" s="55">
        <f>IF(AN78=12,I78,0)</f>
        <v>0</v>
      </c>
      <c r="AL78" s="55">
        <f>IF(AN78=21,I78,0)</f>
        <v>0</v>
      </c>
      <c r="AN78" s="55">
        <v>21</v>
      </c>
      <c r="AO78" s="55">
        <f>H78*0.545454545</f>
        <v>0</v>
      </c>
      <c r="AP78" s="55">
        <f>H78*(1-0.545454545)</f>
        <v>0</v>
      </c>
      <c r="AQ78" s="58" t="s">
        <v>125</v>
      </c>
      <c r="AV78" s="55">
        <f>AW78+AX78</f>
        <v>0</v>
      </c>
      <c r="AW78" s="55">
        <f>G78*AO78</f>
        <v>0</v>
      </c>
      <c r="AX78" s="55">
        <f>G78*AP78</f>
        <v>0</v>
      </c>
      <c r="AY78" s="58" t="s">
        <v>126</v>
      </c>
      <c r="AZ78" s="58" t="s">
        <v>127</v>
      </c>
      <c r="BA78" s="34" t="s">
        <v>128</v>
      </c>
      <c r="BC78" s="55">
        <f>AW78+AX78</f>
        <v>0</v>
      </c>
      <c r="BD78" s="55">
        <f>H78/(100-BE78)*100</f>
        <v>0</v>
      </c>
      <c r="BE78" s="55">
        <v>0</v>
      </c>
      <c r="BF78" s="55">
        <f>K78</f>
        <v>0</v>
      </c>
      <c r="BH78" s="55">
        <f>G78*AO78</f>
        <v>0</v>
      </c>
      <c r="BI78" s="55">
        <f>G78*AP78</f>
        <v>0</v>
      </c>
      <c r="BJ78" s="55">
        <f>G78*H78</f>
        <v>0</v>
      </c>
      <c r="BK78" s="55"/>
      <c r="BL78" s="55"/>
      <c r="BW78" s="55">
        <v>21</v>
      </c>
    </row>
    <row r="79" spans="1:12" ht="13.5" customHeight="1">
      <c r="A79" s="59"/>
      <c r="D79" s="218" t="s">
        <v>129</v>
      </c>
      <c r="E79" s="219"/>
      <c r="F79" s="219"/>
      <c r="G79" s="219"/>
      <c r="H79" s="219"/>
      <c r="I79" s="219"/>
      <c r="J79" s="219"/>
      <c r="K79" s="219"/>
      <c r="L79" s="221"/>
    </row>
    <row r="80" spans="1:75" ht="13.5" customHeight="1">
      <c r="A80" s="1" t="s">
        <v>226</v>
      </c>
      <c r="B80" s="2" t="s">
        <v>116</v>
      </c>
      <c r="C80" s="2" t="s">
        <v>227</v>
      </c>
      <c r="D80" s="147" t="s">
        <v>228</v>
      </c>
      <c r="E80" s="148"/>
      <c r="F80" s="2" t="s">
        <v>174</v>
      </c>
      <c r="G80" s="55">
        <f>'Stavební rozpočet-vyplnit'!G80</f>
        <v>100</v>
      </c>
      <c r="H80" s="55">
        <f>'Stavební rozpočet-vyplnit'!H80</f>
        <v>0</v>
      </c>
      <c r="I80" s="55">
        <f>G80*H80</f>
        <v>0</v>
      </c>
      <c r="J80" s="55">
        <f>'Stavební rozpočet-vyplnit'!J80</f>
        <v>0</v>
      </c>
      <c r="K80" s="55">
        <f>G80*J80</f>
        <v>0</v>
      </c>
      <c r="L80" s="57" t="s">
        <v>124</v>
      </c>
      <c r="Z80" s="55">
        <f>IF(AQ80="5",BJ80,0)</f>
        <v>0</v>
      </c>
      <c r="AB80" s="55">
        <f>IF(AQ80="1",BH80,0)</f>
        <v>0</v>
      </c>
      <c r="AC80" s="55">
        <f>IF(AQ80="1",BI80,0)</f>
        <v>0</v>
      </c>
      <c r="AD80" s="55">
        <f>IF(AQ80="7",BH80,0)</f>
        <v>0</v>
      </c>
      <c r="AE80" s="55">
        <f>IF(AQ80="7",BI80,0)</f>
        <v>0</v>
      </c>
      <c r="AF80" s="55">
        <f>IF(AQ80="2",BH80,0)</f>
        <v>0</v>
      </c>
      <c r="AG80" s="55">
        <f>IF(AQ80="2",BI80,0)</f>
        <v>0</v>
      </c>
      <c r="AH80" s="55">
        <f>IF(AQ80="0",BJ80,0)</f>
        <v>0</v>
      </c>
      <c r="AI80" s="34" t="s">
        <v>116</v>
      </c>
      <c r="AJ80" s="55">
        <f>IF(AN80=0,I80,0)</f>
        <v>0</v>
      </c>
      <c r="AK80" s="55">
        <f>IF(AN80=12,I80,0)</f>
        <v>0</v>
      </c>
      <c r="AL80" s="55">
        <f>IF(AN80=21,I80,0)</f>
        <v>0</v>
      </c>
      <c r="AN80" s="55">
        <v>21</v>
      </c>
      <c r="AO80" s="55">
        <f>H80*0.651515152</f>
        <v>0</v>
      </c>
      <c r="AP80" s="55">
        <f>H80*(1-0.651515152)</f>
        <v>0</v>
      </c>
      <c r="AQ80" s="58" t="s">
        <v>125</v>
      </c>
      <c r="AV80" s="55">
        <f>AW80+AX80</f>
        <v>0</v>
      </c>
      <c r="AW80" s="55">
        <f>G80*AO80</f>
        <v>0</v>
      </c>
      <c r="AX80" s="55">
        <f>G80*AP80</f>
        <v>0</v>
      </c>
      <c r="AY80" s="58" t="s">
        <v>126</v>
      </c>
      <c r="AZ80" s="58" t="s">
        <v>127</v>
      </c>
      <c r="BA80" s="34" t="s">
        <v>128</v>
      </c>
      <c r="BC80" s="55">
        <f>AW80+AX80</f>
        <v>0</v>
      </c>
      <c r="BD80" s="55">
        <f>H80/(100-BE80)*100</f>
        <v>0</v>
      </c>
      <c r="BE80" s="55">
        <v>0</v>
      </c>
      <c r="BF80" s="55">
        <f>K80</f>
        <v>0</v>
      </c>
      <c r="BH80" s="55">
        <f>G80*AO80</f>
        <v>0</v>
      </c>
      <c r="BI80" s="55">
        <f>G80*AP80</f>
        <v>0</v>
      </c>
      <c r="BJ80" s="55">
        <f>G80*H80</f>
        <v>0</v>
      </c>
      <c r="BK80" s="55"/>
      <c r="BL80" s="55"/>
      <c r="BW80" s="55">
        <v>21</v>
      </c>
    </row>
    <row r="81" spans="1:12" ht="13.5" customHeight="1">
      <c r="A81" s="59"/>
      <c r="D81" s="218" t="s">
        <v>129</v>
      </c>
      <c r="E81" s="219"/>
      <c r="F81" s="219"/>
      <c r="G81" s="219"/>
      <c r="H81" s="219"/>
      <c r="I81" s="219"/>
      <c r="J81" s="219"/>
      <c r="K81" s="219"/>
      <c r="L81" s="221"/>
    </row>
    <row r="82" spans="1:75" ht="13.5" customHeight="1">
      <c r="A82" s="1" t="s">
        <v>229</v>
      </c>
      <c r="B82" s="2" t="s">
        <v>116</v>
      </c>
      <c r="C82" s="2" t="s">
        <v>230</v>
      </c>
      <c r="D82" s="147" t="s">
        <v>231</v>
      </c>
      <c r="E82" s="148"/>
      <c r="F82" s="2" t="s">
        <v>174</v>
      </c>
      <c r="G82" s="55">
        <f>'Stavební rozpočet-vyplnit'!G82</f>
        <v>230</v>
      </c>
      <c r="H82" s="55">
        <f>'Stavební rozpočet-vyplnit'!H82</f>
        <v>0</v>
      </c>
      <c r="I82" s="55">
        <f>G82*H82</f>
        <v>0</v>
      </c>
      <c r="J82" s="55">
        <f>'Stavební rozpočet-vyplnit'!J82</f>
        <v>0</v>
      </c>
      <c r="K82" s="55">
        <f>G82*J82</f>
        <v>0</v>
      </c>
      <c r="L82" s="57" t="s">
        <v>124</v>
      </c>
      <c r="Z82" s="55">
        <f>IF(AQ82="5",BJ82,0)</f>
        <v>0</v>
      </c>
      <c r="AB82" s="55">
        <f>IF(AQ82="1",BH82,0)</f>
        <v>0</v>
      </c>
      <c r="AC82" s="55">
        <f>IF(AQ82="1",BI82,0)</f>
        <v>0</v>
      </c>
      <c r="AD82" s="55">
        <f>IF(AQ82="7",BH82,0)</f>
        <v>0</v>
      </c>
      <c r="AE82" s="55">
        <f>IF(AQ82="7",BI82,0)</f>
        <v>0</v>
      </c>
      <c r="AF82" s="55">
        <f>IF(AQ82="2",BH82,0)</f>
        <v>0</v>
      </c>
      <c r="AG82" s="55">
        <f>IF(AQ82="2",BI82,0)</f>
        <v>0</v>
      </c>
      <c r="AH82" s="55">
        <f>IF(AQ82="0",BJ82,0)</f>
        <v>0</v>
      </c>
      <c r="AI82" s="34" t="s">
        <v>116</v>
      </c>
      <c r="AJ82" s="55">
        <f>IF(AN82=0,I82,0)</f>
        <v>0</v>
      </c>
      <c r="AK82" s="55">
        <f>IF(AN82=12,I82,0)</f>
        <v>0</v>
      </c>
      <c r="AL82" s="55">
        <f>IF(AN82=21,I82,0)</f>
        <v>0</v>
      </c>
      <c r="AN82" s="55">
        <v>21</v>
      </c>
      <c r="AO82" s="55">
        <f>H82*0.771929825</f>
        <v>0</v>
      </c>
      <c r="AP82" s="55">
        <f>H82*(1-0.771929825)</f>
        <v>0</v>
      </c>
      <c r="AQ82" s="58" t="s">
        <v>125</v>
      </c>
      <c r="AV82" s="55">
        <f>AW82+AX82</f>
        <v>0</v>
      </c>
      <c r="AW82" s="55">
        <f>G82*AO82</f>
        <v>0</v>
      </c>
      <c r="AX82" s="55">
        <f>G82*AP82</f>
        <v>0</v>
      </c>
      <c r="AY82" s="58" t="s">
        <v>126</v>
      </c>
      <c r="AZ82" s="58" t="s">
        <v>127</v>
      </c>
      <c r="BA82" s="34" t="s">
        <v>128</v>
      </c>
      <c r="BC82" s="55">
        <f>AW82+AX82</f>
        <v>0</v>
      </c>
      <c r="BD82" s="55">
        <f>H82/(100-BE82)*100</f>
        <v>0</v>
      </c>
      <c r="BE82" s="55">
        <v>0</v>
      </c>
      <c r="BF82" s="55">
        <f>K82</f>
        <v>0</v>
      </c>
      <c r="BH82" s="55">
        <f>G82*AO82</f>
        <v>0</v>
      </c>
      <c r="BI82" s="55">
        <f>G82*AP82</f>
        <v>0</v>
      </c>
      <c r="BJ82" s="55">
        <f>G82*H82</f>
        <v>0</v>
      </c>
      <c r="BK82" s="55"/>
      <c r="BL82" s="55"/>
      <c r="BW82" s="55">
        <v>21</v>
      </c>
    </row>
    <row r="83" spans="1:12" ht="13.5" customHeight="1">
      <c r="A83" s="59"/>
      <c r="D83" s="218" t="s">
        <v>129</v>
      </c>
      <c r="E83" s="219"/>
      <c r="F83" s="219"/>
      <c r="G83" s="219"/>
      <c r="H83" s="219"/>
      <c r="I83" s="219"/>
      <c r="J83" s="219"/>
      <c r="K83" s="219"/>
      <c r="L83" s="221"/>
    </row>
    <row r="84" spans="1:75" ht="13.5" customHeight="1">
      <c r="A84" s="1" t="s">
        <v>232</v>
      </c>
      <c r="B84" s="2" t="s">
        <v>116</v>
      </c>
      <c r="C84" s="2" t="s">
        <v>233</v>
      </c>
      <c r="D84" s="147" t="s">
        <v>234</v>
      </c>
      <c r="E84" s="148"/>
      <c r="F84" s="2" t="s">
        <v>174</v>
      </c>
      <c r="G84" s="55">
        <f>'Stavební rozpočet-vyplnit'!G84</f>
        <v>20</v>
      </c>
      <c r="H84" s="55">
        <f>'Stavební rozpočet-vyplnit'!H84</f>
        <v>0</v>
      </c>
      <c r="I84" s="55">
        <f>G84*H84</f>
        <v>0</v>
      </c>
      <c r="J84" s="55">
        <f>'Stavební rozpočet-vyplnit'!J84</f>
        <v>0</v>
      </c>
      <c r="K84" s="55">
        <f>G84*J84</f>
        <v>0</v>
      </c>
      <c r="L84" s="57" t="s">
        <v>124</v>
      </c>
      <c r="Z84" s="55">
        <f>IF(AQ84="5",BJ84,0)</f>
        <v>0</v>
      </c>
      <c r="AB84" s="55">
        <f>IF(AQ84="1",BH84,0)</f>
        <v>0</v>
      </c>
      <c r="AC84" s="55">
        <f>IF(AQ84="1",BI84,0)</f>
        <v>0</v>
      </c>
      <c r="AD84" s="55">
        <f>IF(AQ84="7",BH84,0)</f>
        <v>0</v>
      </c>
      <c r="AE84" s="55">
        <f>IF(AQ84="7",BI84,0)</f>
        <v>0</v>
      </c>
      <c r="AF84" s="55">
        <f>IF(AQ84="2",BH84,0)</f>
        <v>0</v>
      </c>
      <c r="AG84" s="55">
        <f>IF(AQ84="2",BI84,0)</f>
        <v>0</v>
      </c>
      <c r="AH84" s="55">
        <f>IF(AQ84="0",BJ84,0)</f>
        <v>0</v>
      </c>
      <c r="AI84" s="34" t="s">
        <v>116</v>
      </c>
      <c r="AJ84" s="55">
        <f>IF(AN84=0,I84,0)</f>
        <v>0</v>
      </c>
      <c r="AK84" s="55">
        <f>IF(AN84=12,I84,0)</f>
        <v>0</v>
      </c>
      <c r="AL84" s="55">
        <f>IF(AN84=21,I84,0)</f>
        <v>0</v>
      </c>
      <c r="AN84" s="55">
        <v>21</v>
      </c>
      <c r="AO84" s="55">
        <f>H84*0.893382353</f>
        <v>0</v>
      </c>
      <c r="AP84" s="55">
        <f>H84*(1-0.893382353)</f>
        <v>0</v>
      </c>
      <c r="AQ84" s="58" t="s">
        <v>125</v>
      </c>
      <c r="AV84" s="55">
        <f>AW84+AX84</f>
        <v>0</v>
      </c>
      <c r="AW84" s="55">
        <f>G84*AO84</f>
        <v>0</v>
      </c>
      <c r="AX84" s="55">
        <f>G84*AP84</f>
        <v>0</v>
      </c>
      <c r="AY84" s="58" t="s">
        <v>126</v>
      </c>
      <c r="AZ84" s="58" t="s">
        <v>127</v>
      </c>
      <c r="BA84" s="34" t="s">
        <v>128</v>
      </c>
      <c r="BC84" s="55">
        <f>AW84+AX84</f>
        <v>0</v>
      </c>
      <c r="BD84" s="55">
        <f>H84/(100-BE84)*100</f>
        <v>0</v>
      </c>
      <c r="BE84" s="55">
        <v>0</v>
      </c>
      <c r="BF84" s="55">
        <f>K84</f>
        <v>0</v>
      </c>
      <c r="BH84" s="55">
        <f>G84*AO84</f>
        <v>0</v>
      </c>
      <c r="BI84" s="55">
        <f>G84*AP84</f>
        <v>0</v>
      </c>
      <c r="BJ84" s="55">
        <f>G84*H84</f>
        <v>0</v>
      </c>
      <c r="BK84" s="55"/>
      <c r="BL84" s="55"/>
      <c r="BW84" s="55">
        <v>21</v>
      </c>
    </row>
    <row r="85" spans="1:12" ht="13.5" customHeight="1">
      <c r="A85" s="59"/>
      <c r="D85" s="218" t="s">
        <v>129</v>
      </c>
      <c r="E85" s="219"/>
      <c r="F85" s="219"/>
      <c r="G85" s="219"/>
      <c r="H85" s="219"/>
      <c r="I85" s="219"/>
      <c r="J85" s="219"/>
      <c r="K85" s="219"/>
      <c r="L85" s="221"/>
    </row>
    <row r="86" spans="1:75" ht="13.5" customHeight="1">
      <c r="A86" s="1" t="s">
        <v>235</v>
      </c>
      <c r="B86" s="2" t="s">
        <v>116</v>
      </c>
      <c r="C86" s="2" t="s">
        <v>236</v>
      </c>
      <c r="D86" s="147" t="s">
        <v>237</v>
      </c>
      <c r="E86" s="148"/>
      <c r="F86" s="2" t="s">
        <v>4</v>
      </c>
      <c r="G86" s="55">
        <f>'Stavební rozpočet-vyplnit'!G86</f>
        <v>1</v>
      </c>
      <c r="H86" s="55">
        <f>'Stavební rozpočet-vyplnit'!H86</f>
        <v>0</v>
      </c>
      <c r="I86" s="55">
        <f>G86*H86</f>
        <v>0</v>
      </c>
      <c r="J86" s="55">
        <f>'Stavební rozpočet-vyplnit'!J86</f>
        <v>0</v>
      </c>
      <c r="K86" s="55">
        <f>G86*J86</f>
        <v>0</v>
      </c>
      <c r="L86" s="57" t="s">
        <v>124</v>
      </c>
      <c r="Z86" s="55">
        <f>IF(AQ86="5",BJ86,0)</f>
        <v>0</v>
      </c>
      <c r="AB86" s="55">
        <f>IF(AQ86="1",BH86,0)</f>
        <v>0</v>
      </c>
      <c r="AC86" s="55">
        <f>IF(AQ86="1",BI86,0)</f>
        <v>0</v>
      </c>
      <c r="AD86" s="55">
        <f>IF(AQ86="7",BH86,0)</f>
        <v>0</v>
      </c>
      <c r="AE86" s="55">
        <f>IF(AQ86="7",BI86,0)</f>
        <v>0</v>
      </c>
      <c r="AF86" s="55">
        <f>IF(AQ86="2",BH86,0)</f>
        <v>0</v>
      </c>
      <c r="AG86" s="55">
        <f>IF(AQ86="2",BI86,0)</f>
        <v>0</v>
      </c>
      <c r="AH86" s="55">
        <f>IF(AQ86="0",BJ86,0)</f>
        <v>0</v>
      </c>
      <c r="AI86" s="34" t="s">
        <v>116</v>
      </c>
      <c r="AJ86" s="55">
        <f>IF(AN86=0,I86,0)</f>
        <v>0</v>
      </c>
      <c r="AK86" s="55">
        <f>IF(AN86=12,I86,0)</f>
        <v>0</v>
      </c>
      <c r="AL86" s="55">
        <f>IF(AN86=21,I86,0)</f>
        <v>0</v>
      </c>
      <c r="AN86" s="55">
        <v>21</v>
      </c>
      <c r="AO86" s="55">
        <f>H86*0.93132154</f>
        <v>0</v>
      </c>
      <c r="AP86" s="55">
        <f>H86*(1-0.93132154)</f>
        <v>0</v>
      </c>
      <c r="AQ86" s="58" t="s">
        <v>125</v>
      </c>
      <c r="AV86" s="55">
        <f>AW86+AX86</f>
        <v>0</v>
      </c>
      <c r="AW86" s="55">
        <f>G86*AO86</f>
        <v>0</v>
      </c>
      <c r="AX86" s="55">
        <f>G86*AP86</f>
        <v>0</v>
      </c>
      <c r="AY86" s="58" t="s">
        <v>126</v>
      </c>
      <c r="AZ86" s="58" t="s">
        <v>127</v>
      </c>
      <c r="BA86" s="34" t="s">
        <v>128</v>
      </c>
      <c r="BC86" s="55">
        <f>AW86+AX86</f>
        <v>0</v>
      </c>
      <c r="BD86" s="55">
        <f>H86/(100-BE86)*100</f>
        <v>0</v>
      </c>
      <c r="BE86" s="55">
        <v>0</v>
      </c>
      <c r="BF86" s="55">
        <f>K86</f>
        <v>0</v>
      </c>
      <c r="BH86" s="55">
        <f>G86*AO86</f>
        <v>0</v>
      </c>
      <c r="BI86" s="55">
        <f>G86*AP86</f>
        <v>0</v>
      </c>
      <c r="BJ86" s="55">
        <f>G86*H86</f>
        <v>0</v>
      </c>
      <c r="BK86" s="55"/>
      <c r="BL86" s="55"/>
      <c r="BW86" s="55">
        <v>21</v>
      </c>
    </row>
    <row r="87" spans="1:12" ht="13.5" customHeight="1">
      <c r="A87" s="59"/>
      <c r="D87" s="218" t="s">
        <v>129</v>
      </c>
      <c r="E87" s="219"/>
      <c r="F87" s="219"/>
      <c r="G87" s="219"/>
      <c r="H87" s="219"/>
      <c r="I87" s="219"/>
      <c r="J87" s="219"/>
      <c r="K87" s="219"/>
      <c r="L87" s="221"/>
    </row>
    <row r="88" spans="1:75" ht="13.5" customHeight="1">
      <c r="A88" s="1" t="s">
        <v>238</v>
      </c>
      <c r="B88" s="2" t="s">
        <v>116</v>
      </c>
      <c r="C88" s="2" t="s">
        <v>239</v>
      </c>
      <c r="D88" s="147" t="s">
        <v>240</v>
      </c>
      <c r="E88" s="148"/>
      <c r="F88" s="2" t="s">
        <v>174</v>
      </c>
      <c r="G88" s="55">
        <f>'Stavební rozpočet-vyplnit'!G88</f>
        <v>10</v>
      </c>
      <c r="H88" s="55">
        <f>'Stavební rozpočet-vyplnit'!H88</f>
        <v>0</v>
      </c>
      <c r="I88" s="55">
        <f>G88*H88</f>
        <v>0</v>
      </c>
      <c r="J88" s="55">
        <f>'Stavební rozpočet-vyplnit'!J88</f>
        <v>0</v>
      </c>
      <c r="K88" s="55">
        <f>G88*J88</f>
        <v>0</v>
      </c>
      <c r="L88" s="57" t="s">
        <v>124</v>
      </c>
      <c r="Z88" s="55">
        <f>IF(AQ88="5",BJ88,0)</f>
        <v>0</v>
      </c>
      <c r="AB88" s="55">
        <f>IF(AQ88="1",BH88,0)</f>
        <v>0</v>
      </c>
      <c r="AC88" s="55">
        <f>IF(AQ88="1",BI88,0)</f>
        <v>0</v>
      </c>
      <c r="AD88" s="55">
        <f>IF(AQ88="7",BH88,0)</f>
        <v>0</v>
      </c>
      <c r="AE88" s="55">
        <f>IF(AQ88="7",BI88,0)</f>
        <v>0</v>
      </c>
      <c r="AF88" s="55">
        <f>IF(AQ88="2",BH88,0)</f>
        <v>0</v>
      </c>
      <c r="AG88" s="55">
        <f>IF(AQ88="2",BI88,0)</f>
        <v>0</v>
      </c>
      <c r="AH88" s="55">
        <f>IF(AQ88="0",BJ88,0)</f>
        <v>0</v>
      </c>
      <c r="AI88" s="34" t="s">
        <v>116</v>
      </c>
      <c r="AJ88" s="55">
        <f>IF(AN88=0,I88,0)</f>
        <v>0</v>
      </c>
      <c r="AK88" s="55">
        <f>IF(AN88=12,I88,0)</f>
        <v>0</v>
      </c>
      <c r="AL88" s="55">
        <f>IF(AN88=21,I88,0)</f>
        <v>0</v>
      </c>
      <c r="AN88" s="55">
        <v>21</v>
      </c>
      <c r="AO88" s="55">
        <f>H88*0.532467532</f>
        <v>0</v>
      </c>
      <c r="AP88" s="55">
        <f>H88*(1-0.532467532)</f>
        <v>0</v>
      </c>
      <c r="AQ88" s="58" t="s">
        <v>125</v>
      </c>
      <c r="AV88" s="55">
        <f>AW88+AX88</f>
        <v>0</v>
      </c>
      <c r="AW88" s="55">
        <f>G88*AO88</f>
        <v>0</v>
      </c>
      <c r="AX88" s="55">
        <f>G88*AP88</f>
        <v>0</v>
      </c>
      <c r="AY88" s="58" t="s">
        <v>126</v>
      </c>
      <c r="AZ88" s="58" t="s">
        <v>127</v>
      </c>
      <c r="BA88" s="34" t="s">
        <v>128</v>
      </c>
      <c r="BC88" s="55">
        <f>AW88+AX88</f>
        <v>0</v>
      </c>
      <c r="BD88" s="55">
        <f>H88/(100-BE88)*100</f>
        <v>0</v>
      </c>
      <c r="BE88" s="55">
        <v>0</v>
      </c>
      <c r="BF88" s="55">
        <f>K88</f>
        <v>0</v>
      </c>
      <c r="BH88" s="55">
        <f>G88*AO88</f>
        <v>0</v>
      </c>
      <c r="BI88" s="55">
        <f>G88*AP88</f>
        <v>0</v>
      </c>
      <c r="BJ88" s="55">
        <f>G88*H88</f>
        <v>0</v>
      </c>
      <c r="BK88" s="55"/>
      <c r="BL88" s="55"/>
      <c r="BW88" s="55">
        <v>21</v>
      </c>
    </row>
    <row r="89" spans="1:12" ht="13.5" customHeight="1">
      <c r="A89" s="59"/>
      <c r="D89" s="218" t="s">
        <v>129</v>
      </c>
      <c r="E89" s="219"/>
      <c r="F89" s="219"/>
      <c r="G89" s="219"/>
      <c r="H89" s="219"/>
      <c r="I89" s="219"/>
      <c r="J89" s="219"/>
      <c r="K89" s="219"/>
      <c r="L89" s="221"/>
    </row>
    <row r="90" spans="1:75" ht="13.5" customHeight="1">
      <c r="A90" s="1" t="s">
        <v>241</v>
      </c>
      <c r="B90" s="2" t="s">
        <v>116</v>
      </c>
      <c r="C90" s="2" t="s">
        <v>242</v>
      </c>
      <c r="D90" s="147" t="s">
        <v>243</v>
      </c>
      <c r="E90" s="148"/>
      <c r="F90" s="2" t="s">
        <v>174</v>
      </c>
      <c r="G90" s="55">
        <f>'Stavební rozpočet-vyplnit'!G90</f>
        <v>180</v>
      </c>
      <c r="H90" s="55">
        <f>'Stavební rozpočet-vyplnit'!H90</f>
        <v>0</v>
      </c>
      <c r="I90" s="55">
        <f>G90*H90</f>
        <v>0</v>
      </c>
      <c r="J90" s="55">
        <f>'Stavební rozpočet-vyplnit'!J90</f>
        <v>0</v>
      </c>
      <c r="K90" s="55">
        <f>G90*J90</f>
        <v>0</v>
      </c>
      <c r="L90" s="57" t="s">
        <v>124</v>
      </c>
      <c r="Z90" s="55">
        <f>IF(AQ90="5",BJ90,0)</f>
        <v>0</v>
      </c>
      <c r="AB90" s="55">
        <f>IF(AQ90="1",BH90,0)</f>
        <v>0</v>
      </c>
      <c r="AC90" s="55">
        <f>IF(AQ90="1",BI90,0)</f>
        <v>0</v>
      </c>
      <c r="AD90" s="55">
        <f>IF(AQ90="7",BH90,0)</f>
        <v>0</v>
      </c>
      <c r="AE90" s="55">
        <f>IF(AQ90="7",BI90,0)</f>
        <v>0</v>
      </c>
      <c r="AF90" s="55">
        <f>IF(AQ90="2",BH90,0)</f>
        <v>0</v>
      </c>
      <c r="AG90" s="55">
        <f>IF(AQ90="2",BI90,0)</f>
        <v>0</v>
      </c>
      <c r="AH90" s="55">
        <f>IF(AQ90="0",BJ90,0)</f>
        <v>0</v>
      </c>
      <c r="AI90" s="34" t="s">
        <v>116</v>
      </c>
      <c r="AJ90" s="55">
        <f>IF(AN90=0,I90,0)</f>
        <v>0</v>
      </c>
      <c r="AK90" s="55">
        <f>IF(AN90=12,I90,0)</f>
        <v>0</v>
      </c>
      <c r="AL90" s="55">
        <f>IF(AN90=21,I90,0)</f>
        <v>0</v>
      </c>
      <c r="AN90" s="55">
        <v>21</v>
      </c>
      <c r="AO90" s="55">
        <f>H90*0.617021277</f>
        <v>0</v>
      </c>
      <c r="AP90" s="55">
        <f>H90*(1-0.617021277)</f>
        <v>0</v>
      </c>
      <c r="AQ90" s="58" t="s">
        <v>125</v>
      </c>
      <c r="AV90" s="55">
        <f>AW90+AX90</f>
        <v>0</v>
      </c>
      <c r="AW90" s="55">
        <f>G90*AO90</f>
        <v>0</v>
      </c>
      <c r="AX90" s="55">
        <f>G90*AP90</f>
        <v>0</v>
      </c>
      <c r="AY90" s="58" t="s">
        <v>126</v>
      </c>
      <c r="AZ90" s="58" t="s">
        <v>127</v>
      </c>
      <c r="BA90" s="34" t="s">
        <v>128</v>
      </c>
      <c r="BC90" s="55">
        <f>AW90+AX90</f>
        <v>0</v>
      </c>
      <c r="BD90" s="55">
        <f>H90/(100-BE90)*100</f>
        <v>0</v>
      </c>
      <c r="BE90" s="55">
        <v>0</v>
      </c>
      <c r="BF90" s="55">
        <f>K90</f>
        <v>0</v>
      </c>
      <c r="BH90" s="55">
        <f>G90*AO90</f>
        <v>0</v>
      </c>
      <c r="BI90" s="55">
        <f>G90*AP90</f>
        <v>0</v>
      </c>
      <c r="BJ90" s="55">
        <f>G90*H90</f>
        <v>0</v>
      </c>
      <c r="BK90" s="55"/>
      <c r="BL90" s="55"/>
      <c r="BW90" s="55">
        <v>21</v>
      </c>
    </row>
    <row r="91" spans="1:12" ht="13.5" customHeight="1">
      <c r="A91" s="59"/>
      <c r="D91" s="218" t="s">
        <v>129</v>
      </c>
      <c r="E91" s="219"/>
      <c r="F91" s="219"/>
      <c r="G91" s="219"/>
      <c r="H91" s="219"/>
      <c r="I91" s="219"/>
      <c r="J91" s="219"/>
      <c r="K91" s="219"/>
      <c r="L91" s="221"/>
    </row>
    <row r="92" spans="1:75" ht="13.5" customHeight="1">
      <c r="A92" s="1" t="s">
        <v>244</v>
      </c>
      <c r="B92" s="2" t="s">
        <v>116</v>
      </c>
      <c r="C92" s="2" t="s">
        <v>245</v>
      </c>
      <c r="D92" s="147" t="s">
        <v>246</v>
      </c>
      <c r="E92" s="148"/>
      <c r="F92" s="2" t="s">
        <v>123</v>
      </c>
      <c r="G92" s="55">
        <f>'Stavební rozpočet-vyplnit'!G92</f>
        <v>16</v>
      </c>
      <c r="H92" s="55">
        <f>'Stavební rozpočet-vyplnit'!H92</f>
        <v>0</v>
      </c>
      <c r="I92" s="55">
        <f>G92*H92</f>
        <v>0</v>
      </c>
      <c r="J92" s="55">
        <f>'Stavební rozpočet-vyplnit'!J92</f>
        <v>0</v>
      </c>
      <c r="K92" s="55">
        <f>G92*J92</f>
        <v>0</v>
      </c>
      <c r="L92" s="57" t="s">
        <v>124</v>
      </c>
      <c r="Z92" s="55">
        <f>IF(AQ92="5",BJ92,0)</f>
        <v>0</v>
      </c>
      <c r="AB92" s="55">
        <f>IF(AQ92="1",BH92,0)</f>
        <v>0</v>
      </c>
      <c r="AC92" s="55">
        <f>IF(AQ92="1",BI92,0)</f>
        <v>0</v>
      </c>
      <c r="AD92" s="55">
        <f>IF(AQ92="7",BH92,0)</f>
        <v>0</v>
      </c>
      <c r="AE92" s="55">
        <f>IF(AQ92="7",BI92,0)</f>
        <v>0</v>
      </c>
      <c r="AF92" s="55">
        <f>IF(AQ92="2",BH92,0)</f>
        <v>0</v>
      </c>
      <c r="AG92" s="55">
        <f>IF(AQ92="2",BI92,0)</f>
        <v>0</v>
      </c>
      <c r="AH92" s="55">
        <f>IF(AQ92="0",BJ92,0)</f>
        <v>0</v>
      </c>
      <c r="AI92" s="34" t="s">
        <v>116</v>
      </c>
      <c r="AJ92" s="55">
        <f>IF(AN92=0,I92,0)</f>
        <v>0</v>
      </c>
      <c r="AK92" s="55">
        <f>IF(AN92=12,I92,0)</f>
        <v>0</v>
      </c>
      <c r="AL92" s="55">
        <f>IF(AN92=21,I92,0)</f>
        <v>0</v>
      </c>
      <c r="AN92" s="55">
        <v>21</v>
      </c>
      <c r="AO92" s="55">
        <f>H92*0.959383754</f>
        <v>0</v>
      </c>
      <c r="AP92" s="55">
        <f>H92*(1-0.959383754)</f>
        <v>0</v>
      </c>
      <c r="AQ92" s="58" t="s">
        <v>125</v>
      </c>
      <c r="AV92" s="55">
        <f>AW92+AX92</f>
        <v>0</v>
      </c>
      <c r="AW92" s="55">
        <f>G92*AO92</f>
        <v>0</v>
      </c>
      <c r="AX92" s="55">
        <f>G92*AP92</f>
        <v>0</v>
      </c>
      <c r="AY92" s="58" t="s">
        <v>126</v>
      </c>
      <c r="AZ92" s="58" t="s">
        <v>127</v>
      </c>
      <c r="BA92" s="34" t="s">
        <v>128</v>
      </c>
      <c r="BC92" s="55">
        <f>AW92+AX92</f>
        <v>0</v>
      </c>
      <c r="BD92" s="55">
        <f>H92/(100-BE92)*100</f>
        <v>0</v>
      </c>
      <c r="BE92" s="55">
        <v>0</v>
      </c>
      <c r="BF92" s="55">
        <f>K92</f>
        <v>0</v>
      </c>
      <c r="BH92" s="55">
        <f>G92*AO92</f>
        <v>0</v>
      </c>
      <c r="BI92" s="55">
        <f>G92*AP92</f>
        <v>0</v>
      </c>
      <c r="BJ92" s="55">
        <f>G92*H92</f>
        <v>0</v>
      </c>
      <c r="BK92" s="55"/>
      <c r="BL92" s="55"/>
      <c r="BW92" s="55">
        <v>21</v>
      </c>
    </row>
    <row r="93" spans="1:12" ht="13.5" customHeight="1">
      <c r="A93" s="59"/>
      <c r="D93" s="218" t="s">
        <v>129</v>
      </c>
      <c r="E93" s="219"/>
      <c r="F93" s="219"/>
      <c r="G93" s="219"/>
      <c r="H93" s="219"/>
      <c r="I93" s="219"/>
      <c r="J93" s="219"/>
      <c r="K93" s="219"/>
      <c r="L93" s="221"/>
    </row>
    <row r="94" spans="1:75" ht="13.5" customHeight="1">
      <c r="A94" s="1" t="s">
        <v>247</v>
      </c>
      <c r="B94" s="2" t="s">
        <v>116</v>
      </c>
      <c r="C94" s="2" t="s">
        <v>248</v>
      </c>
      <c r="D94" s="147" t="s">
        <v>249</v>
      </c>
      <c r="E94" s="148"/>
      <c r="F94" s="2" t="s">
        <v>250</v>
      </c>
      <c r="G94" s="55">
        <f>'Stavební rozpočet-vyplnit'!G94</f>
        <v>30</v>
      </c>
      <c r="H94" s="55">
        <f>'Stavební rozpočet-vyplnit'!H94</f>
        <v>0</v>
      </c>
      <c r="I94" s="55">
        <f>G94*H94</f>
        <v>0</v>
      </c>
      <c r="J94" s="55">
        <f>'Stavební rozpočet-vyplnit'!J94</f>
        <v>0</v>
      </c>
      <c r="K94" s="55">
        <f>G94*J94</f>
        <v>0</v>
      </c>
      <c r="L94" s="57" t="s">
        <v>124</v>
      </c>
      <c r="Z94" s="55">
        <f>IF(AQ94="5",BJ94,0)</f>
        <v>0</v>
      </c>
      <c r="AB94" s="55">
        <f>IF(AQ94="1",BH94,0)</f>
        <v>0</v>
      </c>
      <c r="AC94" s="55">
        <f>IF(AQ94="1",BI94,0)</f>
        <v>0</v>
      </c>
      <c r="AD94" s="55">
        <f>IF(AQ94="7",BH94,0)</f>
        <v>0</v>
      </c>
      <c r="AE94" s="55">
        <f>IF(AQ94="7",BI94,0)</f>
        <v>0</v>
      </c>
      <c r="AF94" s="55">
        <f>IF(AQ94="2",BH94,0)</f>
        <v>0</v>
      </c>
      <c r="AG94" s="55">
        <f>IF(AQ94="2",BI94,0)</f>
        <v>0</v>
      </c>
      <c r="AH94" s="55">
        <f>IF(AQ94="0",BJ94,0)</f>
        <v>0</v>
      </c>
      <c r="AI94" s="34" t="s">
        <v>116</v>
      </c>
      <c r="AJ94" s="55">
        <f>IF(AN94=0,I94,0)</f>
        <v>0</v>
      </c>
      <c r="AK94" s="55">
        <f>IF(AN94=12,I94,0)</f>
        <v>0</v>
      </c>
      <c r="AL94" s="55">
        <f>IF(AN94=21,I94,0)</f>
        <v>0</v>
      </c>
      <c r="AN94" s="55">
        <v>21</v>
      </c>
      <c r="AO94" s="55">
        <f>H94*0.778481013</f>
        <v>0</v>
      </c>
      <c r="AP94" s="55">
        <f>H94*(1-0.778481013)</f>
        <v>0</v>
      </c>
      <c r="AQ94" s="58" t="s">
        <v>125</v>
      </c>
      <c r="AV94" s="55">
        <f>AW94+AX94</f>
        <v>0</v>
      </c>
      <c r="AW94" s="55">
        <f>G94*AO94</f>
        <v>0</v>
      </c>
      <c r="AX94" s="55">
        <f>G94*AP94</f>
        <v>0</v>
      </c>
      <c r="AY94" s="58" t="s">
        <v>126</v>
      </c>
      <c r="AZ94" s="58" t="s">
        <v>127</v>
      </c>
      <c r="BA94" s="34" t="s">
        <v>128</v>
      </c>
      <c r="BC94" s="55">
        <f>AW94+AX94</f>
        <v>0</v>
      </c>
      <c r="BD94" s="55">
        <f>H94/(100-BE94)*100</f>
        <v>0</v>
      </c>
      <c r="BE94" s="55">
        <v>0</v>
      </c>
      <c r="BF94" s="55">
        <f>K94</f>
        <v>0</v>
      </c>
      <c r="BH94" s="55">
        <f>G94*AO94</f>
        <v>0</v>
      </c>
      <c r="BI94" s="55">
        <f>G94*AP94</f>
        <v>0</v>
      </c>
      <c r="BJ94" s="55">
        <f>G94*H94</f>
        <v>0</v>
      </c>
      <c r="BK94" s="55"/>
      <c r="BL94" s="55"/>
      <c r="BW94" s="55">
        <v>21</v>
      </c>
    </row>
    <row r="95" spans="1:12" ht="13.5" customHeight="1">
      <c r="A95" s="59"/>
      <c r="D95" s="218" t="s">
        <v>129</v>
      </c>
      <c r="E95" s="219"/>
      <c r="F95" s="219"/>
      <c r="G95" s="219"/>
      <c r="H95" s="219"/>
      <c r="I95" s="219"/>
      <c r="J95" s="219"/>
      <c r="K95" s="219"/>
      <c r="L95" s="221"/>
    </row>
    <row r="96" spans="1:75" ht="27" customHeight="1">
      <c r="A96" s="1" t="s">
        <v>251</v>
      </c>
      <c r="B96" s="2" t="s">
        <v>116</v>
      </c>
      <c r="C96" s="2" t="s">
        <v>252</v>
      </c>
      <c r="D96" s="147" t="s">
        <v>253</v>
      </c>
      <c r="E96" s="148"/>
      <c r="F96" s="2" t="s">
        <v>123</v>
      </c>
      <c r="G96" s="55">
        <f>'Stavební rozpočet-vyplnit'!G96</f>
        <v>450</v>
      </c>
      <c r="H96" s="55">
        <f>'Stavební rozpočet-vyplnit'!H96</f>
        <v>0</v>
      </c>
      <c r="I96" s="55">
        <f>G96*H96</f>
        <v>0</v>
      </c>
      <c r="J96" s="55">
        <f>'Stavební rozpočet-vyplnit'!J96</f>
        <v>0</v>
      </c>
      <c r="K96" s="55">
        <f>G96*J96</f>
        <v>0</v>
      </c>
      <c r="L96" s="57" t="s">
        <v>124</v>
      </c>
      <c r="Z96" s="55">
        <f>IF(AQ96="5",BJ96,0)</f>
        <v>0</v>
      </c>
      <c r="AB96" s="55">
        <f>IF(AQ96="1",BH96,0)</f>
        <v>0</v>
      </c>
      <c r="AC96" s="55">
        <f>IF(AQ96="1",BI96,0)</f>
        <v>0</v>
      </c>
      <c r="AD96" s="55">
        <f>IF(AQ96="7",BH96,0)</f>
        <v>0</v>
      </c>
      <c r="AE96" s="55">
        <f>IF(AQ96="7",BI96,0)</f>
        <v>0</v>
      </c>
      <c r="AF96" s="55">
        <f>IF(AQ96="2",BH96,0)</f>
        <v>0</v>
      </c>
      <c r="AG96" s="55">
        <f>IF(AQ96="2",BI96,0)</f>
        <v>0</v>
      </c>
      <c r="AH96" s="55">
        <f>IF(AQ96="0",BJ96,0)</f>
        <v>0</v>
      </c>
      <c r="AI96" s="34" t="s">
        <v>116</v>
      </c>
      <c r="AJ96" s="55">
        <f>IF(AN96=0,I96,0)</f>
        <v>0</v>
      </c>
      <c r="AK96" s="55">
        <f>IF(AN96=12,I96,0)</f>
        <v>0</v>
      </c>
      <c r="AL96" s="55">
        <f>IF(AN96=21,I96,0)</f>
        <v>0</v>
      </c>
      <c r="AN96" s="55">
        <v>21</v>
      </c>
      <c r="AO96" s="55">
        <f>H96*0.418604651</f>
        <v>0</v>
      </c>
      <c r="AP96" s="55">
        <f>H96*(1-0.418604651)</f>
        <v>0</v>
      </c>
      <c r="AQ96" s="58" t="s">
        <v>125</v>
      </c>
      <c r="AV96" s="55">
        <f>AW96+AX96</f>
        <v>0</v>
      </c>
      <c r="AW96" s="55">
        <f>G96*AO96</f>
        <v>0</v>
      </c>
      <c r="AX96" s="55">
        <f>G96*AP96</f>
        <v>0</v>
      </c>
      <c r="AY96" s="58" t="s">
        <v>126</v>
      </c>
      <c r="AZ96" s="58" t="s">
        <v>127</v>
      </c>
      <c r="BA96" s="34" t="s">
        <v>128</v>
      </c>
      <c r="BC96" s="55">
        <f>AW96+AX96</f>
        <v>0</v>
      </c>
      <c r="BD96" s="55">
        <f>H96/(100-BE96)*100</f>
        <v>0</v>
      </c>
      <c r="BE96" s="55">
        <v>0</v>
      </c>
      <c r="BF96" s="55">
        <f>K96</f>
        <v>0</v>
      </c>
      <c r="BH96" s="55">
        <f>G96*AO96</f>
        <v>0</v>
      </c>
      <c r="BI96" s="55">
        <f>G96*AP96</f>
        <v>0</v>
      </c>
      <c r="BJ96" s="55">
        <f>G96*H96</f>
        <v>0</v>
      </c>
      <c r="BK96" s="55"/>
      <c r="BL96" s="55"/>
      <c r="BW96" s="55">
        <v>21</v>
      </c>
    </row>
    <row r="97" spans="1:12" ht="13.5" customHeight="1">
      <c r="A97" s="59"/>
      <c r="D97" s="218" t="s">
        <v>129</v>
      </c>
      <c r="E97" s="219"/>
      <c r="F97" s="219"/>
      <c r="G97" s="219"/>
      <c r="H97" s="219"/>
      <c r="I97" s="219"/>
      <c r="J97" s="219"/>
      <c r="K97" s="219"/>
      <c r="L97" s="221"/>
    </row>
    <row r="98" spans="1:75" ht="13.5" customHeight="1">
      <c r="A98" s="1" t="s">
        <v>254</v>
      </c>
      <c r="B98" s="2" t="s">
        <v>116</v>
      </c>
      <c r="C98" s="2" t="s">
        <v>255</v>
      </c>
      <c r="D98" s="147" t="s">
        <v>256</v>
      </c>
      <c r="E98" s="148"/>
      <c r="F98" s="2" t="s">
        <v>174</v>
      </c>
      <c r="G98" s="55">
        <f>'Stavební rozpočet-vyplnit'!G98</f>
        <v>100</v>
      </c>
      <c r="H98" s="55">
        <f>'Stavební rozpočet-vyplnit'!H98</f>
        <v>0</v>
      </c>
      <c r="I98" s="55">
        <f>G98*H98</f>
        <v>0</v>
      </c>
      <c r="J98" s="55">
        <f>'Stavební rozpočet-vyplnit'!J98</f>
        <v>0</v>
      </c>
      <c r="K98" s="55">
        <f>G98*J98</f>
        <v>0</v>
      </c>
      <c r="L98" s="57" t="s">
        <v>124</v>
      </c>
      <c r="Z98" s="55">
        <f>IF(AQ98="5",BJ98,0)</f>
        <v>0</v>
      </c>
      <c r="AB98" s="55">
        <f>IF(AQ98="1",BH98,0)</f>
        <v>0</v>
      </c>
      <c r="AC98" s="55">
        <f>IF(AQ98="1",BI98,0)</f>
        <v>0</v>
      </c>
      <c r="AD98" s="55">
        <f>IF(AQ98="7",BH98,0)</f>
        <v>0</v>
      </c>
      <c r="AE98" s="55">
        <f>IF(AQ98="7",BI98,0)</f>
        <v>0</v>
      </c>
      <c r="AF98" s="55">
        <f>IF(AQ98="2",BH98,0)</f>
        <v>0</v>
      </c>
      <c r="AG98" s="55">
        <f>IF(AQ98="2",BI98,0)</f>
        <v>0</v>
      </c>
      <c r="AH98" s="55">
        <f>IF(AQ98="0",BJ98,0)</f>
        <v>0</v>
      </c>
      <c r="AI98" s="34" t="s">
        <v>116</v>
      </c>
      <c r="AJ98" s="55">
        <f>IF(AN98=0,I98,0)</f>
        <v>0</v>
      </c>
      <c r="AK98" s="55">
        <f>IF(AN98=12,I98,0)</f>
        <v>0</v>
      </c>
      <c r="AL98" s="55">
        <f>IF(AN98=21,I98,0)</f>
        <v>0</v>
      </c>
      <c r="AN98" s="55">
        <v>21</v>
      </c>
      <c r="AO98" s="55">
        <f>H98*0</f>
        <v>0</v>
      </c>
      <c r="AP98" s="55">
        <f>H98*(1-0)</f>
        <v>0</v>
      </c>
      <c r="AQ98" s="58" t="s">
        <v>125</v>
      </c>
      <c r="AV98" s="55">
        <f>AW98+AX98</f>
        <v>0</v>
      </c>
      <c r="AW98" s="55">
        <f>G98*AO98</f>
        <v>0</v>
      </c>
      <c r="AX98" s="55">
        <f>G98*AP98</f>
        <v>0</v>
      </c>
      <c r="AY98" s="58" t="s">
        <v>126</v>
      </c>
      <c r="AZ98" s="58" t="s">
        <v>127</v>
      </c>
      <c r="BA98" s="34" t="s">
        <v>128</v>
      </c>
      <c r="BC98" s="55">
        <f>AW98+AX98</f>
        <v>0</v>
      </c>
      <c r="BD98" s="55">
        <f>H98/(100-BE98)*100</f>
        <v>0</v>
      </c>
      <c r="BE98" s="55">
        <v>0</v>
      </c>
      <c r="BF98" s="55">
        <f>K98</f>
        <v>0</v>
      </c>
      <c r="BH98" s="55">
        <f>G98*AO98</f>
        <v>0</v>
      </c>
      <c r="BI98" s="55">
        <f>G98*AP98</f>
        <v>0</v>
      </c>
      <c r="BJ98" s="55">
        <f>G98*H98</f>
        <v>0</v>
      </c>
      <c r="BK98" s="55"/>
      <c r="BL98" s="55"/>
      <c r="BW98" s="55">
        <v>21</v>
      </c>
    </row>
    <row r="99" spans="1:12" ht="13.5" customHeight="1">
      <c r="A99" s="59"/>
      <c r="D99" s="218" t="s">
        <v>257</v>
      </c>
      <c r="E99" s="219"/>
      <c r="F99" s="219"/>
      <c r="G99" s="219"/>
      <c r="H99" s="219"/>
      <c r="I99" s="219"/>
      <c r="J99" s="219"/>
      <c r="K99" s="219"/>
      <c r="L99" s="221"/>
    </row>
    <row r="100" spans="1:75" ht="13.5" customHeight="1">
      <c r="A100" s="1" t="s">
        <v>258</v>
      </c>
      <c r="B100" s="2" t="s">
        <v>116</v>
      </c>
      <c r="C100" s="2" t="s">
        <v>259</v>
      </c>
      <c r="D100" s="147" t="s">
        <v>260</v>
      </c>
      <c r="E100" s="148"/>
      <c r="F100" s="2" t="s">
        <v>123</v>
      </c>
      <c r="G100" s="55">
        <f>'Stavební rozpočet-vyplnit'!G100</f>
        <v>10</v>
      </c>
      <c r="H100" s="55">
        <f>'Stavební rozpočet-vyplnit'!H100</f>
        <v>0</v>
      </c>
      <c r="I100" s="55">
        <f>G100*H100</f>
        <v>0</v>
      </c>
      <c r="J100" s="55">
        <f>'Stavební rozpočet-vyplnit'!J100</f>
        <v>0</v>
      </c>
      <c r="K100" s="55">
        <f>G100*J100</f>
        <v>0</v>
      </c>
      <c r="L100" s="57" t="s">
        <v>124</v>
      </c>
      <c r="Z100" s="55">
        <f>IF(AQ100="5",BJ100,0)</f>
        <v>0</v>
      </c>
      <c r="AB100" s="55">
        <f>IF(AQ100="1",BH100,0)</f>
        <v>0</v>
      </c>
      <c r="AC100" s="55">
        <f>IF(AQ100="1",BI100,0)</f>
        <v>0</v>
      </c>
      <c r="AD100" s="55">
        <f>IF(AQ100="7",BH100,0)</f>
        <v>0</v>
      </c>
      <c r="AE100" s="55">
        <f>IF(AQ100="7",BI100,0)</f>
        <v>0</v>
      </c>
      <c r="AF100" s="55">
        <f>IF(AQ100="2",BH100,0)</f>
        <v>0</v>
      </c>
      <c r="AG100" s="55">
        <f>IF(AQ100="2",BI100,0)</f>
        <v>0</v>
      </c>
      <c r="AH100" s="55">
        <f>IF(AQ100="0",BJ100,0)</f>
        <v>0</v>
      </c>
      <c r="AI100" s="34" t="s">
        <v>116</v>
      </c>
      <c r="AJ100" s="55">
        <f>IF(AN100=0,I100,0)</f>
        <v>0</v>
      </c>
      <c r="AK100" s="55">
        <f>IF(AN100=12,I100,0)</f>
        <v>0</v>
      </c>
      <c r="AL100" s="55">
        <f>IF(AN100=21,I100,0)</f>
        <v>0</v>
      </c>
      <c r="AN100" s="55">
        <v>21</v>
      </c>
      <c r="AO100" s="55">
        <f>H100*0</f>
        <v>0</v>
      </c>
      <c r="AP100" s="55">
        <f>H100*(1-0)</f>
        <v>0</v>
      </c>
      <c r="AQ100" s="58" t="s">
        <v>125</v>
      </c>
      <c r="AV100" s="55">
        <f>AW100+AX100</f>
        <v>0</v>
      </c>
      <c r="AW100" s="55">
        <f>G100*AO100</f>
        <v>0</v>
      </c>
      <c r="AX100" s="55">
        <f>G100*AP100</f>
        <v>0</v>
      </c>
      <c r="AY100" s="58" t="s">
        <v>126</v>
      </c>
      <c r="AZ100" s="58" t="s">
        <v>127</v>
      </c>
      <c r="BA100" s="34" t="s">
        <v>128</v>
      </c>
      <c r="BC100" s="55">
        <f>AW100+AX100</f>
        <v>0</v>
      </c>
      <c r="BD100" s="55">
        <f>H100/(100-BE100)*100</f>
        <v>0</v>
      </c>
      <c r="BE100" s="55">
        <v>0</v>
      </c>
      <c r="BF100" s="55">
        <f>K100</f>
        <v>0</v>
      </c>
      <c r="BH100" s="55">
        <f>G100*AO100</f>
        <v>0</v>
      </c>
      <c r="BI100" s="55">
        <f>G100*AP100</f>
        <v>0</v>
      </c>
      <c r="BJ100" s="55">
        <f>G100*H100</f>
        <v>0</v>
      </c>
      <c r="BK100" s="55"/>
      <c r="BL100" s="55"/>
      <c r="BW100" s="55">
        <v>21</v>
      </c>
    </row>
    <row r="101" spans="1:12" ht="13.5" customHeight="1">
      <c r="A101" s="59"/>
      <c r="D101" s="218" t="s">
        <v>261</v>
      </c>
      <c r="E101" s="219"/>
      <c r="F101" s="219"/>
      <c r="G101" s="219"/>
      <c r="H101" s="219"/>
      <c r="I101" s="219"/>
      <c r="J101" s="219"/>
      <c r="K101" s="219"/>
      <c r="L101" s="221"/>
    </row>
    <row r="102" spans="1:75" ht="13.5" customHeight="1">
      <c r="A102" s="1" t="s">
        <v>262</v>
      </c>
      <c r="B102" s="2" t="s">
        <v>116</v>
      </c>
      <c r="C102" s="2" t="s">
        <v>263</v>
      </c>
      <c r="D102" s="147" t="s">
        <v>264</v>
      </c>
      <c r="E102" s="148"/>
      <c r="F102" s="2" t="s">
        <v>123</v>
      </c>
      <c r="G102" s="55">
        <f>'Stavební rozpočet-vyplnit'!G102</f>
        <v>436</v>
      </c>
      <c r="H102" s="55">
        <f>'Stavební rozpočet-vyplnit'!H102</f>
        <v>0</v>
      </c>
      <c r="I102" s="55">
        <f>G102*H102</f>
        <v>0</v>
      </c>
      <c r="J102" s="55">
        <f>'Stavební rozpočet-vyplnit'!J102</f>
        <v>0</v>
      </c>
      <c r="K102" s="55">
        <f>G102*J102</f>
        <v>0</v>
      </c>
      <c r="L102" s="57" t="s">
        <v>124</v>
      </c>
      <c r="Z102" s="55">
        <f>IF(AQ102="5",BJ102,0)</f>
        <v>0</v>
      </c>
      <c r="AB102" s="55">
        <f>IF(AQ102="1",BH102,0)</f>
        <v>0</v>
      </c>
      <c r="AC102" s="55">
        <f>IF(AQ102="1",BI102,0)</f>
        <v>0</v>
      </c>
      <c r="AD102" s="55">
        <f>IF(AQ102="7",BH102,0)</f>
        <v>0</v>
      </c>
      <c r="AE102" s="55">
        <f>IF(AQ102="7",BI102,0)</f>
        <v>0</v>
      </c>
      <c r="AF102" s="55">
        <f>IF(AQ102="2",BH102,0)</f>
        <v>0</v>
      </c>
      <c r="AG102" s="55">
        <f>IF(AQ102="2",BI102,0)</f>
        <v>0</v>
      </c>
      <c r="AH102" s="55">
        <f>IF(AQ102="0",BJ102,0)</f>
        <v>0</v>
      </c>
      <c r="AI102" s="34" t="s">
        <v>116</v>
      </c>
      <c r="AJ102" s="55">
        <f>IF(AN102=0,I102,0)</f>
        <v>0</v>
      </c>
      <c r="AK102" s="55">
        <f>IF(AN102=12,I102,0)</f>
        <v>0</v>
      </c>
      <c r="AL102" s="55">
        <f>IF(AN102=21,I102,0)</f>
        <v>0</v>
      </c>
      <c r="AN102" s="55">
        <v>21</v>
      </c>
      <c r="AO102" s="55">
        <f>H102*0</f>
        <v>0</v>
      </c>
      <c r="AP102" s="55">
        <f>H102*(1-0)</f>
        <v>0</v>
      </c>
      <c r="AQ102" s="58" t="s">
        <v>125</v>
      </c>
      <c r="AV102" s="55">
        <f>AW102+AX102</f>
        <v>0</v>
      </c>
      <c r="AW102" s="55">
        <f>G102*AO102</f>
        <v>0</v>
      </c>
      <c r="AX102" s="55">
        <f>G102*AP102</f>
        <v>0</v>
      </c>
      <c r="AY102" s="58" t="s">
        <v>126</v>
      </c>
      <c r="AZ102" s="58" t="s">
        <v>127</v>
      </c>
      <c r="BA102" s="34" t="s">
        <v>128</v>
      </c>
      <c r="BC102" s="55">
        <f>AW102+AX102</f>
        <v>0</v>
      </c>
      <c r="BD102" s="55">
        <f>H102/(100-BE102)*100</f>
        <v>0</v>
      </c>
      <c r="BE102" s="55">
        <v>0</v>
      </c>
      <c r="BF102" s="55">
        <f>K102</f>
        <v>0</v>
      </c>
      <c r="BH102" s="55">
        <f>G102*AO102</f>
        <v>0</v>
      </c>
      <c r="BI102" s="55">
        <f>G102*AP102</f>
        <v>0</v>
      </c>
      <c r="BJ102" s="55">
        <f>G102*H102</f>
        <v>0</v>
      </c>
      <c r="BK102" s="55"/>
      <c r="BL102" s="55"/>
      <c r="BW102" s="55">
        <v>21</v>
      </c>
    </row>
    <row r="103" spans="1:12" ht="13.5" customHeight="1">
      <c r="A103" s="59"/>
      <c r="D103" s="218" t="s">
        <v>265</v>
      </c>
      <c r="E103" s="219"/>
      <c r="F103" s="219"/>
      <c r="G103" s="219"/>
      <c r="H103" s="219"/>
      <c r="I103" s="219"/>
      <c r="J103" s="219"/>
      <c r="K103" s="219"/>
      <c r="L103" s="221"/>
    </row>
    <row r="104" spans="1:75" ht="13.5" customHeight="1">
      <c r="A104" s="1" t="s">
        <v>266</v>
      </c>
      <c r="B104" s="2" t="s">
        <v>116</v>
      </c>
      <c r="C104" s="2" t="s">
        <v>267</v>
      </c>
      <c r="D104" s="147" t="s">
        <v>268</v>
      </c>
      <c r="E104" s="148"/>
      <c r="F104" s="2" t="s">
        <v>174</v>
      </c>
      <c r="G104" s="55">
        <f>'Stavební rozpočet-vyplnit'!G104</f>
        <v>100</v>
      </c>
      <c r="H104" s="55">
        <f>'Stavební rozpočet-vyplnit'!H104</f>
        <v>0</v>
      </c>
      <c r="I104" s="55">
        <f>G104*H104</f>
        <v>0</v>
      </c>
      <c r="J104" s="55">
        <f>'Stavební rozpočet-vyplnit'!J104</f>
        <v>0</v>
      </c>
      <c r="K104" s="55">
        <f>G104*J104</f>
        <v>0</v>
      </c>
      <c r="L104" s="57" t="s">
        <v>124</v>
      </c>
      <c r="Z104" s="55">
        <f>IF(AQ104="5",BJ104,0)</f>
        <v>0</v>
      </c>
      <c r="AB104" s="55">
        <f>IF(AQ104="1",BH104,0)</f>
        <v>0</v>
      </c>
      <c r="AC104" s="55">
        <f>IF(AQ104="1",BI104,0)</f>
        <v>0</v>
      </c>
      <c r="AD104" s="55">
        <f>IF(AQ104="7",BH104,0)</f>
        <v>0</v>
      </c>
      <c r="AE104" s="55">
        <f>IF(AQ104="7",BI104,0)</f>
        <v>0</v>
      </c>
      <c r="AF104" s="55">
        <f>IF(AQ104="2",BH104,0)</f>
        <v>0</v>
      </c>
      <c r="AG104" s="55">
        <f>IF(AQ104="2",BI104,0)</f>
        <v>0</v>
      </c>
      <c r="AH104" s="55">
        <f>IF(AQ104="0",BJ104,0)</f>
        <v>0</v>
      </c>
      <c r="AI104" s="34" t="s">
        <v>116</v>
      </c>
      <c r="AJ104" s="55">
        <f>IF(AN104=0,I104,0)</f>
        <v>0</v>
      </c>
      <c r="AK104" s="55">
        <f>IF(AN104=12,I104,0)</f>
        <v>0</v>
      </c>
      <c r="AL104" s="55">
        <f>IF(AN104=21,I104,0)</f>
        <v>0</v>
      </c>
      <c r="AN104" s="55">
        <v>21</v>
      </c>
      <c r="AO104" s="55">
        <f>H104*0.534246575</f>
        <v>0</v>
      </c>
      <c r="AP104" s="55">
        <f>H104*(1-0.534246575)</f>
        <v>0</v>
      </c>
      <c r="AQ104" s="58" t="s">
        <v>125</v>
      </c>
      <c r="AV104" s="55">
        <f>AW104+AX104</f>
        <v>0</v>
      </c>
      <c r="AW104" s="55">
        <f>G104*AO104</f>
        <v>0</v>
      </c>
      <c r="AX104" s="55">
        <f>G104*AP104</f>
        <v>0</v>
      </c>
      <c r="AY104" s="58" t="s">
        <v>126</v>
      </c>
      <c r="AZ104" s="58" t="s">
        <v>127</v>
      </c>
      <c r="BA104" s="34" t="s">
        <v>128</v>
      </c>
      <c r="BC104" s="55">
        <f>AW104+AX104</f>
        <v>0</v>
      </c>
      <c r="BD104" s="55">
        <f>H104/(100-BE104)*100</f>
        <v>0</v>
      </c>
      <c r="BE104" s="55">
        <v>0</v>
      </c>
      <c r="BF104" s="55">
        <f>K104</f>
        <v>0</v>
      </c>
      <c r="BH104" s="55">
        <f>G104*AO104</f>
        <v>0</v>
      </c>
      <c r="BI104" s="55">
        <f>G104*AP104</f>
        <v>0</v>
      </c>
      <c r="BJ104" s="55">
        <f>G104*H104</f>
        <v>0</v>
      </c>
      <c r="BK104" s="55"/>
      <c r="BL104" s="55"/>
      <c r="BW104" s="55">
        <v>21</v>
      </c>
    </row>
    <row r="105" spans="1:12" ht="13.5" customHeight="1">
      <c r="A105" s="59"/>
      <c r="D105" s="218" t="s">
        <v>129</v>
      </c>
      <c r="E105" s="219"/>
      <c r="F105" s="219"/>
      <c r="G105" s="219"/>
      <c r="H105" s="219"/>
      <c r="I105" s="219"/>
      <c r="J105" s="219"/>
      <c r="K105" s="219"/>
      <c r="L105" s="221"/>
    </row>
    <row r="106" spans="1:75" ht="13.5" customHeight="1">
      <c r="A106" s="1" t="s">
        <v>269</v>
      </c>
      <c r="B106" s="2" t="s">
        <v>116</v>
      </c>
      <c r="C106" s="2" t="s">
        <v>270</v>
      </c>
      <c r="D106" s="147" t="s">
        <v>271</v>
      </c>
      <c r="E106" s="148"/>
      <c r="F106" s="2" t="s">
        <v>272</v>
      </c>
      <c r="G106" s="55">
        <f>'Stavební rozpočet-vyplnit'!G106</f>
        <v>40</v>
      </c>
      <c r="H106" s="55">
        <f>'Stavební rozpočet-vyplnit'!H106</f>
        <v>0</v>
      </c>
      <c r="I106" s="55">
        <f>G106*H106</f>
        <v>0</v>
      </c>
      <c r="J106" s="55">
        <f>'Stavební rozpočet-vyplnit'!J106</f>
        <v>0</v>
      </c>
      <c r="K106" s="55">
        <f>G106*J106</f>
        <v>0</v>
      </c>
      <c r="L106" s="57" t="s">
        <v>124</v>
      </c>
      <c r="Z106" s="55">
        <f>IF(AQ106="5",BJ106,0)</f>
        <v>0</v>
      </c>
      <c r="AB106" s="55">
        <f>IF(AQ106="1",BH106,0)</f>
        <v>0</v>
      </c>
      <c r="AC106" s="55">
        <f>IF(AQ106="1",BI106,0)</f>
        <v>0</v>
      </c>
      <c r="AD106" s="55">
        <f>IF(AQ106="7",BH106,0)</f>
        <v>0</v>
      </c>
      <c r="AE106" s="55">
        <f>IF(AQ106="7",BI106,0)</f>
        <v>0</v>
      </c>
      <c r="AF106" s="55">
        <f>IF(AQ106="2",BH106,0)</f>
        <v>0</v>
      </c>
      <c r="AG106" s="55">
        <f>IF(AQ106="2",BI106,0)</f>
        <v>0</v>
      </c>
      <c r="AH106" s="55">
        <f>IF(AQ106="0",BJ106,0)</f>
        <v>0</v>
      </c>
      <c r="AI106" s="34" t="s">
        <v>116</v>
      </c>
      <c r="AJ106" s="55">
        <f>IF(AN106=0,I106,0)</f>
        <v>0</v>
      </c>
      <c r="AK106" s="55">
        <f>IF(AN106=12,I106,0)</f>
        <v>0</v>
      </c>
      <c r="AL106" s="55">
        <f>IF(AN106=21,I106,0)</f>
        <v>0</v>
      </c>
      <c r="AN106" s="55">
        <v>21</v>
      </c>
      <c r="AO106" s="55">
        <f>H106*0.528942116</f>
        <v>0</v>
      </c>
      <c r="AP106" s="55">
        <f>H106*(1-0.528942116)</f>
        <v>0</v>
      </c>
      <c r="AQ106" s="58" t="s">
        <v>125</v>
      </c>
      <c r="AV106" s="55">
        <f>AW106+AX106</f>
        <v>0</v>
      </c>
      <c r="AW106" s="55">
        <f>G106*AO106</f>
        <v>0</v>
      </c>
      <c r="AX106" s="55">
        <f>G106*AP106</f>
        <v>0</v>
      </c>
      <c r="AY106" s="58" t="s">
        <v>126</v>
      </c>
      <c r="AZ106" s="58" t="s">
        <v>127</v>
      </c>
      <c r="BA106" s="34" t="s">
        <v>128</v>
      </c>
      <c r="BC106" s="55">
        <f>AW106+AX106</f>
        <v>0</v>
      </c>
      <c r="BD106" s="55">
        <f>H106/(100-BE106)*100</f>
        <v>0</v>
      </c>
      <c r="BE106" s="55">
        <v>0</v>
      </c>
      <c r="BF106" s="55">
        <f>K106</f>
        <v>0</v>
      </c>
      <c r="BH106" s="55">
        <f>G106*AO106</f>
        <v>0</v>
      </c>
      <c r="BI106" s="55">
        <f>G106*AP106</f>
        <v>0</v>
      </c>
      <c r="BJ106" s="55">
        <f>G106*H106</f>
        <v>0</v>
      </c>
      <c r="BK106" s="55"/>
      <c r="BL106" s="55"/>
      <c r="BW106" s="55">
        <v>21</v>
      </c>
    </row>
    <row r="107" spans="1:12" ht="13.5" customHeight="1">
      <c r="A107" s="59"/>
      <c r="D107" s="218" t="s">
        <v>129</v>
      </c>
      <c r="E107" s="219"/>
      <c r="F107" s="219"/>
      <c r="G107" s="219"/>
      <c r="H107" s="219"/>
      <c r="I107" s="219"/>
      <c r="J107" s="219"/>
      <c r="K107" s="219"/>
      <c r="L107" s="221"/>
    </row>
    <row r="108" spans="1:75" ht="27" customHeight="1">
      <c r="A108" s="1" t="s">
        <v>273</v>
      </c>
      <c r="B108" s="2" t="s">
        <v>116</v>
      </c>
      <c r="C108" s="2" t="s">
        <v>274</v>
      </c>
      <c r="D108" s="147" t="s">
        <v>275</v>
      </c>
      <c r="E108" s="148"/>
      <c r="F108" s="2" t="s">
        <v>250</v>
      </c>
      <c r="G108" s="55">
        <f>'Stavební rozpočet-vyplnit'!G108</f>
        <v>1</v>
      </c>
      <c r="H108" s="55">
        <f>'Stavební rozpočet-vyplnit'!H108</f>
        <v>0</v>
      </c>
      <c r="I108" s="55">
        <f>G108*H108</f>
        <v>0</v>
      </c>
      <c r="J108" s="55">
        <f>'Stavební rozpočet-vyplnit'!J108</f>
        <v>0</v>
      </c>
      <c r="K108" s="55">
        <f>G108*J108</f>
        <v>0</v>
      </c>
      <c r="L108" s="57" t="s">
        <v>124</v>
      </c>
      <c r="Z108" s="55">
        <f>IF(AQ108="5",BJ108,0)</f>
        <v>0</v>
      </c>
      <c r="AB108" s="55">
        <f>IF(AQ108="1",BH108,0)</f>
        <v>0</v>
      </c>
      <c r="AC108" s="55">
        <f>IF(AQ108="1",BI108,0)</f>
        <v>0</v>
      </c>
      <c r="AD108" s="55">
        <f>IF(AQ108="7",BH108,0)</f>
        <v>0</v>
      </c>
      <c r="AE108" s="55">
        <f>IF(AQ108="7",BI108,0)</f>
        <v>0</v>
      </c>
      <c r="AF108" s="55">
        <f>IF(AQ108="2",BH108,0)</f>
        <v>0</v>
      </c>
      <c r="AG108" s="55">
        <f>IF(AQ108="2",BI108,0)</f>
        <v>0</v>
      </c>
      <c r="AH108" s="55">
        <f>IF(AQ108="0",BJ108,0)</f>
        <v>0</v>
      </c>
      <c r="AI108" s="34" t="s">
        <v>116</v>
      </c>
      <c r="AJ108" s="55">
        <f>IF(AN108=0,I108,0)</f>
        <v>0</v>
      </c>
      <c r="AK108" s="55">
        <f>IF(AN108=12,I108,0)</f>
        <v>0</v>
      </c>
      <c r="AL108" s="55">
        <f>IF(AN108=21,I108,0)</f>
        <v>0</v>
      </c>
      <c r="AN108" s="55">
        <v>21</v>
      </c>
      <c r="AO108" s="55">
        <f>H108*0</f>
        <v>0</v>
      </c>
      <c r="AP108" s="55">
        <f>H108*(1-0)</f>
        <v>0</v>
      </c>
      <c r="AQ108" s="58" t="s">
        <v>125</v>
      </c>
      <c r="AV108" s="55">
        <f>AW108+AX108</f>
        <v>0</v>
      </c>
      <c r="AW108" s="55">
        <f>G108*AO108</f>
        <v>0</v>
      </c>
      <c r="AX108" s="55">
        <f>G108*AP108</f>
        <v>0</v>
      </c>
      <c r="AY108" s="58" t="s">
        <v>126</v>
      </c>
      <c r="AZ108" s="58" t="s">
        <v>127</v>
      </c>
      <c r="BA108" s="34" t="s">
        <v>128</v>
      </c>
      <c r="BC108" s="55">
        <f>AW108+AX108</f>
        <v>0</v>
      </c>
      <c r="BD108" s="55">
        <f>H108/(100-BE108)*100</f>
        <v>0</v>
      </c>
      <c r="BE108" s="55">
        <v>0</v>
      </c>
      <c r="BF108" s="55">
        <f>K108</f>
        <v>0</v>
      </c>
      <c r="BH108" s="55">
        <f>G108*AO108</f>
        <v>0</v>
      </c>
      <c r="BI108" s="55">
        <f>G108*AP108</f>
        <v>0</v>
      </c>
      <c r="BJ108" s="55">
        <f>G108*H108</f>
        <v>0</v>
      </c>
      <c r="BK108" s="55"/>
      <c r="BL108" s="55"/>
      <c r="BW108" s="55">
        <v>21</v>
      </c>
    </row>
    <row r="109" spans="1:12" ht="13.5" customHeight="1">
      <c r="A109" s="59"/>
      <c r="D109" s="218" t="s">
        <v>276</v>
      </c>
      <c r="E109" s="219"/>
      <c r="F109" s="219"/>
      <c r="G109" s="219"/>
      <c r="H109" s="219"/>
      <c r="I109" s="219"/>
      <c r="J109" s="219"/>
      <c r="K109" s="219"/>
      <c r="L109" s="221"/>
    </row>
    <row r="110" spans="1:75" ht="13.5" customHeight="1">
      <c r="A110" s="1" t="s">
        <v>277</v>
      </c>
      <c r="B110" s="2" t="s">
        <v>116</v>
      </c>
      <c r="C110" s="2" t="s">
        <v>278</v>
      </c>
      <c r="D110" s="147" t="s">
        <v>279</v>
      </c>
      <c r="E110" s="148"/>
      <c r="F110" s="2" t="s">
        <v>250</v>
      </c>
      <c r="G110" s="55">
        <f>'Stavební rozpočet-vyplnit'!G110</f>
        <v>1</v>
      </c>
      <c r="H110" s="55">
        <f>'Stavební rozpočet-vyplnit'!H110</f>
        <v>0</v>
      </c>
      <c r="I110" s="55">
        <f>G110*H110</f>
        <v>0</v>
      </c>
      <c r="J110" s="55">
        <f>'Stavební rozpočet-vyplnit'!J110</f>
        <v>0</v>
      </c>
      <c r="K110" s="55">
        <f>G110*J110</f>
        <v>0</v>
      </c>
      <c r="L110" s="57" t="s">
        <v>124</v>
      </c>
      <c r="Z110" s="55">
        <f>IF(AQ110="5",BJ110,0)</f>
        <v>0</v>
      </c>
      <c r="AB110" s="55">
        <f>IF(AQ110="1",BH110,0)</f>
        <v>0</v>
      </c>
      <c r="AC110" s="55">
        <f>IF(AQ110="1",BI110,0)</f>
        <v>0</v>
      </c>
      <c r="AD110" s="55">
        <f>IF(AQ110="7",BH110,0)</f>
        <v>0</v>
      </c>
      <c r="AE110" s="55">
        <f>IF(AQ110="7",BI110,0)</f>
        <v>0</v>
      </c>
      <c r="AF110" s="55">
        <f>IF(AQ110="2",BH110,0)</f>
        <v>0</v>
      </c>
      <c r="AG110" s="55">
        <f>IF(AQ110="2",BI110,0)</f>
        <v>0</v>
      </c>
      <c r="AH110" s="55">
        <f>IF(AQ110="0",BJ110,0)</f>
        <v>0</v>
      </c>
      <c r="AI110" s="34" t="s">
        <v>116</v>
      </c>
      <c r="AJ110" s="55">
        <f>IF(AN110=0,I110,0)</f>
        <v>0</v>
      </c>
      <c r="AK110" s="55">
        <f>IF(AN110=12,I110,0)</f>
        <v>0</v>
      </c>
      <c r="AL110" s="55">
        <f>IF(AN110=21,I110,0)</f>
        <v>0</v>
      </c>
      <c r="AN110" s="55">
        <v>21</v>
      </c>
      <c r="AO110" s="55">
        <f>H110*0</f>
        <v>0</v>
      </c>
      <c r="AP110" s="55">
        <f>H110*(1-0)</f>
        <v>0</v>
      </c>
      <c r="AQ110" s="58" t="s">
        <v>125</v>
      </c>
      <c r="AV110" s="55">
        <f>AW110+AX110</f>
        <v>0</v>
      </c>
      <c r="AW110" s="55">
        <f>G110*AO110</f>
        <v>0</v>
      </c>
      <c r="AX110" s="55">
        <f>G110*AP110</f>
        <v>0</v>
      </c>
      <c r="AY110" s="58" t="s">
        <v>126</v>
      </c>
      <c r="AZ110" s="58" t="s">
        <v>127</v>
      </c>
      <c r="BA110" s="34" t="s">
        <v>128</v>
      </c>
      <c r="BC110" s="55">
        <f>AW110+AX110</f>
        <v>0</v>
      </c>
      <c r="BD110" s="55">
        <f>H110/(100-BE110)*100</f>
        <v>0</v>
      </c>
      <c r="BE110" s="55">
        <v>0</v>
      </c>
      <c r="BF110" s="55">
        <f>K110</f>
        <v>0</v>
      </c>
      <c r="BH110" s="55">
        <f>G110*AO110</f>
        <v>0</v>
      </c>
      <c r="BI110" s="55">
        <f>G110*AP110</f>
        <v>0</v>
      </c>
      <c r="BJ110" s="55">
        <f>G110*H110</f>
        <v>0</v>
      </c>
      <c r="BK110" s="55"/>
      <c r="BL110" s="55"/>
      <c r="BW110" s="55">
        <v>21</v>
      </c>
    </row>
    <row r="111" spans="1:75" ht="13.5" customHeight="1">
      <c r="A111" s="1" t="s">
        <v>280</v>
      </c>
      <c r="B111" s="2" t="s">
        <v>116</v>
      </c>
      <c r="C111" s="2" t="s">
        <v>281</v>
      </c>
      <c r="D111" s="147" t="s">
        <v>282</v>
      </c>
      <c r="E111" s="148"/>
      <c r="F111" s="2" t="s">
        <v>250</v>
      </c>
      <c r="G111" s="55">
        <f>'Stavební rozpočet-vyplnit'!G111</f>
        <v>1</v>
      </c>
      <c r="H111" s="55">
        <f>'Stavební rozpočet-vyplnit'!H111</f>
        <v>0</v>
      </c>
      <c r="I111" s="55">
        <f>G111*H111</f>
        <v>0</v>
      </c>
      <c r="J111" s="55">
        <f>'Stavební rozpočet-vyplnit'!J111</f>
        <v>0</v>
      </c>
      <c r="K111" s="55">
        <f>G111*J111</f>
        <v>0</v>
      </c>
      <c r="L111" s="57" t="s">
        <v>124</v>
      </c>
      <c r="Z111" s="55">
        <f>IF(AQ111="5",BJ111,0)</f>
        <v>0</v>
      </c>
      <c r="AB111" s="55">
        <f>IF(AQ111="1",BH111,0)</f>
        <v>0</v>
      </c>
      <c r="AC111" s="55">
        <f>IF(AQ111="1",BI111,0)</f>
        <v>0</v>
      </c>
      <c r="AD111" s="55">
        <f>IF(AQ111="7",BH111,0)</f>
        <v>0</v>
      </c>
      <c r="AE111" s="55">
        <f>IF(AQ111="7",BI111,0)</f>
        <v>0</v>
      </c>
      <c r="AF111" s="55">
        <f>IF(AQ111="2",BH111,0)</f>
        <v>0</v>
      </c>
      <c r="AG111" s="55">
        <f>IF(AQ111="2",BI111,0)</f>
        <v>0</v>
      </c>
      <c r="AH111" s="55">
        <f>IF(AQ111="0",BJ111,0)</f>
        <v>0</v>
      </c>
      <c r="AI111" s="34" t="s">
        <v>116</v>
      </c>
      <c r="AJ111" s="55">
        <f>IF(AN111=0,I111,0)</f>
        <v>0</v>
      </c>
      <c r="AK111" s="55">
        <f>IF(AN111=12,I111,0)</f>
        <v>0</v>
      </c>
      <c r="AL111" s="55">
        <f>IF(AN111=21,I111,0)</f>
        <v>0</v>
      </c>
      <c r="AN111" s="55">
        <v>21</v>
      </c>
      <c r="AO111" s="55">
        <f>H111*0</f>
        <v>0</v>
      </c>
      <c r="AP111" s="55">
        <f>H111*(1-0)</f>
        <v>0</v>
      </c>
      <c r="AQ111" s="58" t="s">
        <v>125</v>
      </c>
      <c r="AV111" s="55">
        <f>AW111+AX111</f>
        <v>0</v>
      </c>
      <c r="AW111" s="55">
        <f>G111*AO111</f>
        <v>0</v>
      </c>
      <c r="AX111" s="55">
        <f>G111*AP111</f>
        <v>0</v>
      </c>
      <c r="AY111" s="58" t="s">
        <v>126</v>
      </c>
      <c r="AZ111" s="58" t="s">
        <v>127</v>
      </c>
      <c r="BA111" s="34" t="s">
        <v>128</v>
      </c>
      <c r="BC111" s="55">
        <f>AW111+AX111</f>
        <v>0</v>
      </c>
      <c r="BD111" s="55">
        <f>H111/(100-BE111)*100</f>
        <v>0</v>
      </c>
      <c r="BE111" s="55">
        <v>0</v>
      </c>
      <c r="BF111" s="55">
        <f>K111</f>
        <v>0</v>
      </c>
      <c r="BH111" s="55">
        <f>G111*AO111</f>
        <v>0</v>
      </c>
      <c r="BI111" s="55">
        <f>G111*AP111</f>
        <v>0</v>
      </c>
      <c r="BJ111" s="55">
        <f>G111*H111</f>
        <v>0</v>
      </c>
      <c r="BK111" s="55"/>
      <c r="BL111" s="55"/>
      <c r="BW111" s="55">
        <v>21</v>
      </c>
    </row>
    <row r="112" spans="1:75" ht="13.5" customHeight="1">
      <c r="A112" s="1" t="s">
        <v>283</v>
      </c>
      <c r="B112" s="2" t="s">
        <v>116</v>
      </c>
      <c r="C112" s="2" t="s">
        <v>284</v>
      </c>
      <c r="D112" s="147" t="s">
        <v>285</v>
      </c>
      <c r="E112" s="148"/>
      <c r="F112" s="2" t="s">
        <v>250</v>
      </c>
      <c r="G112" s="55">
        <f>'Stavební rozpočet-vyplnit'!G112</f>
        <v>1</v>
      </c>
      <c r="H112" s="55">
        <f>'Stavební rozpočet-vyplnit'!H112</f>
        <v>0</v>
      </c>
      <c r="I112" s="55">
        <f>G112*H112</f>
        <v>0</v>
      </c>
      <c r="J112" s="55">
        <f>'Stavební rozpočet-vyplnit'!J112</f>
        <v>0</v>
      </c>
      <c r="K112" s="55">
        <f>G112*J112</f>
        <v>0</v>
      </c>
      <c r="L112" s="57" t="s">
        <v>124</v>
      </c>
      <c r="Z112" s="55">
        <f>IF(AQ112="5",BJ112,0)</f>
        <v>0</v>
      </c>
      <c r="AB112" s="55">
        <f>IF(AQ112="1",BH112,0)</f>
        <v>0</v>
      </c>
      <c r="AC112" s="55">
        <f>IF(AQ112="1",BI112,0)</f>
        <v>0</v>
      </c>
      <c r="AD112" s="55">
        <f>IF(AQ112="7",BH112,0)</f>
        <v>0</v>
      </c>
      <c r="AE112" s="55">
        <f>IF(AQ112="7",BI112,0)</f>
        <v>0</v>
      </c>
      <c r="AF112" s="55">
        <f>IF(AQ112="2",BH112,0)</f>
        <v>0</v>
      </c>
      <c r="AG112" s="55">
        <f>IF(AQ112="2",BI112,0)</f>
        <v>0</v>
      </c>
      <c r="AH112" s="55">
        <f>IF(AQ112="0",BJ112,0)</f>
        <v>0</v>
      </c>
      <c r="AI112" s="34" t="s">
        <v>116</v>
      </c>
      <c r="AJ112" s="55">
        <f>IF(AN112=0,I112,0)</f>
        <v>0</v>
      </c>
      <c r="AK112" s="55">
        <f>IF(AN112=12,I112,0)</f>
        <v>0</v>
      </c>
      <c r="AL112" s="55">
        <f>IF(AN112=21,I112,0)</f>
        <v>0</v>
      </c>
      <c r="AN112" s="55">
        <v>21</v>
      </c>
      <c r="AO112" s="55">
        <f>H112*0</f>
        <v>0</v>
      </c>
      <c r="AP112" s="55">
        <f>H112*(1-0)</f>
        <v>0</v>
      </c>
      <c r="AQ112" s="58" t="s">
        <v>125</v>
      </c>
      <c r="AV112" s="55">
        <f>AW112+AX112</f>
        <v>0</v>
      </c>
      <c r="AW112" s="55">
        <f>G112*AO112</f>
        <v>0</v>
      </c>
      <c r="AX112" s="55">
        <f>G112*AP112</f>
        <v>0</v>
      </c>
      <c r="AY112" s="58" t="s">
        <v>126</v>
      </c>
      <c r="AZ112" s="58" t="s">
        <v>127</v>
      </c>
      <c r="BA112" s="34" t="s">
        <v>128</v>
      </c>
      <c r="BC112" s="55">
        <f>AW112+AX112</f>
        <v>0</v>
      </c>
      <c r="BD112" s="55">
        <f>H112/(100-BE112)*100</f>
        <v>0</v>
      </c>
      <c r="BE112" s="55">
        <v>0</v>
      </c>
      <c r="BF112" s="55">
        <f>K112</f>
        <v>0</v>
      </c>
      <c r="BH112" s="55">
        <f>G112*AO112</f>
        <v>0</v>
      </c>
      <c r="BI112" s="55">
        <f>G112*AP112</f>
        <v>0</v>
      </c>
      <c r="BJ112" s="55">
        <f>G112*H112</f>
        <v>0</v>
      </c>
      <c r="BK112" s="55"/>
      <c r="BL112" s="55"/>
      <c r="BW112" s="55">
        <v>21</v>
      </c>
    </row>
    <row r="113" spans="1:75" ht="13.5" customHeight="1">
      <c r="A113" s="1" t="s">
        <v>286</v>
      </c>
      <c r="B113" s="2" t="s">
        <v>116</v>
      </c>
      <c r="C113" s="2" t="s">
        <v>287</v>
      </c>
      <c r="D113" s="147" t="s">
        <v>288</v>
      </c>
      <c r="E113" s="148"/>
      <c r="F113" s="2" t="s">
        <v>250</v>
      </c>
      <c r="G113" s="55">
        <f>'Stavební rozpočet-vyplnit'!G113</f>
        <v>1</v>
      </c>
      <c r="H113" s="55">
        <f>'Stavební rozpočet-vyplnit'!H113</f>
        <v>0</v>
      </c>
      <c r="I113" s="55">
        <f>G113*H113</f>
        <v>0</v>
      </c>
      <c r="J113" s="55">
        <f>'Stavební rozpočet-vyplnit'!J113</f>
        <v>0</v>
      </c>
      <c r="K113" s="55">
        <f>G113*J113</f>
        <v>0</v>
      </c>
      <c r="L113" s="57" t="s">
        <v>124</v>
      </c>
      <c r="Z113" s="55">
        <f>IF(AQ113="5",BJ113,0)</f>
        <v>0</v>
      </c>
      <c r="AB113" s="55">
        <f>IF(AQ113="1",BH113,0)</f>
        <v>0</v>
      </c>
      <c r="AC113" s="55">
        <f>IF(AQ113="1",BI113,0)</f>
        <v>0</v>
      </c>
      <c r="AD113" s="55">
        <f>IF(AQ113="7",BH113,0)</f>
        <v>0</v>
      </c>
      <c r="AE113" s="55">
        <f>IF(AQ113="7",BI113,0)</f>
        <v>0</v>
      </c>
      <c r="AF113" s="55">
        <f>IF(AQ113="2",BH113,0)</f>
        <v>0</v>
      </c>
      <c r="AG113" s="55">
        <f>IF(AQ113="2",BI113,0)</f>
        <v>0</v>
      </c>
      <c r="AH113" s="55">
        <f>IF(AQ113="0",BJ113,0)</f>
        <v>0</v>
      </c>
      <c r="AI113" s="34" t="s">
        <v>116</v>
      </c>
      <c r="AJ113" s="55">
        <f>IF(AN113=0,I113,0)</f>
        <v>0</v>
      </c>
      <c r="AK113" s="55">
        <f>IF(AN113=12,I113,0)</f>
        <v>0</v>
      </c>
      <c r="AL113" s="55">
        <f>IF(AN113=21,I113,0)</f>
        <v>0</v>
      </c>
      <c r="AN113" s="55">
        <v>21</v>
      </c>
      <c r="AO113" s="55">
        <f>H113*0</f>
        <v>0</v>
      </c>
      <c r="AP113" s="55">
        <f>H113*(1-0)</f>
        <v>0</v>
      </c>
      <c r="AQ113" s="58" t="s">
        <v>125</v>
      </c>
      <c r="AV113" s="55">
        <f>AW113+AX113</f>
        <v>0</v>
      </c>
      <c r="AW113" s="55">
        <f>G113*AO113</f>
        <v>0</v>
      </c>
      <c r="AX113" s="55">
        <f>G113*AP113</f>
        <v>0</v>
      </c>
      <c r="AY113" s="58" t="s">
        <v>126</v>
      </c>
      <c r="AZ113" s="58" t="s">
        <v>127</v>
      </c>
      <c r="BA113" s="34" t="s">
        <v>128</v>
      </c>
      <c r="BC113" s="55">
        <f>AW113+AX113</f>
        <v>0</v>
      </c>
      <c r="BD113" s="55">
        <f>H113/(100-BE113)*100</f>
        <v>0</v>
      </c>
      <c r="BE113" s="55">
        <v>0</v>
      </c>
      <c r="BF113" s="55">
        <f>K113</f>
        <v>0</v>
      </c>
      <c r="BH113" s="55">
        <f>G113*AO113</f>
        <v>0</v>
      </c>
      <c r="BI113" s="55">
        <f>G113*AP113</f>
        <v>0</v>
      </c>
      <c r="BJ113" s="55">
        <f>G113*H113</f>
        <v>0</v>
      </c>
      <c r="BK113" s="55"/>
      <c r="BL113" s="55"/>
      <c r="BW113" s="55">
        <v>21</v>
      </c>
    </row>
    <row r="114" spans="1:75" ht="27" customHeight="1">
      <c r="A114" s="1" t="s">
        <v>289</v>
      </c>
      <c r="B114" s="2" t="s">
        <v>116</v>
      </c>
      <c r="C114" s="2" t="s">
        <v>290</v>
      </c>
      <c r="D114" s="147" t="s">
        <v>291</v>
      </c>
      <c r="E114" s="148"/>
      <c r="F114" s="2" t="s">
        <v>123</v>
      </c>
      <c r="G114" s="55">
        <f>'Stavební rozpočet-vyplnit'!G114</f>
        <v>1</v>
      </c>
      <c r="H114" s="55">
        <f>'Stavební rozpočet-vyplnit'!H114</f>
        <v>0</v>
      </c>
      <c r="I114" s="55">
        <f>G114*H114</f>
        <v>0</v>
      </c>
      <c r="J114" s="55">
        <f>'Stavební rozpočet-vyplnit'!J114</f>
        <v>0</v>
      </c>
      <c r="K114" s="55">
        <f>G114*J114</f>
        <v>0</v>
      </c>
      <c r="L114" s="57" t="s">
        <v>124</v>
      </c>
      <c r="Z114" s="55">
        <f>IF(AQ114="5",BJ114,0)</f>
        <v>0</v>
      </c>
      <c r="AB114" s="55">
        <f>IF(AQ114="1",BH114,0)</f>
        <v>0</v>
      </c>
      <c r="AC114" s="55">
        <f>IF(AQ114="1",BI114,0)</f>
        <v>0</v>
      </c>
      <c r="AD114" s="55">
        <f>IF(AQ114="7",BH114,0)</f>
        <v>0</v>
      </c>
      <c r="AE114" s="55">
        <f>IF(AQ114="7",BI114,0)</f>
        <v>0</v>
      </c>
      <c r="AF114" s="55">
        <f>IF(AQ114="2",BH114,0)</f>
        <v>0</v>
      </c>
      <c r="AG114" s="55">
        <f>IF(AQ114="2",BI114,0)</f>
        <v>0</v>
      </c>
      <c r="AH114" s="55">
        <f>IF(AQ114="0",BJ114,0)</f>
        <v>0</v>
      </c>
      <c r="AI114" s="34" t="s">
        <v>116</v>
      </c>
      <c r="AJ114" s="55">
        <f>IF(AN114=0,I114,0)</f>
        <v>0</v>
      </c>
      <c r="AK114" s="55">
        <f>IF(AN114=12,I114,0)</f>
        <v>0</v>
      </c>
      <c r="AL114" s="55">
        <f>IF(AN114=21,I114,0)</f>
        <v>0</v>
      </c>
      <c r="AN114" s="55">
        <v>21</v>
      </c>
      <c r="AO114" s="55">
        <f>H114*0.653901037</f>
        <v>0</v>
      </c>
      <c r="AP114" s="55">
        <f>H114*(1-0.653901037)</f>
        <v>0</v>
      </c>
      <c r="AQ114" s="58" t="s">
        <v>125</v>
      </c>
      <c r="AV114" s="55">
        <f>AW114+AX114</f>
        <v>0</v>
      </c>
      <c r="AW114" s="55">
        <f>G114*AO114</f>
        <v>0</v>
      </c>
      <c r="AX114" s="55">
        <f>G114*AP114</f>
        <v>0</v>
      </c>
      <c r="AY114" s="58" t="s">
        <v>126</v>
      </c>
      <c r="AZ114" s="58" t="s">
        <v>127</v>
      </c>
      <c r="BA114" s="34" t="s">
        <v>128</v>
      </c>
      <c r="BC114" s="55">
        <f>AW114+AX114</f>
        <v>0</v>
      </c>
      <c r="BD114" s="55">
        <f>H114/(100-BE114)*100</f>
        <v>0</v>
      </c>
      <c r="BE114" s="55">
        <v>0</v>
      </c>
      <c r="BF114" s="55">
        <f>K114</f>
        <v>0</v>
      </c>
      <c r="BH114" s="55">
        <f>G114*AO114</f>
        <v>0</v>
      </c>
      <c r="BI114" s="55">
        <f>G114*AP114</f>
        <v>0</v>
      </c>
      <c r="BJ114" s="55">
        <f>G114*H114</f>
        <v>0</v>
      </c>
      <c r="BK114" s="55"/>
      <c r="BL114" s="55"/>
      <c r="BW114" s="55">
        <v>21</v>
      </c>
    </row>
    <row r="115" spans="1:12" ht="13.5" customHeight="1">
      <c r="A115" s="59"/>
      <c r="D115" s="218" t="s">
        <v>129</v>
      </c>
      <c r="E115" s="219"/>
      <c r="F115" s="219"/>
      <c r="G115" s="219"/>
      <c r="H115" s="219"/>
      <c r="I115" s="219"/>
      <c r="J115" s="219"/>
      <c r="K115" s="219"/>
      <c r="L115" s="221"/>
    </row>
    <row r="116" spans="1:75" ht="13.5" customHeight="1">
      <c r="A116" s="1" t="s">
        <v>292</v>
      </c>
      <c r="B116" s="2" t="s">
        <v>116</v>
      </c>
      <c r="C116" s="2" t="s">
        <v>293</v>
      </c>
      <c r="D116" s="147" t="s">
        <v>294</v>
      </c>
      <c r="E116" s="148"/>
      <c r="F116" s="2" t="s">
        <v>123</v>
      </c>
      <c r="G116" s="55">
        <f>'Stavební rozpočet-vyplnit'!G116</f>
        <v>1</v>
      </c>
      <c r="H116" s="55">
        <f>'Stavební rozpočet-vyplnit'!H116</f>
        <v>0</v>
      </c>
      <c r="I116" s="55">
        <f>G116*H116</f>
        <v>0</v>
      </c>
      <c r="J116" s="55">
        <f>'Stavební rozpočet-vyplnit'!J116</f>
        <v>0</v>
      </c>
      <c r="K116" s="55">
        <f>G116*J116</f>
        <v>0</v>
      </c>
      <c r="L116" s="57" t="s">
        <v>124</v>
      </c>
      <c r="Z116" s="55">
        <f>IF(AQ116="5",BJ116,0)</f>
        <v>0</v>
      </c>
      <c r="AB116" s="55">
        <f>IF(AQ116="1",BH116,0)</f>
        <v>0</v>
      </c>
      <c r="AC116" s="55">
        <f>IF(AQ116="1",BI116,0)</f>
        <v>0</v>
      </c>
      <c r="AD116" s="55">
        <f>IF(AQ116="7",BH116,0)</f>
        <v>0</v>
      </c>
      <c r="AE116" s="55">
        <f>IF(AQ116="7",BI116,0)</f>
        <v>0</v>
      </c>
      <c r="AF116" s="55">
        <f>IF(AQ116="2",BH116,0)</f>
        <v>0</v>
      </c>
      <c r="AG116" s="55">
        <f>IF(AQ116="2",BI116,0)</f>
        <v>0</v>
      </c>
      <c r="AH116" s="55">
        <f>IF(AQ116="0",BJ116,0)</f>
        <v>0</v>
      </c>
      <c r="AI116" s="34" t="s">
        <v>116</v>
      </c>
      <c r="AJ116" s="55">
        <f>IF(AN116=0,I116,0)</f>
        <v>0</v>
      </c>
      <c r="AK116" s="55">
        <f>IF(AN116=12,I116,0)</f>
        <v>0</v>
      </c>
      <c r="AL116" s="55">
        <f>IF(AN116=21,I116,0)</f>
        <v>0</v>
      </c>
      <c r="AN116" s="55">
        <v>21</v>
      </c>
      <c r="AO116" s="55">
        <f>H116*0.97555472</f>
        <v>0</v>
      </c>
      <c r="AP116" s="55">
        <f>H116*(1-0.97555472)</f>
        <v>0</v>
      </c>
      <c r="AQ116" s="58" t="s">
        <v>125</v>
      </c>
      <c r="AV116" s="55">
        <f>AW116+AX116</f>
        <v>0</v>
      </c>
      <c r="AW116" s="55">
        <f>G116*AO116</f>
        <v>0</v>
      </c>
      <c r="AX116" s="55">
        <f>G116*AP116</f>
        <v>0</v>
      </c>
      <c r="AY116" s="58" t="s">
        <v>126</v>
      </c>
      <c r="AZ116" s="58" t="s">
        <v>127</v>
      </c>
      <c r="BA116" s="34" t="s">
        <v>128</v>
      </c>
      <c r="BC116" s="55">
        <f>AW116+AX116</f>
        <v>0</v>
      </c>
      <c r="BD116" s="55">
        <f>H116/(100-BE116)*100</f>
        <v>0</v>
      </c>
      <c r="BE116" s="55">
        <v>0</v>
      </c>
      <c r="BF116" s="55">
        <f>K116</f>
        <v>0</v>
      </c>
      <c r="BH116" s="55">
        <f>G116*AO116</f>
        <v>0</v>
      </c>
      <c r="BI116" s="55">
        <f>G116*AP116</f>
        <v>0</v>
      </c>
      <c r="BJ116" s="55">
        <f>G116*H116</f>
        <v>0</v>
      </c>
      <c r="BK116" s="55"/>
      <c r="BL116" s="55"/>
      <c r="BW116" s="55">
        <v>21</v>
      </c>
    </row>
    <row r="117" spans="1:12" ht="13.5" customHeight="1">
      <c r="A117" s="59"/>
      <c r="D117" s="218" t="s">
        <v>129</v>
      </c>
      <c r="E117" s="219"/>
      <c r="F117" s="219"/>
      <c r="G117" s="219"/>
      <c r="H117" s="219"/>
      <c r="I117" s="219"/>
      <c r="J117" s="219"/>
      <c r="K117" s="219"/>
      <c r="L117" s="221"/>
    </row>
    <row r="118" spans="1:75" ht="13.5" customHeight="1">
      <c r="A118" s="1" t="s">
        <v>295</v>
      </c>
      <c r="B118" s="2" t="s">
        <v>116</v>
      </c>
      <c r="C118" s="2" t="s">
        <v>296</v>
      </c>
      <c r="D118" s="147" t="s">
        <v>297</v>
      </c>
      <c r="E118" s="148"/>
      <c r="F118" s="2" t="s">
        <v>123</v>
      </c>
      <c r="G118" s="55">
        <f>'Stavební rozpočet-vyplnit'!G118</f>
        <v>1</v>
      </c>
      <c r="H118" s="55">
        <f>'Stavební rozpočet-vyplnit'!H118</f>
        <v>0</v>
      </c>
      <c r="I118" s="55">
        <f>G118*H118</f>
        <v>0</v>
      </c>
      <c r="J118" s="55">
        <f>'Stavební rozpočet-vyplnit'!J118</f>
        <v>0</v>
      </c>
      <c r="K118" s="55">
        <f>G118*J118</f>
        <v>0</v>
      </c>
      <c r="L118" s="57" t="s">
        <v>124</v>
      </c>
      <c r="Z118" s="55">
        <f>IF(AQ118="5",BJ118,0)</f>
        <v>0</v>
      </c>
      <c r="AB118" s="55">
        <f>IF(AQ118="1",BH118,0)</f>
        <v>0</v>
      </c>
      <c r="AC118" s="55">
        <f>IF(AQ118="1",BI118,0)</f>
        <v>0</v>
      </c>
      <c r="AD118" s="55">
        <f>IF(AQ118="7",BH118,0)</f>
        <v>0</v>
      </c>
      <c r="AE118" s="55">
        <f>IF(AQ118="7",BI118,0)</f>
        <v>0</v>
      </c>
      <c r="AF118" s="55">
        <f>IF(AQ118="2",BH118,0)</f>
        <v>0</v>
      </c>
      <c r="AG118" s="55">
        <f>IF(AQ118="2",BI118,0)</f>
        <v>0</v>
      </c>
      <c r="AH118" s="55">
        <f>IF(AQ118="0",BJ118,0)</f>
        <v>0</v>
      </c>
      <c r="AI118" s="34" t="s">
        <v>116</v>
      </c>
      <c r="AJ118" s="55">
        <f>IF(AN118=0,I118,0)</f>
        <v>0</v>
      </c>
      <c r="AK118" s="55">
        <f>IF(AN118=12,I118,0)</f>
        <v>0</v>
      </c>
      <c r="AL118" s="55">
        <f>IF(AN118=21,I118,0)</f>
        <v>0</v>
      </c>
      <c r="AN118" s="55">
        <v>21</v>
      </c>
      <c r="AO118" s="55">
        <f>H118*0.71875</f>
        <v>0</v>
      </c>
      <c r="AP118" s="55">
        <f>H118*(1-0.71875)</f>
        <v>0</v>
      </c>
      <c r="AQ118" s="58" t="s">
        <v>125</v>
      </c>
      <c r="AV118" s="55">
        <f>AW118+AX118</f>
        <v>0</v>
      </c>
      <c r="AW118" s="55">
        <f>G118*AO118</f>
        <v>0</v>
      </c>
      <c r="AX118" s="55">
        <f>G118*AP118</f>
        <v>0</v>
      </c>
      <c r="AY118" s="58" t="s">
        <v>126</v>
      </c>
      <c r="AZ118" s="58" t="s">
        <v>127</v>
      </c>
      <c r="BA118" s="34" t="s">
        <v>128</v>
      </c>
      <c r="BC118" s="55">
        <f>AW118+AX118</f>
        <v>0</v>
      </c>
      <c r="BD118" s="55">
        <f>H118/(100-BE118)*100</f>
        <v>0</v>
      </c>
      <c r="BE118" s="55">
        <v>0</v>
      </c>
      <c r="BF118" s="55">
        <f>K118</f>
        <v>0</v>
      </c>
      <c r="BH118" s="55">
        <f>G118*AO118</f>
        <v>0</v>
      </c>
      <c r="BI118" s="55">
        <f>G118*AP118</f>
        <v>0</v>
      </c>
      <c r="BJ118" s="55">
        <f>G118*H118</f>
        <v>0</v>
      </c>
      <c r="BK118" s="55"/>
      <c r="BL118" s="55"/>
      <c r="BW118" s="55">
        <v>21</v>
      </c>
    </row>
    <row r="119" spans="1:12" ht="13.5" customHeight="1">
      <c r="A119" s="59"/>
      <c r="D119" s="218" t="s">
        <v>129</v>
      </c>
      <c r="E119" s="219"/>
      <c r="F119" s="219"/>
      <c r="G119" s="219"/>
      <c r="H119" s="219"/>
      <c r="I119" s="219"/>
      <c r="J119" s="219"/>
      <c r="K119" s="219"/>
      <c r="L119" s="221"/>
    </row>
    <row r="120" spans="1:75" ht="13.5" customHeight="1">
      <c r="A120" s="1" t="s">
        <v>298</v>
      </c>
      <c r="B120" s="2" t="s">
        <v>116</v>
      </c>
      <c r="C120" s="2" t="s">
        <v>299</v>
      </c>
      <c r="D120" s="147" t="s">
        <v>300</v>
      </c>
      <c r="E120" s="148"/>
      <c r="F120" s="2" t="s">
        <v>123</v>
      </c>
      <c r="G120" s="55">
        <f>'Stavební rozpočet-vyplnit'!G120</f>
        <v>1</v>
      </c>
      <c r="H120" s="55">
        <f>'Stavební rozpočet-vyplnit'!H120</f>
        <v>0</v>
      </c>
      <c r="I120" s="55">
        <f>G120*H120</f>
        <v>0</v>
      </c>
      <c r="J120" s="55">
        <f>'Stavební rozpočet-vyplnit'!J120</f>
        <v>0</v>
      </c>
      <c r="K120" s="55">
        <f>G120*J120</f>
        <v>0</v>
      </c>
      <c r="L120" s="57" t="s">
        <v>124</v>
      </c>
      <c r="Z120" s="55">
        <f>IF(AQ120="5",BJ120,0)</f>
        <v>0</v>
      </c>
      <c r="AB120" s="55">
        <f>IF(AQ120="1",BH120,0)</f>
        <v>0</v>
      </c>
      <c r="AC120" s="55">
        <f>IF(AQ120="1",BI120,0)</f>
        <v>0</v>
      </c>
      <c r="AD120" s="55">
        <f>IF(AQ120="7",BH120,0)</f>
        <v>0</v>
      </c>
      <c r="AE120" s="55">
        <f>IF(AQ120="7",BI120,0)</f>
        <v>0</v>
      </c>
      <c r="AF120" s="55">
        <f>IF(AQ120="2",BH120,0)</f>
        <v>0</v>
      </c>
      <c r="AG120" s="55">
        <f>IF(AQ120="2",BI120,0)</f>
        <v>0</v>
      </c>
      <c r="AH120" s="55">
        <f>IF(AQ120="0",BJ120,0)</f>
        <v>0</v>
      </c>
      <c r="AI120" s="34" t="s">
        <v>116</v>
      </c>
      <c r="AJ120" s="55">
        <f>IF(AN120=0,I120,0)</f>
        <v>0</v>
      </c>
      <c r="AK120" s="55">
        <f>IF(AN120=12,I120,0)</f>
        <v>0</v>
      </c>
      <c r="AL120" s="55">
        <f>IF(AN120=21,I120,0)</f>
        <v>0</v>
      </c>
      <c r="AN120" s="55">
        <v>21</v>
      </c>
      <c r="AO120" s="55">
        <f>H120*0.720930233</f>
        <v>0</v>
      </c>
      <c r="AP120" s="55">
        <f>H120*(1-0.720930233)</f>
        <v>0</v>
      </c>
      <c r="AQ120" s="58" t="s">
        <v>125</v>
      </c>
      <c r="AV120" s="55">
        <f>AW120+AX120</f>
        <v>0</v>
      </c>
      <c r="AW120" s="55">
        <f>G120*AO120</f>
        <v>0</v>
      </c>
      <c r="AX120" s="55">
        <f>G120*AP120</f>
        <v>0</v>
      </c>
      <c r="AY120" s="58" t="s">
        <v>126</v>
      </c>
      <c r="AZ120" s="58" t="s">
        <v>127</v>
      </c>
      <c r="BA120" s="34" t="s">
        <v>128</v>
      </c>
      <c r="BC120" s="55">
        <f>AW120+AX120</f>
        <v>0</v>
      </c>
      <c r="BD120" s="55">
        <f>H120/(100-BE120)*100</f>
        <v>0</v>
      </c>
      <c r="BE120" s="55">
        <v>0</v>
      </c>
      <c r="BF120" s="55">
        <f>K120</f>
        <v>0</v>
      </c>
      <c r="BH120" s="55">
        <f>G120*AO120</f>
        <v>0</v>
      </c>
      <c r="BI120" s="55">
        <f>G120*AP120</f>
        <v>0</v>
      </c>
      <c r="BJ120" s="55">
        <f>G120*H120</f>
        <v>0</v>
      </c>
      <c r="BK120" s="55"/>
      <c r="BL120" s="55"/>
      <c r="BW120" s="55">
        <v>21</v>
      </c>
    </row>
    <row r="121" spans="1:12" ht="13.5" customHeight="1">
      <c r="A121" s="59"/>
      <c r="D121" s="218" t="s">
        <v>129</v>
      </c>
      <c r="E121" s="219"/>
      <c r="F121" s="219"/>
      <c r="G121" s="219"/>
      <c r="H121" s="219"/>
      <c r="I121" s="219"/>
      <c r="J121" s="219"/>
      <c r="K121" s="219"/>
      <c r="L121" s="221"/>
    </row>
    <row r="122" spans="1:75" ht="13.5" customHeight="1">
      <c r="A122" s="1" t="s">
        <v>301</v>
      </c>
      <c r="B122" s="2" t="s">
        <v>116</v>
      </c>
      <c r="C122" s="2" t="s">
        <v>302</v>
      </c>
      <c r="D122" s="147" t="s">
        <v>303</v>
      </c>
      <c r="E122" s="148"/>
      <c r="F122" s="2" t="s">
        <v>123</v>
      </c>
      <c r="G122" s="55">
        <f>'Stavební rozpočet-vyplnit'!G122</f>
        <v>6</v>
      </c>
      <c r="H122" s="55">
        <f>'Stavební rozpočet-vyplnit'!H122</f>
        <v>0</v>
      </c>
      <c r="I122" s="55">
        <f>G122*H122</f>
        <v>0</v>
      </c>
      <c r="J122" s="55">
        <f>'Stavební rozpočet-vyplnit'!J122</f>
        <v>0</v>
      </c>
      <c r="K122" s="55">
        <f>G122*J122</f>
        <v>0</v>
      </c>
      <c r="L122" s="57" t="s">
        <v>124</v>
      </c>
      <c r="Z122" s="55">
        <f>IF(AQ122="5",BJ122,0)</f>
        <v>0</v>
      </c>
      <c r="AB122" s="55">
        <f>IF(AQ122="1",BH122,0)</f>
        <v>0</v>
      </c>
      <c r="AC122" s="55">
        <f>IF(AQ122="1",BI122,0)</f>
        <v>0</v>
      </c>
      <c r="AD122" s="55">
        <f>IF(AQ122="7",BH122,0)</f>
        <v>0</v>
      </c>
      <c r="AE122" s="55">
        <f>IF(AQ122="7",BI122,0)</f>
        <v>0</v>
      </c>
      <c r="AF122" s="55">
        <f>IF(AQ122="2",BH122,0)</f>
        <v>0</v>
      </c>
      <c r="AG122" s="55">
        <f>IF(AQ122="2",BI122,0)</f>
        <v>0</v>
      </c>
      <c r="AH122" s="55">
        <f>IF(AQ122="0",BJ122,0)</f>
        <v>0</v>
      </c>
      <c r="AI122" s="34" t="s">
        <v>116</v>
      </c>
      <c r="AJ122" s="55">
        <f>IF(AN122=0,I122,0)</f>
        <v>0</v>
      </c>
      <c r="AK122" s="55">
        <f>IF(AN122=12,I122,0)</f>
        <v>0</v>
      </c>
      <c r="AL122" s="55">
        <f>IF(AN122=21,I122,0)</f>
        <v>0</v>
      </c>
      <c r="AN122" s="55">
        <v>21</v>
      </c>
      <c r="AO122" s="55">
        <f>H122*0.74912892</f>
        <v>0</v>
      </c>
      <c r="AP122" s="55">
        <f>H122*(1-0.74912892)</f>
        <v>0</v>
      </c>
      <c r="AQ122" s="58" t="s">
        <v>125</v>
      </c>
      <c r="AV122" s="55">
        <f>AW122+AX122</f>
        <v>0</v>
      </c>
      <c r="AW122" s="55">
        <f>G122*AO122</f>
        <v>0</v>
      </c>
      <c r="AX122" s="55">
        <f>G122*AP122</f>
        <v>0</v>
      </c>
      <c r="AY122" s="58" t="s">
        <v>126</v>
      </c>
      <c r="AZ122" s="58" t="s">
        <v>127</v>
      </c>
      <c r="BA122" s="34" t="s">
        <v>128</v>
      </c>
      <c r="BC122" s="55">
        <f>AW122+AX122</f>
        <v>0</v>
      </c>
      <c r="BD122" s="55">
        <f>H122/(100-BE122)*100</f>
        <v>0</v>
      </c>
      <c r="BE122" s="55">
        <v>0</v>
      </c>
      <c r="BF122" s="55">
        <f>K122</f>
        <v>0</v>
      </c>
      <c r="BH122" s="55">
        <f>G122*AO122</f>
        <v>0</v>
      </c>
      <c r="BI122" s="55">
        <f>G122*AP122</f>
        <v>0</v>
      </c>
      <c r="BJ122" s="55">
        <f>G122*H122</f>
        <v>0</v>
      </c>
      <c r="BK122" s="55"/>
      <c r="BL122" s="55"/>
      <c r="BW122" s="55">
        <v>21</v>
      </c>
    </row>
    <row r="123" spans="1:12" ht="13.5" customHeight="1">
      <c r="A123" s="59"/>
      <c r="D123" s="218" t="s">
        <v>129</v>
      </c>
      <c r="E123" s="219"/>
      <c r="F123" s="219"/>
      <c r="G123" s="219"/>
      <c r="H123" s="219"/>
      <c r="I123" s="219"/>
      <c r="J123" s="219"/>
      <c r="K123" s="219"/>
      <c r="L123" s="221"/>
    </row>
    <row r="124" spans="1:75" ht="13.5" customHeight="1">
      <c r="A124" s="1" t="s">
        <v>304</v>
      </c>
      <c r="B124" s="2" t="s">
        <v>116</v>
      </c>
      <c r="C124" s="2" t="s">
        <v>305</v>
      </c>
      <c r="D124" s="147" t="s">
        <v>306</v>
      </c>
      <c r="E124" s="148"/>
      <c r="F124" s="2" t="s">
        <v>123</v>
      </c>
      <c r="G124" s="55">
        <f>'Stavební rozpočet-vyplnit'!G124</f>
        <v>1</v>
      </c>
      <c r="H124" s="55">
        <f>'Stavební rozpočet-vyplnit'!H124</f>
        <v>0</v>
      </c>
      <c r="I124" s="55">
        <f>G124*H124</f>
        <v>0</v>
      </c>
      <c r="J124" s="55">
        <f>'Stavební rozpočet-vyplnit'!J124</f>
        <v>0</v>
      </c>
      <c r="K124" s="55">
        <f>G124*J124</f>
        <v>0</v>
      </c>
      <c r="L124" s="57" t="s">
        <v>124</v>
      </c>
      <c r="Z124" s="55">
        <f>IF(AQ124="5",BJ124,0)</f>
        <v>0</v>
      </c>
      <c r="AB124" s="55">
        <f>IF(AQ124="1",BH124,0)</f>
        <v>0</v>
      </c>
      <c r="AC124" s="55">
        <f>IF(AQ124="1",BI124,0)</f>
        <v>0</v>
      </c>
      <c r="AD124" s="55">
        <f>IF(AQ124="7",BH124,0)</f>
        <v>0</v>
      </c>
      <c r="AE124" s="55">
        <f>IF(AQ124="7",BI124,0)</f>
        <v>0</v>
      </c>
      <c r="AF124" s="55">
        <f>IF(AQ124="2",BH124,0)</f>
        <v>0</v>
      </c>
      <c r="AG124" s="55">
        <f>IF(AQ124="2",BI124,0)</f>
        <v>0</v>
      </c>
      <c r="AH124" s="55">
        <f>IF(AQ124="0",BJ124,0)</f>
        <v>0</v>
      </c>
      <c r="AI124" s="34" t="s">
        <v>116</v>
      </c>
      <c r="AJ124" s="55">
        <f>IF(AN124=0,I124,0)</f>
        <v>0</v>
      </c>
      <c r="AK124" s="55">
        <f>IF(AN124=12,I124,0)</f>
        <v>0</v>
      </c>
      <c r="AL124" s="55">
        <f>IF(AN124=21,I124,0)</f>
        <v>0</v>
      </c>
      <c r="AN124" s="55">
        <v>21</v>
      </c>
      <c r="AO124" s="55">
        <f>H124*0.74912892</f>
        <v>0</v>
      </c>
      <c r="AP124" s="55">
        <f>H124*(1-0.74912892)</f>
        <v>0</v>
      </c>
      <c r="AQ124" s="58" t="s">
        <v>125</v>
      </c>
      <c r="AV124" s="55">
        <f>AW124+AX124</f>
        <v>0</v>
      </c>
      <c r="AW124" s="55">
        <f>G124*AO124</f>
        <v>0</v>
      </c>
      <c r="AX124" s="55">
        <f>G124*AP124</f>
        <v>0</v>
      </c>
      <c r="AY124" s="58" t="s">
        <v>126</v>
      </c>
      <c r="AZ124" s="58" t="s">
        <v>127</v>
      </c>
      <c r="BA124" s="34" t="s">
        <v>128</v>
      </c>
      <c r="BC124" s="55">
        <f>AW124+AX124</f>
        <v>0</v>
      </c>
      <c r="BD124" s="55">
        <f>H124/(100-BE124)*100</f>
        <v>0</v>
      </c>
      <c r="BE124" s="55">
        <v>0</v>
      </c>
      <c r="BF124" s="55">
        <f>K124</f>
        <v>0</v>
      </c>
      <c r="BH124" s="55">
        <f>G124*AO124</f>
        <v>0</v>
      </c>
      <c r="BI124" s="55">
        <f>G124*AP124</f>
        <v>0</v>
      </c>
      <c r="BJ124" s="55">
        <f>G124*H124</f>
        <v>0</v>
      </c>
      <c r="BK124" s="55"/>
      <c r="BL124" s="55"/>
      <c r="BW124" s="55">
        <v>21</v>
      </c>
    </row>
    <row r="125" spans="1:12" ht="13.5" customHeight="1">
      <c r="A125" s="59"/>
      <c r="D125" s="218" t="s">
        <v>129</v>
      </c>
      <c r="E125" s="219"/>
      <c r="F125" s="219"/>
      <c r="G125" s="219"/>
      <c r="H125" s="219"/>
      <c r="I125" s="219"/>
      <c r="J125" s="219"/>
      <c r="K125" s="219"/>
      <c r="L125" s="221"/>
    </row>
    <row r="126" spans="1:75" ht="13.5" customHeight="1">
      <c r="A126" s="1" t="s">
        <v>307</v>
      </c>
      <c r="B126" s="2" t="s">
        <v>116</v>
      </c>
      <c r="C126" s="2" t="s">
        <v>308</v>
      </c>
      <c r="D126" s="147" t="s">
        <v>309</v>
      </c>
      <c r="E126" s="148"/>
      <c r="F126" s="2" t="s">
        <v>123</v>
      </c>
      <c r="G126" s="55">
        <f>'Stavební rozpočet-vyplnit'!G126</f>
        <v>2</v>
      </c>
      <c r="H126" s="55">
        <f>'Stavební rozpočet-vyplnit'!H126</f>
        <v>0</v>
      </c>
      <c r="I126" s="55">
        <f>G126*H126</f>
        <v>0</v>
      </c>
      <c r="J126" s="55">
        <f>'Stavební rozpočet-vyplnit'!J126</f>
        <v>0</v>
      </c>
      <c r="K126" s="55">
        <f>G126*J126</f>
        <v>0</v>
      </c>
      <c r="L126" s="57" t="s">
        <v>124</v>
      </c>
      <c r="Z126" s="55">
        <f>IF(AQ126="5",BJ126,0)</f>
        <v>0</v>
      </c>
      <c r="AB126" s="55">
        <f>IF(AQ126="1",BH126,0)</f>
        <v>0</v>
      </c>
      <c r="AC126" s="55">
        <f>IF(AQ126="1",BI126,0)</f>
        <v>0</v>
      </c>
      <c r="AD126" s="55">
        <f>IF(AQ126="7",BH126,0)</f>
        <v>0</v>
      </c>
      <c r="AE126" s="55">
        <f>IF(AQ126="7",BI126,0)</f>
        <v>0</v>
      </c>
      <c r="AF126" s="55">
        <f>IF(AQ126="2",BH126,0)</f>
        <v>0</v>
      </c>
      <c r="AG126" s="55">
        <f>IF(AQ126="2",BI126,0)</f>
        <v>0</v>
      </c>
      <c r="AH126" s="55">
        <f>IF(AQ126="0",BJ126,0)</f>
        <v>0</v>
      </c>
      <c r="AI126" s="34" t="s">
        <v>116</v>
      </c>
      <c r="AJ126" s="55">
        <f>IF(AN126=0,I126,0)</f>
        <v>0</v>
      </c>
      <c r="AK126" s="55">
        <f>IF(AN126=12,I126,0)</f>
        <v>0</v>
      </c>
      <c r="AL126" s="55">
        <f>IF(AN126=21,I126,0)</f>
        <v>0</v>
      </c>
      <c r="AN126" s="55">
        <v>21</v>
      </c>
      <c r="AO126" s="55">
        <f>H126*0.952586207</f>
        <v>0</v>
      </c>
      <c r="AP126" s="55">
        <f>H126*(1-0.952586207)</f>
        <v>0</v>
      </c>
      <c r="AQ126" s="58" t="s">
        <v>125</v>
      </c>
      <c r="AV126" s="55">
        <f>AW126+AX126</f>
        <v>0</v>
      </c>
      <c r="AW126" s="55">
        <f>G126*AO126</f>
        <v>0</v>
      </c>
      <c r="AX126" s="55">
        <f>G126*AP126</f>
        <v>0</v>
      </c>
      <c r="AY126" s="58" t="s">
        <v>126</v>
      </c>
      <c r="AZ126" s="58" t="s">
        <v>127</v>
      </c>
      <c r="BA126" s="34" t="s">
        <v>128</v>
      </c>
      <c r="BC126" s="55">
        <f>AW126+AX126</f>
        <v>0</v>
      </c>
      <c r="BD126" s="55">
        <f>H126/(100-BE126)*100</f>
        <v>0</v>
      </c>
      <c r="BE126" s="55">
        <v>0</v>
      </c>
      <c r="BF126" s="55">
        <f>K126</f>
        <v>0</v>
      </c>
      <c r="BH126" s="55">
        <f>G126*AO126</f>
        <v>0</v>
      </c>
      <c r="BI126" s="55">
        <f>G126*AP126</f>
        <v>0</v>
      </c>
      <c r="BJ126" s="55">
        <f>G126*H126</f>
        <v>0</v>
      </c>
      <c r="BK126" s="55"/>
      <c r="BL126" s="55"/>
      <c r="BW126" s="55">
        <v>21</v>
      </c>
    </row>
    <row r="127" spans="1:12" ht="13.5" customHeight="1">
      <c r="A127" s="59"/>
      <c r="D127" s="218" t="s">
        <v>129</v>
      </c>
      <c r="E127" s="219"/>
      <c r="F127" s="219"/>
      <c r="G127" s="219"/>
      <c r="H127" s="219"/>
      <c r="I127" s="219"/>
      <c r="J127" s="219"/>
      <c r="K127" s="219"/>
      <c r="L127" s="221"/>
    </row>
    <row r="128" spans="1:75" ht="13.5" customHeight="1">
      <c r="A128" s="1" t="s">
        <v>310</v>
      </c>
      <c r="B128" s="2" t="s">
        <v>116</v>
      </c>
      <c r="C128" s="2" t="s">
        <v>311</v>
      </c>
      <c r="D128" s="147" t="s">
        <v>312</v>
      </c>
      <c r="E128" s="148"/>
      <c r="F128" s="2" t="s">
        <v>123</v>
      </c>
      <c r="G128" s="55">
        <f>'Stavební rozpočet-vyplnit'!G128</f>
        <v>22</v>
      </c>
      <c r="H128" s="55">
        <f>'Stavební rozpočet-vyplnit'!H128</f>
        <v>0</v>
      </c>
      <c r="I128" s="55">
        <f>G128*H128</f>
        <v>0</v>
      </c>
      <c r="J128" s="55">
        <f>'Stavební rozpočet-vyplnit'!J128</f>
        <v>0</v>
      </c>
      <c r="K128" s="55">
        <f>G128*J128</f>
        <v>0</v>
      </c>
      <c r="L128" s="57" t="s">
        <v>124</v>
      </c>
      <c r="Z128" s="55">
        <f>IF(AQ128="5",BJ128,0)</f>
        <v>0</v>
      </c>
      <c r="AB128" s="55">
        <f>IF(AQ128="1",BH128,0)</f>
        <v>0</v>
      </c>
      <c r="AC128" s="55">
        <f>IF(AQ128="1",BI128,0)</f>
        <v>0</v>
      </c>
      <c r="AD128" s="55">
        <f>IF(AQ128="7",BH128,0)</f>
        <v>0</v>
      </c>
      <c r="AE128" s="55">
        <f>IF(AQ128="7",BI128,0)</f>
        <v>0</v>
      </c>
      <c r="AF128" s="55">
        <f>IF(AQ128="2",BH128,0)</f>
        <v>0</v>
      </c>
      <c r="AG128" s="55">
        <f>IF(AQ128="2",BI128,0)</f>
        <v>0</v>
      </c>
      <c r="AH128" s="55">
        <f>IF(AQ128="0",BJ128,0)</f>
        <v>0</v>
      </c>
      <c r="AI128" s="34" t="s">
        <v>116</v>
      </c>
      <c r="AJ128" s="55">
        <f>IF(AN128=0,I128,0)</f>
        <v>0</v>
      </c>
      <c r="AK128" s="55">
        <f>IF(AN128=12,I128,0)</f>
        <v>0</v>
      </c>
      <c r="AL128" s="55">
        <f>IF(AN128=21,I128,0)</f>
        <v>0</v>
      </c>
      <c r="AN128" s="55">
        <v>21</v>
      </c>
      <c r="AO128" s="55">
        <f>H128*0.943078913</f>
        <v>0</v>
      </c>
      <c r="AP128" s="55">
        <f>H128*(1-0.943078913)</f>
        <v>0</v>
      </c>
      <c r="AQ128" s="58" t="s">
        <v>125</v>
      </c>
      <c r="AV128" s="55">
        <f>AW128+AX128</f>
        <v>0</v>
      </c>
      <c r="AW128" s="55">
        <f>G128*AO128</f>
        <v>0</v>
      </c>
      <c r="AX128" s="55">
        <f>G128*AP128</f>
        <v>0</v>
      </c>
      <c r="AY128" s="58" t="s">
        <v>126</v>
      </c>
      <c r="AZ128" s="58" t="s">
        <v>127</v>
      </c>
      <c r="BA128" s="34" t="s">
        <v>128</v>
      </c>
      <c r="BC128" s="55">
        <f>AW128+AX128</f>
        <v>0</v>
      </c>
      <c r="BD128" s="55">
        <f>H128/(100-BE128)*100</f>
        <v>0</v>
      </c>
      <c r="BE128" s="55">
        <v>0</v>
      </c>
      <c r="BF128" s="55">
        <f>K128</f>
        <v>0</v>
      </c>
      <c r="BH128" s="55">
        <f>G128*AO128</f>
        <v>0</v>
      </c>
      <c r="BI128" s="55">
        <f>G128*AP128</f>
        <v>0</v>
      </c>
      <c r="BJ128" s="55">
        <f>G128*H128</f>
        <v>0</v>
      </c>
      <c r="BK128" s="55"/>
      <c r="BL128" s="55"/>
      <c r="BW128" s="55">
        <v>21</v>
      </c>
    </row>
    <row r="129" spans="1:12" ht="13.5" customHeight="1">
      <c r="A129" s="59"/>
      <c r="D129" s="218" t="s">
        <v>129</v>
      </c>
      <c r="E129" s="219"/>
      <c r="F129" s="219"/>
      <c r="G129" s="219"/>
      <c r="H129" s="219"/>
      <c r="I129" s="219"/>
      <c r="J129" s="219"/>
      <c r="K129" s="219"/>
      <c r="L129" s="221"/>
    </row>
    <row r="130" spans="1:75" ht="13.5" customHeight="1">
      <c r="A130" s="1" t="s">
        <v>313</v>
      </c>
      <c r="B130" s="2" t="s">
        <v>116</v>
      </c>
      <c r="C130" s="2" t="s">
        <v>314</v>
      </c>
      <c r="D130" s="147" t="s">
        <v>315</v>
      </c>
      <c r="E130" s="148"/>
      <c r="F130" s="2" t="s">
        <v>123</v>
      </c>
      <c r="G130" s="55">
        <f>'Stavební rozpočet-vyplnit'!G130</f>
        <v>13</v>
      </c>
      <c r="H130" s="55">
        <f>'Stavební rozpočet-vyplnit'!H130</f>
        <v>0</v>
      </c>
      <c r="I130" s="55">
        <f>G130*H130</f>
        <v>0</v>
      </c>
      <c r="J130" s="55">
        <f>'Stavební rozpočet-vyplnit'!J130</f>
        <v>0</v>
      </c>
      <c r="K130" s="55">
        <f>G130*J130</f>
        <v>0</v>
      </c>
      <c r="L130" s="57" t="s">
        <v>124</v>
      </c>
      <c r="Z130" s="55">
        <f>IF(AQ130="5",BJ130,0)</f>
        <v>0</v>
      </c>
      <c r="AB130" s="55">
        <f>IF(AQ130="1",BH130,0)</f>
        <v>0</v>
      </c>
      <c r="AC130" s="55">
        <f>IF(AQ130="1",BI130,0)</f>
        <v>0</v>
      </c>
      <c r="AD130" s="55">
        <f>IF(AQ130="7",BH130,0)</f>
        <v>0</v>
      </c>
      <c r="AE130" s="55">
        <f>IF(AQ130="7",BI130,0)</f>
        <v>0</v>
      </c>
      <c r="AF130" s="55">
        <f>IF(AQ130="2",BH130,0)</f>
        <v>0</v>
      </c>
      <c r="AG130" s="55">
        <f>IF(AQ130="2",BI130,0)</f>
        <v>0</v>
      </c>
      <c r="AH130" s="55">
        <f>IF(AQ130="0",BJ130,0)</f>
        <v>0</v>
      </c>
      <c r="AI130" s="34" t="s">
        <v>116</v>
      </c>
      <c r="AJ130" s="55">
        <f>IF(AN130=0,I130,0)</f>
        <v>0</v>
      </c>
      <c r="AK130" s="55">
        <f>IF(AN130=12,I130,0)</f>
        <v>0</v>
      </c>
      <c r="AL130" s="55">
        <f>IF(AN130=21,I130,0)</f>
        <v>0</v>
      </c>
      <c r="AN130" s="55">
        <v>21</v>
      </c>
      <c r="AO130" s="55">
        <f>H130*0.952586207</f>
        <v>0</v>
      </c>
      <c r="AP130" s="55">
        <f>H130*(1-0.952586207)</f>
        <v>0</v>
      </c>
      <c r="AQ130" s="58" t="s">
        <v>125</v>
      </c>
      <c r="AV130" s="55">
        <f>AW130+AX130</f>
        <v>0</v>
      </c>
      <c r="AW130" s="55">
        <f>G130*AO130</f>
        <v>0</v>
      </c>
      <c r="AX130" s="55">
        <f>G130*AP130</f>
        <v>0</v>
      </c>
      <c r="AY130" s="58" t="s">
        <v>126</v>
      </c>
      <c r="AZ130" s="58" t="s">
        <v>127</v>
      </c>
      <c r="BA130" s="34" t="s">
        <v>128</v>
      </c>
      <c r="BC130" s="55">
        <f>AW130+AX130</f>
        <v>0</v>
      </c>
      <c r="BD130" s="55">
        <f>H130/(100-BE130)*100</f>
        <v>0</v>
      </c>
      <c r="BE130" s="55">
        <v>0</v>
      </c>
      <c r="BF130" s="55">
        <f>K130</f>
        <v>0</v>
      </c>
      <c r="BH130" s="55">
        <f>G130*AO130</f>
        <v>0</v>
      </c>
      <c r="BI130" s="55">
        <f>G130*AP130</f>
        <v>0</v>
      </c>
      <c r="BJ130" s="55">
        <f>G130*H130</f>
        <v>0</v>
      </c>
      <c r="BK130" s="55"/>
      <c r="BL130" s="55"/>
      <c r="BW130" s="55">
        <v>21</v>
      </c>
    </row>
    <row r="131" spans="1:12" ht="13.5" customHeight="1">
      <c r="A131" s="59"/>
      <c r="D131" s="218" t="s">
        <v>129</v>
      </c>
      <c r="E131" s="219"/>
      <c r="F131" s="219"/>
      <c r="G131" s="219"/>
      <c r="H131" s="219"/>
      <c r="I131" s="219"/>
      <c r="J131" s="219"/>
      <c r="K131" s="219"/>
      <c r="L131" s="221"/>
    </row>
    <row r="132" spans="1:75" ht="13.5" customHeight="1">
      <c r="A132" s="1" t="s">
        <v>316</v>
      </c>
      <c r="B132" s="2" t="s">
        <v>116</v>
      </c>
      <c r="C132" s="2" t="s">
        <v>317</v>
      </c>
      <c r="D132" s="147" t="s">
        <v>318</v>
      </c>
      <c r="E132" s="148"/>
      <c r="F132" s="2" t="s">
        <v>123</v>
      </c>
      <c r="G132" s="55">
        <f>'Stavební rozpočet-vyplnit'!G132</f>
        <v>4</v>
      </c>
      <c r="H132" s="55">
        <f>'Stavební rozpočet-vyplnit'!H132</f>
        <v>0</v>
      </c>
      <c r="I132" s="55">
        <f>G132*H132</f>
        <v>0</v>
      </c>
      <c r="J132" s="55">
        <f>'Stavební rozpočet-vyplnit'!J132</f>
        <v>0</v>
      </c>
      <c r="K132" s="55">
        <f>G132*J132</f>
        <v>0</v>
      </c>
      <c r="L132" s="57" t="s">
        <v>124</v>
      </c>
      <c r="Z132" s="55">
        <f>IF(AQ132="5",BJ132,0)</f>
        <v>0</v>
      </c>
      <c r="AB132" s="55">
        <f>IF(AQ132="1",BH132,0)</f>
        <v>0</v>
      </c>
      <c r="AC132" s="55">
        <f>IF(AQ132="1",BI132,0)</f>
        <v>0</v>
      </c>
      <c r="AD132" s="55">
        <f>IF(AQ132="7",BH132,0)</f>
        <v>0</v>
      </c>
      <c r="AE132" s="55">
        <f>IF(AQ132="7",BI132,0)</f>
        <v>0</v>
      </c>
      <c r="AF132" s="55">
        <f>IF(AQ132="2",BH132,0)</f>
        <v>0</v>
      </c>
      <c r="AG132" s="55">
        <f>IF(AQ132="2",BI132,0)</f>
        <v>0</v>
      </c>
      <c r="AH132" s="55">
        <f>IF(AQ132="0",BJ132,0)</f>
        <v>0</v>
      </c>
      <c r="AI132" s="34" t="s">
        <v>116</v>
      </c>
      <c r="AJ132" s="55">
        <f>IF(AN132=0,I132,0)</f>
        <v>0</v>
      </c>
      <c r="AK132" s="55">
        <f>IF(AN132=12,I132,0)</f>
        <v>0</v>
      </c>
      <c r="AL132" s="55">
        <f>IF(AN132=21,I132,0)</f>
        <v>0</v>
      </c>
      <c r="AN132" s="55">
        <v>21</v>
      </c>
      <c r="AO132" s="55">
        <f>H132*0.590690209</f>
        <v>0</v>
      </c>
      <c r="AP132" s="55">
        <f>H132*(1-0.590690209)</f>
        <v>0</v>
      </c>
      <c r="AQ132" s="58" t="s">
        <v>125</v>
      </c>
      <c r="AV132" s="55">
        <f>AW132+AX132</f>
        <v>0</v>
      </c>
      <c r="AW132" s="55">
        <f>G132*AO132</f>
        <v>0</v>
      </c>
      <c r="AX132" s="55">
        <f>G132*AP132</f>
        <v>0</v>
      </c>
      <c r="AY132" s="58" t="s">
        <v>126</v>
      </c>
      <c r="AZ132" s="58" t="s">
        <v>127</v>
      </c>
      <c r="BA132" s="34" t="s">
        <v>128</v>
      </c>
      <c r="BC132" s="55">
        <f>AW132+AX132</f>
        <v>0</v>
      </c>
      <c r="BD132" s="55">
        <f>H132/(100-BE132)*100</f>
        <v>0</v>
      </c>
      <c r="BE132" s="55">
        <v>0</v>
      </c>
      <c r="BF132" s="55">
        <f>K132</f>
        <v>0</v>
      </c>
      <c r="BH132" s="55">
        <f>G132*AO132</f>
        <v>0</v>
      </c>
      <c r="BI132" s="55">
        <f>G132*AP132</f>
        <v>0</v>
      </c>
      <c r="BJ132" s="55">
        <f>G132*H132</f>
        <v>0</v>
      </c>
      <c r="BK132" s="55"/>
      <c r="BL132" s="55"/>
      <c r="BW132" s="55">
        <v>21</v>
      </c>
    </row>
    <row r="133" spans="1:12" ht="13.5" customHeight="1">
      <c r="A133" s="59"/>
      <c r="D133" s="218" t="s">
        <v>129</v>
      </c>
      <c r="E133" s="219"/>
      <c r="F133" s="219"/>
      <c r="G133" s="219"/>
      <c r="H133" s="219"/>
      <c r="I133" s="219"/>
      <c r="J133" s="219"/>
      <c r="K133" s="219"/>
      <c r="L133" s="221"/>
    </row>
    <row r="134" spans="1:75" ht="13.5" customHeight="1">
      <c r="A134" s="1" t="s">
        <v>319</v>
      </c>
      <c r="B134" s="2" t="s">
        <v>116</v>
      </c>
      <c r="C134" s="2" t="s">
        <v>320</v>
      </c>
      <c r="D134" s="147" t="s">
        <v>321</v>
      </c>
      <c r="E134" s="148"/>
      <c r="F134" s="2" t="s">
        <v>123</v>
      </c>
      <c r="G134" s="55">
        <f>'Stavební rozpočet-vyplnit'!G134</f>
        <v>2</v>
      </c>
      <c r="H134" s="55">
        <f>'Stavební rozpočet-vyplnit'!H134</f>
        <v>0</v>
      </c>
      <c r="I134" s="55">
        <f>G134*H134</f>
        <v>0</v>
      </c>
      <c r="J134" s="55">
        <f>'Stavební rozpočet-vyplnit'!J134</f>
        <v>0</v>
      </c>
      <c r="K134" s="55">
        <f>G134*J134</f>
        <v>0</v>
      </c>
      <c r="L134" s="57" t="s">
        <v>124</v>
      </c>
      <c r="Z134" s="55">
        <f>IF(AQ134="5",BJ134,0)</f>
        <v>0</v>
      </c>
      <c r="AB134" s="55">
        <f>IF(AQ134="1",BH134,0)</f>
        <v>0</v>
      </c>
      <c r="AC134" s="55">
        <f>IF(AQ134="1",BI134,0)</f>
        <v>0</v>
      </c>
      <c r="AD134" s="55">
        <f>IF(AQ134="7",BH134,0)</f>
        <v>0</v>
      </c>
      <c r="AE134" s="55">
        <f>IF(AQ134="7",BI134,0)</f>
        <v>0</v>
      </c>
      <c r="AF134" s="55">
        <f>IF(AQ134="2",BH134,0)</f>
        <v>0</v>
      </c>
      <c r="AG134" s="55">
        <f>IF(AQ134="2",BI134,0)</f>
        <v>0</v>
      </c>
      <c r="AH134" s="55">
        <f>IF(AQ134="0",BJ134,0)</f>
        <v>0</v>
      </c>
      <c r="AI134" s="34" t="s">
        <v>116</v>
      </c>
      <c r="AJ134" s="55">
        <f>IF(AN134=0,I134,0)</f>
        <v>0</v>
      </c>
      <c r="AK134" s="55">
        <f>IF(AN134=12,I134,0)</f>
        <v>0</v>
      </c>
      <c r="AL134" s="55">
        <f>IF(AN134=21,I134,0)</f>
        <v>0</v>
      </c>
      <c r="AN134" s="55">
        <v>21</v>
      </c>
      <c r="AO134" s="55">
        <f>H134*0.627054362</f>
        <v>0</v>
      </c>
      <c r="AP134" s="55">
        <f>H134*(1-0.627054362)</f>
        <v>0</v>
      </c>
      <c r="AQ134" s="58" t="s">
        <v>125</v>
      </c>
      <c r="AV134" s="55">
        <f>AW134+AX134</f>
        <v>0</v>
      </c>
      <c r="AW134" s="55">
        <f>G134*AO134</f>
        <v>0</v>
      </c>
      <c r="AX134" s="55">
        <f>G134*AP134</f>
        <v>0</v>
      </c>
      <c r="AY134" s="58" t="s">
        <v>126</v>
      </c>
      <c r="AZ134" s="58" t="s">
        <v>127</v>
      </c>
      <c r="BA134" s="34" t="s">
        <v>128</v>
      </c>
      <c r="BC134" s="55">
        <f>AW134+AX134</f>
        <v>0</v>
      </c>
      <c r="BD134" s="55">
        <f>H134/(100-BE134)*100</f>
        <v>0</v>
      </c>
      <c r="BE134" s="55">
        <v>0</v>
      </c>
      <c r="BF134" s="55">
        <f>K134</f>
        <v>0</v>
      </c>
      <c r="BH134" s="55">
        <f>G134*AO134</f>
        <v>0</v>
      </c>
      <c r="BI134" s="55">
        <f>G134*AP134</f>
        <v>0</v>
      </c>
      <c r="BJ134" s="55">
        <f>G134*H134</f>
        <v>0</v>
      </c>
      <c r="BK134" s="55"/>
      <c r="BL134" s="55"/>
      <c r="BW134" s="55">
        <v>21</v>
      </c>
    </row>
    <row r="135" spans="1:12" ht="13.5" customHeight="1">
      <c r="A135" s="59"/>
      <c r="D135" s="218" t="s">
        <v>129</v>
      </c>
      <c r="E135" s="219"/>
      <c r="F135" s="219"/>
      <c r="G135" s="219"/>
      <c r="H135" s="219"/>
      <c r="I135" s="219"/>
      <c r="J135" s="219"/>
      <c r="K135" s="219"/>
      <c r="L135" s="221"/>
    </row>
    <row r="136" spans="1:75" ht="13.5" customHeight="1">
      <c r="A136" s="1" t="s">
        <v>322</v>
      </c>
      <c r="B136" s="2" t="s">
        <v>116</v>
      </c>
      <c r="C136" s="2" t="s">
        <v>323</v>
      </c>
      <c r="D136" s="147" t="s">
        <v>324</v>
      </c>
      <c r="E136" s="148"/>
      <c r="F136" s="2" t="s">
        <v>123</v>
      </c>
      <c r="G136" s="55">
        <f>'Stavební rozpočet-vyplnit'!G136</f>
        <v>1</v>
      </c>
      <c r="H136" s="55">
        <f>'Stavební rozpočet-vyplnit'!H136</f>
        <v>0</v>
      </c>
      <c r="I136" s="55">
        <f>G136*H136</f>
        <v>0</v>
      </c>
      <c r="J136" s="55">
        <f>'Stavební rozpočet-vyplnit'!J136</f>
        <v>0</v>
      </c>
      <c r="K136" s="55">
        <f>G136*J136</f>
        <v>0</v>
      </c>
      <c r="L136" s="57" t="s">
        <v>124</v>
      </c>
      <c r="Z136" s="55">
        <f>IF(AQ136="5",BJ136,0)</f>
        <v>0</v>
      </c>
      <c r="AB136" s="55">
        <f>IF(AQ136="1",BH136,0)</f>
        <v>0</v>
      </c>
      <c r="AC136" s="55">
        <f>IF(AQ136="1",BI136,0)</f>
        <v>0</v>
      </c>
      <c r="AD136" s="55">
        <f>IF(AQ136="7",BH136,0)</f>
        <v>0</v>
      </c>
      <c r="AE136" s="55">
        <f>IF(AQ136="7",BI136,0)</f>
        <v>0</v>
      </c>
      <c r="AF136" s="55">
        <f>IF(AQ136="2",BH136,0)</f>
        <v>0</v>
      </c>
      <c r="AG136" s="55">
        <f>IF(AQ136="2",BI136,0)</f>
        <v>0</v>
      </c>
      <c r="AH136" s="55">
        <f>IF(AQ136="0",BJ136,0)</f>
        <v>0</v>
      </c>
      <c r="AI136" s="34" t="s">
        <v>116</v>
      </c>
      <c r="AJ136" s="55">
        <f>IF(AN136=0,I136,0)</f>
        <v>0</v>
      </c>
      <c r="AK136" s="55">
        <f>IF(AN136=12,I136,0)</f>
        <v>0</v>
      </c>
      <c r="AL136" s="55">
        <f>IF(AN136=21,I136,0)</f>
        <v>0</v>
      </c>
      <c r="AN136" s="55">
        <v>21</v>
      </c>
      <c r="AO136" s="55">
        <f>H136*0.650473934</f>
        <v>0</v>
      </c>
      <c r="AP136" s="55">
        <f>H136*(1-0.650473934)</f>
        <v>0</v>
      </c>
      <c r="AQ136" s="58" t="s">
        <v>125</v>
      </c>
      <c r="AV136" s="55">
        <f>AW136+AX136</f>
        <v>0</v>
      </c>
      <c r="AW136" s="55">
        <f>G136*AO136</f>
        <v>0</v>
      </c>
      <c r="AX136" s="55">
        <f>G136*AP136</f>
        <v>0</v>
      </c>
      <c r="AY136" s="58" t="s">
        <v>126</v>
      </c>
      <c r="AZ136" s="58" t="s">
        <v>127</v>
      </c>
      <c r="BA136" s="34" t="s">
        <v>128</v>
      </c>
      <c r="BC136" s="55">
        <f>AW136+AX136</f>
        <v>0</v>
      </c>
      <c r="BD136" s="55">
        <f>H136/(100-BE136)*100</f>
        <v>0</v>
      </c>
      <c r="BE136" s="55">
        <v>0</v>
      </c>
      <c r="BF136" s="55">
        <f>K136</f>
        <v>0</v>
      </c>
      <c r="BH136" s="55">
        <f>G136*AO136</f>
        <v>0</v>
      </c>
      <c r="BI136" s="55">
        <f>G136*AP136</f>
        <v>0</v>
      </c>
      <c r="BJ136" s="55">
        <f>G136*H136</f>
        <v>0</v>
      </c>
      <c r="BK136" s="55"/>
      <c r="BL136" s="55"/>
      <c r="BW136" s="55">
        <v>21</v>
      </c>
    </row>
    <row r="137" spans="1:12" ht="13.5" customHeight="1">
      <c r="A137" s="59"/>
      <c r="D137" s="218" t="s">
        <v>129</v>
      </c>
      <c r="E137" s="219"/>
      <c r="F137" s="219"/>
      <c r="G137" s="219"/>
      <c r="H137" s="219"/>
      <c r="I137" s="219"/>
      <c r="J137" s="219"/>
      <c r="K137" s="219"/>
      <c r="L137" s="221"/>
    </row>
    <row r="138" spans="1:75" ht="13.5" customHeight="1">
      <c r="A138" s="1" t="s">
        <v>325</v>
      </c>
      <c r="B138" s="2" t="s">
        <v>116</v>
      </c>
      <c r="C138" s="2" t="s">
        <v>326</v>
      </c>
      <c r="D138" s="147" t="s">
        <v>327</v>
      </c>
      <c r="E138" s="148"/>
      <c r="F138" s="2" t="s">
        <v>123</v>
      </c>
      <c r="G138" s="55">
        <f>'Stavební rozpočet-vyplnit'!G138</f>
        <v>1</v>
      </c>
      <c r="H138" s="55">
        <f>'Stavební rozpočet-vyplnit'!H138</f>
        <v>0</v>
      </c>
      <c r="I138" s="55">
        <f>G138*H138</f>
        <v>0</v>
      </c>
      <c r="J138" s="55">
        <f>'Stavební rozpočet-vyplnit'!J138</f>
        <v>0</v>
      </c>
      <c r="K138" s="55">
        <f>G138*J138</f>
        <v>0</v>
      </c>
      <c r="L138" s="57" t="s">
        <v>124</v>
      </c>
      <c r="Z138" s="55">
        <f>IF(AQ138="5",BJ138,0)</f>
        <v>0</v>
      </c>
      <c r="AB138" s="55">
        <f>IF(AQ138="1",BH138,0)</f>
        <v>0</v>
      </c>
      <c r="AC138" s="55">
        <f>IF(AQ138="1",BI138,0)</f>
        <v>0</v>
      </c>
      <c r="AD138" s="55">
        <f>IF(AQ138="7",BH138,0)</f>
        <v>0</v>
      </c>
      <c r="AE138" s="55">
        <f>IF(AQ138="7",BI138,0)</f>
        <v>0</v>
      </c>
      <c r="AF138" s="55">
        <f>IF(AQ138="2",BH138,0)</f>
        <v>0</v>
      </c>
      <c r="AG138" s="55">
        <f>IF(AQ138="2",BI138,0)</f>
        <v>0</v>
      </c>
      <c r="AH138" s="55">
        <f>IF(AQ138="0",BJ138,0)</f>
        <v>0</v>
      </c>
      <c r="AI138" s="34" t="s">
        <v>116</v>
      </c>
      <c r="AJ138" s="55">
        <f>IF(AN138=0,I138,0)</f>
        <v>0</v>
      </c>
      <c r="AK138" s="55">
        <f>IF(AN138=12,I138,0)</f>
        <v>0</v>
      </c>
      <c r="AL138" s="55">
        <f>IF(AN138=21,I138,0)</f>
        <v>0</v>
      </c>
      <c r="AN138" s="55">
        <v>21</v>
      </c>
      <c r="AO138" s="55">
        <f>H138*0.665911665</f>
        <v>0</v>
      </c>
      <c r="AP138" s="55">
        <f>H138*(1-0.665911665)</f>
        <v>0</v>
      </c>
      <c r="AQ138" s="58" t="s">
        <v>125</v>
      </c>
      <c r="AV138" s="55">
        <f>AW138+AX138</f>
        <v>0</v>
      </c>
      <c r="AW138" s="55">
        <f>G138*AO138</f>
        <v>0</v>
      </c>
      <c r="AX138" s="55">
        <f>G138*AP138</f>
        <v>0</v>
      </c>
      <c r="AY138" s="58" t="s">
        <v>126</v>
      </c>
      <c r="AZ138" s="58" t="s">
        <v>127</v>
      </c>
      <c r="BA138" s="34" t="s">
        <v>128</v>
      </c>
      <c r="BC138" s="55">
        <f>AW138+AX138</f>
        <v>0</v>
      </c>
      <c r="BD138" s="55">
        <f>H138/(100-BE138)*100</f>
        <v>0</v>
      </c>
      <c r="BE138" s="55">
        <v>0</v>
      </c>
      <c r="BF138" s="55">
        <f>K138</f>
        <v>0</v>
      </c>
      <c r="BH138" s="55">
        <f>G138*AO138</f>
        <v>0</v>
      </c>
      <c r="BI138" s="55">
        <f>G138*AP138</f>
        <v>0</v>
      </c>
      <c r="BJ138" s="55">
        <f>G138*H138</f>
        <v>0</v>
      </c>
      <c r="BK138" s="55"/>
      <c r="BL138" s="55"/>
      <c r="BW138" s="55">
        <v>21</v>
      </c>
    </row>
    <row r="139" spans="1:12" ht="13.5" customHeight="1">
      <c r="A139" s="59"/>
      <c r="D139" s="218" t="s">
        <v>129</v>
      </c>
      <c r="E139" s="219"/>
      <c r="F139" s="219"/>
      <c r="G139" s="219"/>
      <c r="H139" s="219"/>
      <c r="I139" s="219"/>
      <c r="J139" s="219"/>
      <c r="K139" s="219"/>
      <c r="L139" s="221"/>
    </row>
    <row r="140" spans="1:75" ht="13.5" customHeight="1">
      <c r="A140" s="1" t="s">
        <v>328</v>
      </c>
      <c r="B140" s="2" t="s">
        <v>116</v>
      </c>
      <c r="C140" s="2" t="s">
        <v>329</v>
      </c>
      <c r="D140" s="147" t="s">
        <v>330</v>
      </c>
      <c r="E140" s="148"/>
      <c r="F140" s="2" t="s">
        <v>123</v>
      </c>
      <c r="G140" s="55">
        <f>'Stavební rozpočet-vyplnit'!G140</f>
        <v>1</v>
      </c>
      <c r="H140" s="55">
        <f>'Stavební rozpočet-vyplnit'!H140</f>
        <v>0</v>
      </c>
      <c r="I140" s="55">
        <f>G140*H140</f>
        <v>0</v>
      </c>
      <c r="J140" s="55">
        <f>'Stavební rozpočet-vyplnit'!J140</f>
        <v>0</v>
      </c>
      <c r="K140" s="55">
        <f>G140*J140</f>
        <v>0</v>
      </c>
      <c r="L140" s="57" t="s">
        <v>124</v>
      </c>
      <c r="Z140" s="55">
        <f>IF(AQ140="5",BJ140,0)</f>
        <v>0</v>
      </c>
      <c r="AB140" s="55">
        <f>IF(AQ140="1",BH140,0)</f>
        <v>0</v>
      </c>
      <c r="AC140" s="55">
        <f>IF(AQ140="1",BI140,0)</f>
        <v>0</v>
      </c>
      <c r="AD140" s="55">
        <f>IF(AQ140="7",BH140,0)</f>
        <v>0</v>
      </c>
      <c r="AE140" s="55">
        <f>IF(AQ140="7",BI140,0)</f>
        <v>0</v>
      </c>
      <c r="AF140" s="55">
        <f>IF(AQ140="2",BH140,0)</f>
        <v>0</v>
      </c>
      <c r="AG140" s="55">
        <f>IF(AQ140="2",BI140,0)</f>
        <v>0</v>
      </c>
      <c r="AH140" s="55">
        <f>IF(AQ140="0",BJ140,0)</f>
        <v>0</v>
      </c>
      <c r="AI140" s="34" t="s">
        <v>116</v>
      </c>
      <c r="AJ140" s="55">
        <f>IF(AN140=0,I140,0)</f>
        <v>0</v>
      </c>
      <c r="AK140" s="55">
        <f>IF(AN140=12,I140,0)</f>
        <v>0</v>
      </c>
      <c r="AL140" s="55">
        <f>IF(AN140=21,I140,0)</f>
        <v>0</v>
      </c>
      <c r="AN140" s="55">
        <v>21</v>
      </c>
      <c r="AO140" s="55">
        <f>H140*0.825923942</f>
        <v>0</v>
      </c>
      <c r="AP140" s="55">
        <f>H140*(1-0.825923942)</f>
        <v>0</v>
      </c>
      <c r="AQ140" s="58" t="s">
        <v>125</v>
      </c>
      <c r="AV140" s="55">
        <f>AW140+AX140</f>
        <v>0</v>
      </c>
      <c r="AW140" s="55">
        <f>G140*AO140</f>
        <v>0</v>
      </c>
      <c r="AX140" s="55">
        <f>G140*AP140</f>
        <v>0</v>
      </c>
      <c r="AY140" s="58" t="s">
        <v>126</v>
      </c>
      <c r="AZ140" s="58" t="s">
        <v>127</v>
      </c>
      <c r="BA140" s="34" t="s">
        <v>128</v>
      </c>
      <c r="BC140" s="55">
        <f>AW140+AX140</f>
        <v>0</v>
      </c>
      <c r="BD140" s="55">
        <f>H140/(100-BE140)*100</f>
        <v>0</v>
      </c>
      <c r="BE140" s="55">
        <v>0</v>
      </c>
      <c r="BF140" s="55">
        <f>K140</f>
        <v>0</v>
      </c>
      <c r="BH140" s="55">
        <f>G140*AO140</f>
        <v>0</v>
      </c>
      <c r="BI140" s="55">
        <f>G140*AP140</f>
        <v>0</v>
      </c>
      <c r="BJ140" s="55">
        <f>G140*H140</f>
        <v>0</v>
      </c>
      <c r="BK140" s="55"/>
      <c r="BL140" s="55"/>
      <c r="BW140" s="55">
        <v>21</v>
      </c>
    </row>
    <row r="141" spans="1:12" ht="13.5" customHeight="1">
      <c r="A141" s="59"/>
      <c r="D141" s="218" t="s">
        <v>129</v>
      </c>
      <c r="E141" s="219"/>
      <c r="F141" s="219"/>
      <c r="G141" s="219"/>
      <c r="H141" s="219"/>
      <c r="I141" s="219"/>
      <c r="J141" s="219"/>
      <c r="K141" s="219"/>
      <c r="L141" s="221"/>
    </row>
    <row r="142" spans="1:75" ht="13.5" customHeight="1">
      <c r="A142" s="1" t="s">
        <v>331</v>
      </c>
      <c r="B142" s="2" t="s">
        <v>116</v>
      </c>
      <c r="C142" s="2" t="s">
        <v>332</v>
      </c>
      <c r="D142" s="147" t="s">
        <v>333</v>
      </c>
      <c r="E142" s="148"/>
      <c r="F142" s="2" t="s">
        <v>123</v>
      </c>
      <c r="G142" s="55">
        <f>'Stavební rozpočet-vyplnit'!G142</f>
        <v>1</v>
      </c>
      <c r="H142" s="55">
        <f>'Stavební rozpočet-vyplnit'!H142</f>
        <v>0</v>
      </c>
      <c r="I142" s="55">
        <f>G142*H142</f>
        <v>0</v>
      </c>
      <c r="J142" s="55">
        <f>'Stavební rozpočet-vyplnit'!J142</f>
        <v>0</v>
      </c>
      <c r="K142" s="55">
        <f>G142*J142</f>
        <v>0</v>
      </c>
      <c r="L142" s="57" t="s">
        <v>124</v>
      </c>
      <c r="Z142" s="55">
        <f>IF(AQ142="5",BJ142,0)</f>
        <v>0</v>
      </c>
      <c r="AB142" s="55">
        <f>IF(AQ142="1",BH142,0)</f>
        <v>0</v>
      </c>
      <c r="AC142" s="55">
        <f>IF(AQ142="1",BI142,0)</f>
        <v>0</v>
      </c>
      <c r="AD142" s="55">
        <f>IF(AQ142="7",BH142,0)</f>
        <v>0</v>
      </c>
      <c r="AE142" s="55">
        <f>IF(AQ142="7",BI142,0)</f>
        <v>0</v>
      </c>
      <c r="AF142" s="55">
        <f>IF(AQ142="2",BH142,0)</f>
        <v>0</v>
      </c>
      <c r="AG142" s="55">
        <f>IF(AQ142="2",BI142,0)</f>
        <v>0</v>
      </c>
      <c r="AH142" s="55">
        <f>IF(AQ142="0",BJ142,0)</f>
        <v>0</v>
      </c>
      <c r="AI142" s="34" t="s">
        <v>116</v>
      </c>
      <c r="AJ142" s="55">
        <f>IF(AN142=0,I142,0)</f>
        <v>0</v>
      </c>
      <c r="AK142" s="55">
        <f>IF(AN142=12,I142,0)</f>
        <v>0</v>
      </c>
      <c r="AL142" s="55">
        <f>IF(AN142=21,I142,0)</f>
        <v>0</v>
      </c>
      <c r="AN142" s="55">
        <v>21</v>
      </c>
      <c r="AO142" s="55">
        <f>H142*0.069767442</f>
        <v>0</v>
      </c>
      <c r="AP142" s="55">
        <f>H142*(1-0.069767442)</f>
        <v>0</v>
      </c>
      <c r="AQ142" s="58" t="s">
        <v>125</v>
      </c>
      <c r="AV142" s="55">
        <f>AW142+AX142</f>
        <v>0</v>
      </c>
      <c r="AW142" s="55">
        <f>G142*AO142</f>
        <v>0</v>
      </c>
      <c r="AX142" s="55">
        <f>G142*AP142</f>
        <v>0</v>
      </c>
      <c r="AY142" s="58" t="s">
        <v>126</v>
      </c>
      <c r="AZ142" s="58" t="s">
        <v>127</v>
      </c>
      <c r="BA142" s="34" t="s">
        <v>128</v>
      </c>
      <c r="BC142" s="55">
        <f>AW142+AX142</f>
        <v>0</v>
      </c>
      <c r="BD142" s="55">
        <f>H142/(100-BE142)*100</f>
        <v>0</v>
      </c>
      <c r="BE142" s="55">
        <v>0</v>
      </c>
      <c r="BF142" s="55">
        <f>K142</f>
        <v>0</v>
      </c>
      <c r="BH142" s="55">
        <f>G142*AO142</f>
        <v>0</v>
      </c>
      <c r="BI142" s="55">
        <f>G142*AP142</f>
        <v>0</v>
      </c>
      <c r="BJ142" s="55">
        <f>G142*H142</f>
        <v>0</v>
      </c>
      <c r="BK142" s="55"/>
      <c r="BL142" s="55"/>
      <c r="BW142" s="55">
        <v>21</v>
      </c>
    </row>
    <row r="143" spans="1:12" ht="13.5" customHeight="1">
      <c r="A143" s="59"/>
      <c r="D143" s="218" t="s">
        <v>129</v>
      </c>
      <c r="E143" s="219"/>
      <c r="F143" s="219"/>
      <c r="G143" s="219"/>
      <c r="H143" s="219"/>
      <c r="I143" s="219"/>
      <c r="J143" s="219"/>
      <c r="K143" s="219"/>
      <c r="L143" s="221"/>
    </row>
    <row r="144" spans="1:75" ht="13.5" customHeight="1">
      <c r="A144" s="1" t="s">
        <v>334</v>
      </c>
      <c r="B144" s="2" t="s">
        <v>116</v>
      </c>
      <c r="C144" s="2" t="s">
        <v>335</v>
      </c>
      <c r="D144" s="147" t="s">
        <v>336</v>
      </c>
      <c r="E144" s="148"/>
      <c r="F144" s="2" t="s">
        <v>123</v>
      </c>
      <c r="G144" s="55">
        <f>'Stavební rozpočet-vyplnit'!G144</f>
        <v>1</v>
      </c>
      <c r="H144" s="55">
        <f>'Stavební rozpočet-vyplnit'!H144</f>
        <v>0</v>
      </c>
      <c r="I144" s="55">
        <f>G144*H144</f>
        <v>0</v>
      </c>
      <c r="J144" s="55">
        <f>'Stavební rozpočet-vyplnit'!J144</f>
        <v>0</v>
      </c>
      <c r="K144" s="55">
        <f>G144*J144</f>
        <v>0</v>
      </c>
      <c r="L144" s="57" t="s">
        <v>124</v>
      </c>
      <c r="Z144" s="55">
        <f>IF(AQ144="5",BJ144,0)</f>
        <v>0</v>
      </c>
      <c r="AB144" s="55">
        <f>IF(AQ144="1",BH144,0)</f>
        <v>0</v>
      </c>
      <c r="AC144" s="55">
        <f>IF(AQ144="1",BI144,0)</f>
        <v>0</v>
      </c>
      <c r="AD144" s="55">
        <f>IF(AQ144="7",BH144,0)</f>
        <v>0</v>
      </c>
      <c r="AE144" s="55">
        <f>IF(AQ144="7",BI144,0)</f>
        <v>0</v>
      </c>
      <c r="AF144" s="55">
        <f>IF(AQ144="2",BH144,0)</f>
        <v>0</v>
      </c>
      <c r="AG144" s="55">
        <f>IF(AQ144="2",BI144,0)</f>
        <v>0</v>
      </c>
      <c r="AH144" s="55">
        <f>IF(AQ144="0",BJ144,0)</f>
        <v>0</v>
      </c>
      <c r="AI144" s="34" t="s">
        <v>116</v>
      </c>
      <c r="AJ144" s="55">
        <f>IF(AN144=0,I144,0)</f>
        <v>0</v>
      </c>
      <c r="AK144" s="55">
        <f>IF(AN144=12,I144,0)</f>
        <v>0</v>
      </c>
      <c r="AL144" s="55">
        <f>IF(AN144=21,I144,0)</f>
        <v>0</v>
      </c>
      <c r="AN144" s="55">
        <v>21</v>
      </c>
      <c r="AO144" s="55">
        <f>H144*0.972396487</f>
        <v>0</v>
      </c>
      <c r="AP144" s="55">
        <f>H144*(1-0.972396487)</f>
        <v>0</v>
      </c>
      <c r="AQ144" s="58" t="s">
        <v>125</v>
      </c>
      <c r="AV144" s="55">
        <f>AW144+AX144</f>
        <v>0</v>
      </c>
      <c r="AW144" s="55">
        <f>G144*AO144</f>
        <v>0</v>
      </c>
      <c r="AX144" s="55">
        <f>G144*AP144</f>
        <v>0</v>
      </c>
      <c r="AY144" s="58" t="s">
        <v>126</v>
      </c>
      <c r="AZ144" s="58" t="s">
        <v>127</v>
      </c>
      <c r="BA144" s="34" t="s">
        <v>128</v>
      </c>
      <c r="BC144" s="55">
        <f>AW144+AX144</f>
        <v>0</v>
      </c>
      <c r="BD144" s="55">
        <f>H144/(100-BE144)*100</f>
        <v>0</v>
      </c>
      <c r="BE144" s="55">
        <v>0</v>
      </c>
      <c r="BF144" s="55">
        <f>K144</f>
        <v>0</v>
      </c>
      <c r="BH144" s="55">
        <f>G144*AO144</f>
        <v>0</v>
      </c>
      <c r="BI144" s="55">
        <f>G144*AP144</f>
        <v>0</v>
      </c>
      <c r="BJ144" s="55">
        <f>G144*H144</f>
        <v>0</v>
      </c>
      <c r="BK144" s="55"/>
      <c r="BL144" s="55"/>
      <c r="BW144" s="55">
        <v>21</v>
      </c>
    </row>
    <row r="145" spans="1:12" ht="13.5" customHeight="1">
      <c r="A145" s="59"/>
      <c r="D145" s="218" t="s">
        <v>129</v>
      </c>
      <c r="E145" s="219"/>
      <c r="F145" s="219"/>
      <c r="G145" s="219"/>
      <c r="H145" s="219"/>
      <c r="I145" s="219"/>
      <c r="J145" s="219"/>
      <c r="K145" s="219"/>
      <c r="L145" s="221"/>
    </row>
    <row r="146" spans="1:75" ht="13.5" customHeight="1">
      <c r="A146" s="1" t="s">
        <v>337</v>
      </c>
      <c r="B146" s="2" t="s">
        <v>116</v>
      </c>
      <c r="C146" s="2" t="s">
        <v>338</v>
      </c>
      <c r="D146" s="147" t="s">
        <v>339</v>
      </c>
      <c r="E146" s="148"/>
      <c r="F146" s="2" t="s">
        <v>123</v>
      </c>
      <c r="G146" s="55">
        <f>'Stavební rozpočet-vyplnit'!G146</f>
        <v>1</v>
      </c>
      <c r="H146" s="55">
        <f>'Stavební rozpočet-vyplnit'!H146</f>
        <v>0</v>
      </c>
      <c r="I146" s="55">
        <f>G146*H146</f>
        <v>0</v>
      </c>
      <c r="J146" s="55">
        <f>'Stavební rozpočet-vyplnit'!J146</f>
        <v>0</v>
      </c>
      <c r="K146" s="55">
        <f>G146*J146</f>
        <v>0</v>
      </c>
      <c r="L146" s="57" t="s">
        <v>124</v>
      </c>
      <c r="Z146" s="55">
        <f>IF(AQ146="5",BJ146,0)</f>
        <v>0</v>
      </c>
      <c r="AB146" s="55">
        <f>IF(AQ146="1",BH146,0)</f>
        <v>0</v>
      </c>
      <c r="AC146" s="55">
        <f>IF(AQ146="1",BI146,0)</f>
        <v>0</v>
      </c>
      <c r="AD146" s="55">
        <f>IF(AQ146="7",BH146,0)</f>
        <v>0</v>
      </c>
      <c r="AE146" s="55">
        <f>IF(AQ146="7",BI146,0)</f>
        <v>0</v>
      </c>
      <c r="AF146" s="55">
        <f>IF(AQ146="2",BH146,0)</f>
        <v>0</v>
      </c>
      <c r="AG146" s="55">
        <f>IF(AQ146="2",BI146,0)</f>
        <v>0</v>
      </c>
      <c r="AH146" s="55">
        <f>IF(AQ146="0",BJ146,0)</f>
        <v>0</v>
      </c>
      <c r="AI146" s="34" t="s">
        <v>116</v>
      </c>
      <c r="AJ146" s="55">
        <f>IF(AN146=0,I146,0)</f>
        <v>0</v>
      </c>
      <c r="AK146" s="55">
        <f>IF(AN146=12,I146,0)</f>
        <v>0</v>
      </c>
      <c r="AL146" s="55">
        <f>IF(AN146=21,I146,0)</f>
        <v>0</v>
      </c>
      <c r="AN146" s="55">
        <v>21</v>
      </c>
      <c r="AO146" s="55">
        <f>H146*0.893723431</f>
        <v>0</v>
      </c>
      <c r="AP146" s="55">
        <f>H146*(1-0.893723431)</f>
        <v>0</v>
      </c>
      <c r="AQ146" s="58" t="s">
        <v>125</v>
      </c>
      <c r="AV146" s="55">
        <f>AW146+AX146</f>
        <v>0</v>
      </c>
      <c r="AW146" s="55">
        <f>G146*AO146</f>
        <v>0</v>
      </c>
      <c r="AX146" s="55">
        <f>G146*AP146</f>
        <v>0</v>
      </c>
      <c r="AY146" s="58" t="s">
        <v>126</v>
      </c>
      <c r="AZ146" s="58" t="s">
        <v>127</v>
      </c>
      <c r="BA146" s="34" t="s">
        <v>128</v>
      </c>
      <c r="BC146" s="55">
        <f>AW146+AX146</f>
        <v>0</v>
      </c>
      <c r="BD146" s="55">
        <f>H146/(100-BE146)*100</f>
        <v>0</v>
      </c>
      <c r="BE146" s="55">
        <v>0</v>
      </c>
      <c r="BF146" s="55">
        <f>K146</f>
        <v>0</v>
      </c>
      <c r="BH146" s="55">
        <f>G146*AO146</f>
        <v>0</v>
      </c>
      <c r="BI146" s="55">
        <f>G146*AP146</f>
        <v>0</v>
      </c>
      <c r="BJ146" s="55">
        <f>G146*H146</f>
        <v>0</v>
      </c>
      <c r="BK146" s="55"/>
      <c r="BL146" s="55"/>
      <c r="BW146" s="55">
        <v>21</v>
      </c>
    </row>
    <row r="147" spans="1:12" ht="13.5" customHeight="1">
      <c r="A147" s="59"/>
      <c r="D147" s="218" t="s">
        <v>129</v>
      </c>
      <c r="E147" s="219"/>
      <c r="F147" s="219"/>
      <c r="G147" s="219"/>
      <c r="H147" s="219"/>
      <c r="I147" s="219"/>
      <c r="J147" s="219"/>
      <c r="K147" s="219"/>
      <c r="L147" s="221"/>
    </row>
    <row r="148" spans="1:75" ht="13.5" customHeight="1">
      <c r="A148" s="1" t="s">
        <v>340</v>
      </c>
      <c r="B148" s="2" t="s">
        <v>116</v>
      </c>
      <c r="C148" s="2" t="s">
        <v>341</v>
      </c>
      <c r="D148" s="147" t="s">
        <v>342</v>
      </c>
      <c r="E148" s="148"/>
      <c r="F148" s="2" t="s">
        <v>123</v>
      </c>
      <c r="G148" s="55">
        <f>'Stavební rozpočet-vyplnit'!G148</f>
        <v>1</v>
      </c>
      <c r="H148" s="55">
        <f>'Stavební rozpočet-vyplnit'!H148</f>
        <v>0</v>
      </c>
      <c r="I148" s="55">
        <f>G148*H148</f>
        <v>0</v>
      </c>
      <c r="J148" s="55">
        <f>'Stavební rozpočet-vyplnit'!J148</f>
        <v>0</v>
      </c>
      <c r="K148" s="55">
        <f>G148*J148</f>
        <v>0</v>
      </c>
      <c r="L148" s="57" t="s">
        <v>124</v>
      </c>
      <c r="Z148" s="55">
        <f>IF(AQ148="5",BJ148,0)</f>
        <v>0</v>
      </c>
      <c r="AB148" s="55">
        <f>IF(AQ148="1",BH148,0)</f>
        <v>0</v>
      </c>
      <c r="AC148" s="55">
        <f>IF(AQ148="1",BI148,0)</f>
        <v>0</v>
      </c>
      <c r="AD148" s="55">
        <f>IF(AQ148="7",BH148,0)</f>
        <v>0</v>
      </c>
      <c r="AE148" s="55">
        <f>IF(AQ148="7",BI148,0)</f>
        <v>0</v>
      </c>
      <c r="AF148" s="55">
        <f>IF(AQ148="2",BH148,0)</f>
        <v>0</v>
      </c>
      <c r="AG148" s="55">
        <f>IF(AQ148="2",BI148,0)</f>
        <v>0</v>
      </c>
      <c r="AH148" s="55">
        <f>IF(AQ148="0",BJ148,0)</f>
        <v>0</v>
      </c>
      <c r="AI148" s="34" t="s">
        <v>116</v>
      </c>
      <c r="AJ148" s="55">
        <f>IF(AN148=0,I148,0)</f>
        <v>0</v>
      </c>
      <c r="AK148" s="55">
        <f>IF(AN148=12,I148,0)</f>
        <v>0</v>
      </c>
      <c r="AL148" s="55">
        <f>IF(AN148=21,I148,0)</f>
        <v>0</v>
      </c>
      <c r="AN148" s="55">
        <v>21</v>
      </c>
      <c r="AO148" s="55">
        <f>H148*0</f>
        <v>0</v>
      </c>
      <c r="AP148" s="55">
        <f>H148*(1-0)</f>
        <v>0</v>
      </c>
      <c r="AQ148" s="58" t="s">
        <v>125</v>
      </c>
      <c r="AV148" s="55">
        <f>AW148+AX148</f>
        <v>0</v>
      </c>
      <c r="AW148" s="55">
        <f>G148*AO148</f>
        <v>0</v>
      </c>
      <c r="AX148" s="55">
        <f>G148*AP148</f>
        <v>0</v>
      </c>
      <c r="AY148" s="58" t="s">
        <v>126</v>
      </c>
      <c r="AZ148" s="58" t="s">
        <v>127</v>
      </c>
      <c r="BA148" s="34" t="s">
        <v>128</v>
      </c>
      <c r="BC148" s="55">
        <f>AW148+AX148</f>
        <v>0</v>
      </c>
      <c r="BD148" s="55">
        <f>H148/(100-BE148)*100</f>
        <v>0</v>
      </c>
      <c r="BE148" s="55">
        <v>0</v>
      </c>
      <c r="BF148" s="55">
        <f>K148</f>
        <v>0</v>
      </c>
      <c r="BH148" s="55">
        <f>G148*AO148</f>
        <v>0</v>
      </c>
      <c r="BI148" s="55">
        <f>G148*AP148</f>
        <v>0</v>
      </c>
      <c r="BJ148" s="55">
        <f>G148*H148</f>
        <v>0</v>
      </c>
      <c r="BK148" s="55"/>
      <c r="BL148" s="55"/>
      <c r="BW148" s="55">
        <v>21</v>
      </c>
    </row>
    <row r="149" spans="1:75" ht="13.5" customHeight="1">
      <c r="A149" s="1" t="s">
        <v>343</v>
      </c>
      <c r="B149" s="2" t="s">
        <v>116</v>
      </c>
      <c r="C149" s="2" t="s">
        <v>344</v>
      </c>
      <c r="D149" s="147" t="s">
        <v>345</v>
      </c>
      <c r="E149" s="148"/>
      <c r="F149" s="2" t="s">
        <v>123</v>
      </c>
      <c r="G149" s="55">
        <f>'Stavební rozpočet-vyplnit'!G149</f>
        <v>1</v>
      </c>
      <c r="H149" s="55">
        <f>'Stavební rozpočet-vyplnit'!H149</f>
        <v>0</v>
      </c>
      <c r="I149" s="55">
        <f>G149*H149</f>
        <v>0</v>
      </c>
      <c r="J149" s="55">
        <f>'Stavební rozpočet-vyplnit'!J149</f>
        <v>0</v>
      </c>
      <c r="K149" s="55">
        <f>G149*J149</f>
        <v>0</v>
      </c>
      <c r="L149" s="57" t="s">
        <v>124</v>
      </c>
      <c r="Z149" s="55">
        <f>IF(AQ149="5",BJ149,0)</f>
        <v>0</v>
      </c>
      <c r="AB149" s="55">
        <f>IF(AQ149="1",BH149,0)</f>
        <v>0</v>
      </c>
      <c r="AC149" s="55">
        <f>IF(AQ149="1",BI149,0)</f>
        <v>0</v>
      </c>
      <c r="AD149" s="55">
        <f>IF(AQ149="7",BH149,0)</f>
        <v>0</v>
      </c>
      <c r="AE149" s="55">
        <f>IF(AQ149="7",BI149,0)</f>
        <v>0</v>
      </c>
      <c r="AF149" s="55">
        <f>IF(AQ149="2",BH149,0)</f>
        <v>0</v>
      </c>
      <c r="AG149" s="55">
        <f>IF(AQ149="2",BI149,0)</f>
        <v>0</v>
      </c>
      <c r="AH149" s="55">
        <f>IF(AQ149="0",BJ149,0)</f>
        <v>0</v>
      </c>
      <c r="AI149" s="34" t="s">
        <v>116</v>
      </c>
      <c r="AJ149" s="55">
        <f>IF(AN149=0,I149,0)</f>
        <v>0</v>
      </c>
      <c r="AK149" s="55">
        <f>IF(AN149=12,I149,0)</f>
        <v>0</v>
      </c>
      <c r="AL149" s="55">
        <f>IF(AN149=21,I149,0)</f>
        <v>0</v>
      </c>
      <c r="AN149" s="55">
        <v>21</v>
      </c>
      <c r="AO149" s="55">
        <f>H149*0</f>
        <v>0</v>
      </c>
      <c r="AP149" s="55">
        <f>H149*(1-0)</f>
        <v>0</v>
      </c>
      <c r="AQ149" s="58" t="s">
        <v>125</v>
      </c>
      <c r="AV149" s="55">
        <f>AW149+AX149</f>
        <v>0</v>
      </c>
      <c r="AW149" s="55">
        <f>G149*AO149</f>
        <v>0</v>
      </c>
      <c r="AX149" s="55">
        <f>G149*AP149</f>
        <v>0</v>
      </c>
      <c r="AY149" s="58" t="s">
        <v>126</v>
      </c>
      <c r="AZ149" s="58" t="s">
        <v>127</v>
      </c>
      <c r="BA149" s="34" t="s">
        <v>128</v>
      </c>
      <c r="BC149" s="55">
        <f>AW149+AX149</f>
        <v>0</v>
      </c>
      <c r="BD149" s="55">
        <f>H149/(100-BE149)*100</f>
        <v>0</v>
      </c>
      <c r="BE149" s="55">
        <v>0</v>
      </c>
      <c r="BF149" s="55">
        <f>K149</f>
        <v>0</v>
      </c>
      <c r="BH149" s="55">
        <f>G149*AO149</f>
        <v>0</v>
      </c>
      <c r="BI149" s="55">
        <f>G149*AP149</f>
        <v>0</v>
      </c>
      <c r="BJ149" s="55">
        <f>G149*H149</f>
        <v>0</v>
      </c>
      <c r="BK149" s="55"/>
      <c r="BL149" s="55"/>
      <c r="BW149" s="55">
        <v>21</v>
      </c>
    </row>
    <row r="150" spans="1:75" ht="13.5" customHeight="1">
      <c r="A150" s="1" t="s">
        <v>346</v>
      </c>
      <c r="B150" s="2" t="s">
        <v>116</v>
      </c>
      <c r="C150" s="2" t="s">
        <v>347</v>
      </c>
      <c r="D150" s="147" t="s">
        <v>348</v>
      </c>
      <c r="E150" s="148"/>
      <c r="F150" s="2" t="s">
        <v>123</v>
      </c>
      <c r="G150" s="55">
        <f>'Stavební rozpočet-vyplnit'!G150</f>
        <v>1</v>
      </c>
      <c r="H150" s="55">
        <f>'Stavební rozpočet-vyplnit'!H150</f>
        <v>0</v>
      </c>
      <c r="I150" s="55">
        <f>G150*H150</f>
        <v>0</v>
      </c>
      <c r="J150" s="55">
        <f>'Stavební rozpočet-vyplnit'!J150</f>
        <v>0</v>
      </c>
      <c r="K150" s="55">
        <f>G150*J150</f>
        <v>0</v>
      </c>
      <c r="L150" s="57" t="s">
        <v>124</v>
      </c>
      <c r="Z150" s="55">
        <f>IF(AQ150="5",BJ150,0)</f>
        <v>0</v>
      </c>
      <c r="AB150" s="55">
        <f>IF(AQ150="1",BH150,0)</f>
        <v>0</v>
      </c>
      <c r="AC150" s="55">
        <f>IF(AQ150="1",BI150,0)</f>
        <v>0</v>
      </c>
      <c r="AD150" s="55">
        <f>IF(AQ150="7",BH150,0)</f>
        <v>0</v>
      </c>
      <c r="AE150" s="55">
        <f>IF(AQ150="7",BI150,0)</f>
        <v>0</v>
      </c>
      <c r="AF150" s="55">
        <f>IF(AQ150="2",BH150,0)</f>
        <v>0</v>
      </c>
      <c r="AG150" s="55">
        <f>IF(AQ150="2",BI150,0)</f>
        <v>0</v>
      </c>
      <c r="AH150" s="55">
        <f>IF(AQ150="0",BJ150,0)</f>
        <v>0</v>
      </c>
      <c r="AI150" s="34" t="s">
        <v>116</v>
      </c>
      <c r="AJ150" s="55">
        <f>IF(AN150=0,I150,0)</f>
        <v>0</v>
      </c>
      <c r="AK150" s="55">
        <f>IF(AN150=12,I150,0)</f>
        <v>0</v>
      </c>
      <c r="AL150" s="55">
        <f>IF(AN150=21,I150,0)</f>
        <v>0</v>
      </c>
      <c r="AN150" s="55">
        <v>21</v>
      </c>
      <c r="AO150" s="55">
        <f>H150*0</f>
        <v>0</v>
      </c>
      <c r="AP150" s="55">
        <f>H150*(1-0)</f>
        <v>0</v>
      </c>
      <c r="AQ150" s="58" t="s">
        <v>125</v>
      </c>
      <c r="AV150" s="55">
        <f>AW150+AX150</f>
        <v>0</v>
      </c>
      <c r="AW150" s="55">
        <f>G150*AO150</f>
        <v>0</v>
      </c>
      <c r="AX150" s="55">
        <f>G150*AP150</f>
        <v>0</v>
      </c>
      <c r="AY150" s="58" t="s">
        <v>126</v>
      </c>
      <c r="AZ150" s="58" t="s">
        <v>127</v>
      </c>
      <c r="BA150" s="34" t="s">
        <v>128</v>
      </c>
      <c r="BC150" s="55">
        <f>AW150+AX150</f>
        <v>0</v>
      </c>
      <c r="BD150" s="55">
        <f>H150/(100-BE150)*100</f>
        <v>0</v>
      </c>
      <c r="BE150" s="55">
        <v>0</v>
      </c>
      <c r="BF150" s="55">
        <f>K150</f>
        <v>0</v>
      </c>
      <c r="BH150" s="55">
        <f>G150*AO150</f>
        <v>0</v>
      </c>
      <c r="BI150" s="55">
        <f>G150*AP150</f>
        <v>0</v>
      </c>
      <c r="BJ150" s="55">
        <f>G150*H150</f>
        <v>0</v>
      </c>
      <c r="BK150" s="55"/>
      <c r="BL150" s="55"/>
      <c r="BW150" s="55">
        <v>21</v>
      </c>
    </row>
    <row r="151" spans="1:75" ht="13.5" customHeight="1">
      <c r="A151" s="1" t="s">
        <v>349</v>
      </c>
      <c r="B151" s="2" t="s">
        <v>116</v>
      </c>
      <c r="C151" s="2" t="s">
        <v>350</v>
      </c>
      <c r="D151" s="147" t="s">
        <v>351</v>
      </c>
      <c r="E151" s="148"/>
      <c r="F151" s="2" t="s">
        <v>123</v>
      </c>
      <c r="G151" s="55">
        <f>'Stavební rozpočet-vyplnit'!G151</f>
        <v>1</v>
      </c>
      <c r="H151" s="55">
        <f>'Stavební rozpočet-vyplnit'!H151</f>
        <v>0</v>
      </c>
      <c r="I151" s="55">
        <f>G151*H151</f>
        <v>0</v>
      </c>
      <c r="J151" s="55">
        <f>'Stavební rozpočet-vyplnit'!J151</f>
        <v>0</v>
      </c>
      <c r="K151" s="55">
        <f>G151*J151</f>
        <v>0</v>
      </c>
      <c r="L151" s="57" t="s">
        <v>124</v>
      </c>
      <c r="Z151" s="55">
        <f>IF(AQ151="5",BJ151,0)</f>
        <v>0</v>
      </c>
      <c r="AB151" s="55">
        <f>IF(AQ151="1",BH151,0)</f>
        <v>0</v>
      </c>
      <c r="AC151" s="55">
        <f>IF(AQ151="1",BI151,0)</f>
        <v>0</v>
      </c>
      <c r="AD151" s="55">
        <f>IF(AQ151="7",BH151,0)</f>
        <v>0</v>
      </c>
      <c r="AE151" s="55">
        <f>IF(AQ151="7",BI151,0)</f>
        <v>0</v>
      </c>
      <c r="AF151" s="55">
        <f>IF(AQ151="2",BH151,0)</f>
        <v>0</v>
      </c>
      <c r="AG151" s="55">
        <f>IF(AQ151="2",BI151,0)</f>
        <v>0</v>
      </c>
      <c r="AH151" s="55">
        <f>IF(AQ151="0",BJ151,0)</f>
        <v>0</v>
      </c>
      <c r="AI151" s="34" t="s">
        <v>116</v>
      </c>
      <c r="AJ151" s="55">
        <f>IF(AN151=0,I151,0)</f>
        <v>0</v>
      </c>
      <c r="AK151" s="55">
        <f>IF(AN151=12,I151,0)</f>
        <v>0</v>
      </c>
      <c r="AL151" s="55">
        <f>IF(AN151=21,I151,0)</f>
        <v>0</v>
      </c>
      <c r="AN151" s="55">
        <v>21</v>
      </c>
      <c r="AO151" s="55">
        <f>H151*0</f>
        <v>0</v>
      </c>
      <c r="AP151" s="55">
        <f>H151*(1-0)</f>
        <v>0</v>
      </c>
      <c r="AQ151" s="58" t="s">
        <v>125</v>
      </c>
      <c r="AV151" s="55">
        <f>AW151+AX151</f>
        <v>0</v>
      </c>
      <c r="AW151" s="55">
        <f>G151*AO151</f>
        <v>0</v>
      </c>
      <c r="AX151" s="55">
        <f>G151*AP151</f>
        <v>0</v>
      </c>
      <c r="AY151" s="58" t="s">
        <v>126</v>
      </c>
      <c r="AZ151" s="58" t="s">
        <v>127</v>
      </c>
      <c r="BA151" s="34" t="s">
        <v>128</v>
      </c>
      <c r="BC151" s="55">
        <f>AW151+AX151</f>
        <v>0</v>
      </c>
      <c r="BD151" s="55">
        <f>H151/(100-BE151)*100</f>
        <v>0</v>
      </c>
      <c r="BE151" s="55">
        <v>0</v>
      </c>
      <c r="BF151" s="55">
        <f>K151</f>
        <v>0</v>
      </c>
      <c r="BH151" s="55">
        <f>G151*AO151</f>
        <v>0</v>
      </c>
      <c r="BI151" s="55">
        <f>G151*AP151</f>
        <v>0</v>
      </c>
      <c r="BJ151" s="55">
        <f>G151*H151</f>
        <v>0</v>
      </c>
      <c r="BK151" s="55"/>
      <c r="BL151" s="55"/>
      <c r="BW151" s="55">
        <v>21</v>
      </c>
    </row>
    <row r="152" spans="1:75" ht="13.5" customHeight="1">
      <c r="A152" s="1" t="s">
        <v>352</v>
      </c>
      <c r="B152" s="2" t="s">
        <v>116</v>
      </c>
      <c r="C152" s="2" t="s">
        <v>353</v>
      </c>
      <c r="D152" s="147" t="s">
        <v>354</v>
      </c>
      <c r="E152" s="148"/>
      <c r="F152" s="2" t="s">
        <v>250</v>
      </c>
      <c r="G152" s="55">
        <f>'Stavební rozpočet-vyplnit'!G152</f>
        <v>1</v>
      </c>
      <c r="H152" s="55">
        <f>'Stavební rozpočet-vyplnit'!H152</f>
        <v>0</v>
      </c>
      <c r="I152" s="55">
        <f>G152*H152</f>
        <v>0</v>
      </c>
      <c r="J152" s="55">
        <f>'Stavební rozpočet-vyplnit'!J152</f>
        <v>0</v>
      </c>
      <c r="K152" s="55">
        <f>G152*J152</f>
        <v>0</v>
      </c>
      <c r="L152" s="57" t="s">
        <v>124</v>
      </c>
      <c r="Z152" s="55">
        <f>IF(AQ152="5",BJ152,0)</f>
        <v>0</v>
      </c>
      <c r="AB152" s="55">
        <f>IF(AQ152="1",BH152,0)</f>
        <v>0</v>
      </c>
      <c r="AC152" s="55">
        <f>IF(AQ152="1",BI152,0)</f>
        <v>0</v>
      </c>
      <c r="AD152" s="55">
        <f>IF(AQ152="7",BH152,0)</f>
        <v>0</v>
      </c>
      <c r="AE152" s="55">
        <f>IF(AQ152="7",BI152,0)</f>
        <v>0</v>
      </c>
      <c r="AF152" s="55">
        <f>IF(AQ152="2",BH152,0)</f>
        <v>0</v>
      </c>
      <c r="AG152" s="55">
        <f>IF(AQ152="2",BI152,0)</f>
        <v>0</v>
      </c>
      <c r="AH152" s="55">
        <f>IF(AQ152="0",BJ152,0)</f>
        <v>0</v>
      </c>
      <c r="AI152" s="34" t="s">
        <v>116</v>
      </c>
      <c r="AJ152" s="55">
        <f>IF(AN152=0,I152,0)</f>
        <v>0</v>
      </c>
      <c r="AK152" s="55">
        <f>IF(AN152=12,I152,0)</f>
        <v>0</v>
      </c>
      <c r="AL152" s="55">
        <f>IF(AN152=21,I152,0)</f>
        <v>0</v>
      </c>
      <c r="AN152" s="55">
        <v>21</v>
      </c>
      <c r="AO152" s="55">
        <f>H152*0</f>
        <v>0</v>
      </c>
      <c r="AP152" s="55">
        <f>H152*(1-0)</f>
        <v>0</v>
      </c>
      <c r="AQ152" s="58" t="s">
        <v>125</v>
      </c>
      <c r="AV152" s="55">
        <f>AW152+AX152</f>
        <v>0</v>
      </c>
      <c r="AW152" s="55">
        <f>G152*AO152</f>
        <v>0</v>
      </c>
      <c r="AX152" s="55">
        <f>G152*AP152</f>
        <v>0</v>
      </c>
      <c r="AY152" s="58" t="s">
        <v>126</v>
      </c>
      <c r="AZ152" s="58" t="s">
        <v>127</v>
      </c>
      <c r="BA152" s="34" t="s">
        <v>128</v>
      </c>
      <c r="BC152" s="55">
        <f>AW152+AX152</f>
        <v>0</v>
      </c>
      <c r="BD152" s="55">
        <f>H152/(100-BE152)*100</f>
        <v>0</v>
      </c>
      <c r="BE152" s="55">
        <v>0</v>
      </c>
      <c r="BF152" s="55">
        <f>K152</f>
        <v>0</v>
      </c>
      <c r="BH152" s="55">
        <f>G152*AO152</f>
        <v>0</v>
      </c>
      <c r="BI152" s="55">
        <f>G152*AP152</f>
        <v>0</v>
      </c>
      <c r="BJ152" s="55">
        <f>G152*H152</f>
        <v>0</v>
      </c>
      <c r="BK152" s="55"/>
      <c r="BL152" s="55"/>
      <c r="BW152" s="55">
        <v>21</v>
      </c>
    </row>
    <row r="153" spans="1:47" ht="14.4">
      <c r="A153" s="50" t="s">
        <v>4</v>
      </c>
      <c r="B153" s="51" t="s">
        <v>116</v>
      </c>
      <c r="C153" s="51" t="s">
        <v>355</v>
      </c>
      <c r="D153" s="222" t="s">
        <v>356</v>
      </c>
      <c r="E153" s="223"/>
      <c r="F153" s="52" t="s">
        <v>79</v>
      </c>
      <c r="G153" s="52" t="s">
        <v>79</v>
      </c>
      <c r="H153" s="52" t="s">
        <v>79</v>
      </c>
      <c r="I153" s="27">
        <f>SUM(I154:I156)</f>
        <v>0</v>
      </c>
      <c r="J153" s="34" t="s">
        <v>4</v>
      </c>
      <c r="K153" s="27">
        <f>SUM(K154:K156)</f>
        <v>0</v>
      </c>
      <c r="L153" s="54" t="s">
        <v>4</v>
      </c>
      <c r="AI153" s="34" t="s">
        <v>116</v>
      </c>
      <c r="AS153" s="27">
        <f>SUM(AJ154:AJ156)</f>
        <v>0</v>
      </c>
      <c r="AT153" s="27">
        <f>SUM(AK154:AK156)</f>
        <v>0</v>
      </c>
      <c r="AU153" s="27">
        <f>SUM(AL154:AL156)</f>
        <v>0</v>
      </c>
    </row>
    <row r="154" spans="1:75" ht="13.5" customHeight="1">
      <c r="A154" s="1" t="s">
        <v>357</v>
      </c>
      <c r="B154" s="2" t="s">
        <v>116</v>
      </c>
      <c r="C154" s="2" t="s">
        <v>358</v>
      </c>
      <c r="D154" s="147" t="s">
        <v>359</v>
      </c>
      <c r="E154" s="148"/>
      <c r="F154" s="2" t="s">
        <v>360</v>
      </c>
      <c r="G154" s="55">
        <f>'Stavební rozpočet-vyplnit'!G154</f>
        <v>16</v>
      </c>
      <c r="H154" s="55">
        <f>'Stavební rozpočet-vyplnit'!H154</f>
        <v>0</v>
      </c>
      <c r="I154" s="55">
        <f>G154*H154</f>
        <v>0</v>
      </c>
      <c r="J154" s="55">
        <f>'Stavební rozpočet-vyplnit'!J154</f>
        <v>0</v>
      </c>
      <c r="K154" s="55">
        <f>G154*J154</f>
        <v>0</v>
      </c>
      <c r="L154" s="57" t="s">
        <v>124</v>
      </c>
      <c r="Z154" s="55">
        <f>IF(AQ154="5",BJ154,0)</f>
        <v>0</v>
      </c>
      <c r="AB154" s="55">
        <f>IF(AQ154="1",BH154,0)</f>
        <v>0</v>
      </c>
      <c r="AC154" s="55">
        <f>IF(AQ154="1",BI154,0)</f>
        <v>0</v>
      </c>
      <c r="AD154" s="55">
        <f>IF(AQ154="7",BH154,0)</f>
        <v>0</v>
      </c>
      <c r="AE154" s="55">
        <f>IF(AQ154="7",BI154,0)</f>
        <v>0</v>
      </c>
      <c r="AF154" s="55">
        <f>IF(AQ154="2",BH154,0)</f>
        <v>0</v>
      </c>
      <c r="AG154" s="55">
        <f>IF(AQ154="2",BI154,0)</f>
        <v>0</v>
      </c>
      <c r="AH154" s="55">
        <f>IF(AQ154="0",BJ154,0)</f>
        <v>0</v>
      </c>
      <c r="AI154" s="34" t="s">
        <v>116</v>
      </c>
      <c r="AJ154" s="55">
        <f>IF(AN154=0,I154,0)</f>
        <v>0</v>
      </c>
      <c r="AK154" s="55">
        <f>IF(AN154=12,I154,0)</f>
        <v>0</v>
      </c>
      <c r="AL154" s="55">
        <f>IF(AN154=21,I154,0)</f>
        <v>0</v>
      </c>
      <c r="AN154" s="55">
        <v>21</v>
      </c>
      <c r="AO154" s="55">
        <f>H154*0</f>
        <v>0</v>
      </c>
      <c r="AP154" s="55">
        <f>H154*(1-0)</f>
        <v>0</v>
      </c>
      <c r="AQ154" s="58" t="s">
        <v>125</v>
      </c>
      <c r="AV154" s="55">
        <f>AW154+AX154</f>
        <v>0</v>
      </c>
      <c r="AW154" s="55">
        <f>G154*AO154</f>
        <v>0</v>
      </c>
      <c r="AX154" s="55">
        <f>G154*AP154</f>
        <v>0</v>
      </c>
      <c r="AY154" s="58" t="s">
        <v>361</v>
      </c>
      <c r="AZ154" s="58" t="s">
        <v>362</v>
      </c>
      <c r="BA154" s="34" t="s">
        <v>128</v>
      </c>
      <c r="BC154" s="55">
        <f>AW154+AX154</f>
        <v>0</v>
      </c>
      <c r="BD154" s="55">
        <f>H154/(100-BE154)*100</f>
        <v>0</v>
      </c>
      <c r="BE154" s="55">
        <v>0</v>
      </c>
      <c r="BF154" s="55">
        <f>K154</f>
        <v>0</v>
      </c>
      <c r="BH154" s="55">
        <f>G154*AO154</f>
        <v>0</v>
      </c>
      <c r="BI154" s="55">
        <f>G154*AP154</f>
        <v>0</v>
      </c>
      <c r="BJ154" s="55">
        <f>G154*H154</f>
        <v>0</v>
      </c>
      <c r="BK154" s="55"/>
      <c r="BL154" s="55">
        <v>750</v>
      </c>
      <c r="BW154" s="55">
        <v>21</v>
      </c>
    </row>
    <row r="155" spans="1:75" ht="13.5" customHeight="1">
      <c r="A155" s="1" t="s">
        <v>363</v>
      </c>
      <c r="B155" s="2" t="s">
        <v>116</v>
      </c>
      <c r="C155" s="2" t="s">
        <v>364</v>
      </c>
      <c r="D155" s="147" t="s">
        <v>365</v>
      </c>
      <c r="E155" s="148"/>
      <c r="F155" s="2" t="s">
        <v>360</v>
      </c>
      <c r="G155" s="55">
        <f>'Stavební rozpočet-vyplnit'!G155</f>
        <v>12</v>
      </c>
      <c r="H155" s="55">
        <f>'Stavební rozpočet-vyplnit'!H155</f>
        <v>0</v>
      </c>
      <c r="I155" s="55">
        <f>G155*H155</f>
        <v>0</v>
      </c>
      <c r="J155" s="55">
        <f>'Stavební rozpočet-vyplnit'!J155</f>
        <v>0</v>
      </c>
      <c r="K155" s="55">
        <f>G155*J155</f>
        <v>0</v>
      </c>
      <c r="L155" s="57" t="s">
        <v>124</v>
      </c>
      <c r="Z155" s="55">
        <f>IF(AQ155="5",BJ155,0)</f>
        <v>0</v>
      </c>
      <c r="AB155" s="55">
        <f>IF(AQ155="1",BH155,0)</f>
        <v>0</v>
      </c>
      <c r="AC155" s="55">
        <f>IF(AQ155="1",BI155,0)</f>
        <v>0</v>
      </c>
      <c r="AD155" s="55">
        <f>IF(AQ155="7",BH155,0)</f>
        <v>0</v>
      </c>
      <c r="AE155" s="55">
        <f>IF(AQ155="7",BI155,0)</f>
        <v>0</v>
      </c>
      <c r="AF155" s="55">
        <f>IF(AQ155="2",BH155,0)</f>
        <v>0</v>
      </c>
      <c r="AG155" s="55">
        <f>IF(AQ155="2",BI155,0)</f>
        <v>0</v>
      </c>
      <c r="AH155" s="55">
        <f>IF(AQ155="0",BJ155,0)</f>
        <v>0</v>
      </c>
      <c r="AI155" s="34" t="s">
        <v>116</v>
      </c>
      <c r="AJ155" s="55">
        <f>IF(AN155=0,I155,0)</f>
        <v>0</v>
      </c>
      <c r="AK155" s="55">
        <f>IF(AN155=12,I155,0)</f>
        <v>0</v>
      </c>
      <c r="AL155" s="55">
        <f>IF(AN155=21,I155,0)</f>
        <v>0</v>
      </c>
      <c r="AN155" s="55">
        <v>21</v>
      </c>
      <c r="AO155" s="55">
        <f>H155*0</f>
        <v>0</v>
      </c>
      <c r="AP155" s="55">
        <f>H155*(1-0)</f>
        <v>0</v>
      </c>
      <c r="AQ155" s="58" t="s">
        <v>125</v>
      </c>
      <c r="AV155" s="55">
        <f>AW155+AX155</f>
        <v>0</v>
      </c>
      <c r="AW155" s="55">
        <f>G155*AO155</f>
        <v>0</v>
      </c>
      <c r="AX155" s="55">
        <f>G155*AP155</f>
        <v>0</v>
      </c>
      <c r="AY155" s="58" t="s">
        <v>361</v>
      </c>
      <c r="AZ155" s="58" t="s">
        <v>362</v>
      </c>
      <c r="BA155" s="34" t="s">
        <v>128</v>
      </c>
      <c r="BC155" s="55">
        <f>AW155+AX155</f>
        <v>0</v>
      </c>
      <c r="BD155" s="55">
        <f>H155/(100-BE155)*100</f>
        <v>0</v>
      </c>
      <c r="BE155" s="55">
        <v>0</v>
      </c>
      <c r="BF155" s="55">
        <f>K155</f>
        <v>0</v>
      </c>
      <c r="BH155" s="55">
        <f>G155*AO155</f>
        <v>0</v>
      </c>
      <c r="BI155" s="55">
        <f>G155*AP155</f>
        <v>0</v>
      </c>
      <c r="BJ155" s="55">
        <f>G155*H155</f>
        <v>0</v>
      </c>
      <c r="BK155" s="55"/>
      <c r="BL155" s="55">
        <v>750</v>
      </c>
      <c r="BW155" s="55">
        <v>21</v>
      </c>
    </row>
    <row r="156" spans="1:75" ht="13.5" customHeight="1">
      <c r="A156" s="1" t="s">
        <v>366</v>
      </c>
      <c r="B156" s="2" t="s">
        <v>116</v>
      </c>
      <c r="C156" s="2" t="s">
        <v>367</v>
      </c>
      <c r="D156" s="147" t="s">
        <v>368</v>
      </c>
      <c r="E156" s="148"/>
      <c r="F156" s="2" t="s">
        <v>360</v>
      </c>
      <c r="G156" s="55">
        <f>'Stavební rozpočet-vyplnit'!G156</f>
        <v>12</v>
      </c>
      <c r="H156" s="55">
        <f>'Stavební rozpočet-vyplnit'!H156</f>
        <v>0</v>
      </c>
      <c r="I156" s="55">
        <f>G156*H156</f>
        <v>0</v>
      </c>
      <c r="J156" s="55">
        <f>'Stavební rozpočet-vyplnit'!J156</f>
        <v>0</v>
      </c>
      <c r="K156" s="55">
        <f>G156*J156</f>
        <v>0</v>
      </c>
      <c r="L156" s="57" t="s">
        <v>124</v>
      </c>
      <c r="Z156" s="55">
        <f>IF(AQ156="5",BJ156,0)</f>
        <v>0</v>
      </c>
      <c r="AB156" s="55">
        <f>IF(AQ156="1",BH156,0)</f>
        <v>0</v>
      </c>
      <c r="AC156" s="55">
        <f>IF(AQ156="1",BI156,0)</f>
        <v>0</v>
      </c>
      <c r="AD156" s="55">
        <f>IF(AQ156="7",BH156,0)</f>
        <v>0</v>
      </c>
      <c r="AE156" s="55">
        <f>IF(AQ156="7",BI156,0)</f>
        <v>0</v>
      </c>
      <c r="AF156" s="55">
        <f>IF(AQ156="2",BH156,0)</f>
        <v>0</v>
      </c>
      <c r="AG156" s="55">
        <f>IF(AQ156="2",BI156,0)</f>
        <v>0</v>
      </c>
      <c r="AH156" s="55">
        <f>IF(AQ156="0",BJ156,0)</f>
        <v>0</v>
      </c>
      <c r="AI156" s="34" t="s">
        <v>116</v>
      </c>
      <c r="AJ156" s="55">
        <f>IF(AN156=0,I156,0)</f>
        <v>0</v>
      </c>
      <c r="AK156" s="55">
        <f>IF(AN156=12,I156,0)</f>
        <v>0</v>
      </c>
      <c r="AL156" s="55">
        <f>IF(AN156=21,I156,0)</f>
        <v>0</v>
      </c>
      <c r="AN156" s="55">
        <v>21</v>
      </c>
      <c r="AO156" s="55">
        <f>H156*0</f>
        <v>0</v>
      </c>
      <c r="AP156" s="55">
        <f>H156*(1-0)</f>
        <v>0</v>
      </c>
      <c r="AQ156" s="58" t="s">
        <v>125</v>
      </c>
      <c r="AV156" s="55">
        <f>AW156+AX156</f>
        <v>0</v>
      </c>
      <c r="AW156" s="55">
        <f>G156*AO156</f>
        <v>0</v>
      </c>
      <c r="AX156" s="55">
        <f>G156*AP156</f>
        <v>0</v>
      </c>
      <c r="AY156" s="58" t="s">
        <v>361</v>
      </c>
      <c r="AZ156" s="58" t="s">
        <v>362</v>
      </c>
      <c r="BA156" s="34" t="s">
        <v>128</v>
      </c>
      <c r="BC156" s="55">
        <f>AW156+AX156</f>
        <v>0</v>
      </c>
      <c r="BD156" s="55">
        <f>H156/(100-BE156)*100</f>
        <v>0</v>
      </c>
      <c r="BE156" s="55">
        <v>0</v>
      </c>
      <c r="BF156" s="55">
        <f>K156</f>
        <v>0</v>
      </c>
      <c r="BH156" s="55">
        <f>G156*AO156</f>
        <v>0</v>
      </c>
      <c r="BI156" s="55">
        <f>G156*AP156</f>
        <v>0</v>
      </c>
      <c r="BJ156" s="55">
        <f>G156*H156</f>
        <v>0</v>
      </c>
      <c r="BK156" s="55"/>
      <c r="BL156" s="55">
        <v>750</v>
      </c>
      <c r="BW156" s="55">
        <v>21</v>
      </c>
    </row>
    <row r="157" spans="1:47" ht="14.4">
      <c r="A157" s="50" t="s">
        <v>4</v>
      </c>
      <c r="B157" s="51" t="s">
        <v>116</v>
      </c>
      <c r="C157" s="51" t="s">
        <v>369</v>
      </c>
      <c r="D157" s="222" t="s">
        <v>370</v>
      </c>
      <c r="E157" s="223"/>
      <c r="F157" s="52" t="s">
        <v>79</v>
      </c>
      <c r="G157" s="52" t="s">
        <v>79</v>
      </c>
      <c r="H157" s="52" t="s">
        <v>79</v>
      </c>
      <c r="I157" s="27">
        <f>SUM(I158:I178)</f>
        <v>0</v>
      </c>
      <c r="J157" s="34" t="s">
        <v>4</v>
      </c>
      <c r="K157" s="27">
        <f>SUM(K158:K178)</f>
        <v>0</v>
      </c>
      <c r="L157" s="54" t="s">
        <v>4</v>
      </c>
      <c r="AI157" s="34" t="s">
        <v>116</v>
      </c>
      <c r="AS157" s="27">
        <f>SUM(AJ158:AJ178)</f>
        <v>0</v>
      </c>
      <c r="AT157" s="27">
        <f>SUM(AK158:AK178)</f>
        <v>0</v>
      </c>
      <c r="AU157" s="27">
        <f>SUM(AL158:AL178)</f>
        <v>0</v>
      </c>
    </row>
    <row r="158" spans="1:75" ht="13.5" customHeight="1">
      <c r="A158" s="1" t="s">
        <v>371</v>
      </c>
      <c r="B158" s="2" t="s">
        <v>116</v>
      </c>
      <c r="C158" s="2" t="s">
        <v>372</v>
      </c>
      <c r="D158" s="147" t="s">
        <v>373</v>
      </c>
      <c r="E158" s="148"/>
      <c r="F158" s="2" t="s">
        <v>374</v>
      </c>
      <c r="G158" s="55">
        <f>'Stavební rozpočet-vyplnit'!G158</f>
        <v>2</v>
      </c>
      <c r="H158" s="55">
        <f>'Stavební rozpočet-vyplnit'!H158</f>
        <v>0</v>
      </c>
      <c r="I158" s="55">
        <f aca="true" t="shared" si="0" ref="I158:I178">G158*H158</f>
        <v>0</v>
      </c>
      <c r="J158" s="55">
        <f>'Stavební rozpočet-vyplnit'!J158</f>
        <v>0</v>
      </c>
      <c r="K158" s="55">
        <f aca="true" t="shared" si="1" ref="K158:K178">G158*J158</f>
        <v>0</v>
      </c>
      <c r="L158" s="57" t="s">
        <v>124</v>
      </c>
      <c r="Z158" s="55">
        <f aca="true" t="shared" si="2" ref="Z158:Z178">IF(AQ158="5",BJ158,0)</f>
        <v>0</v>
      </c>
      <c r="AB158" s="55">
        <f aca="true" t="shared" si="3" ref="AB158:AB178">IF(AQ158="1",BH158,0)</f>
        <v>0</v>
      </c>
      <c r="AC158" s="55">
        <f aca="true" t="shared" si="4" ref="AC158:AC178">IF(AQ158="1",BI158,0)</f>
        <v>0</v>
      </c>
      <c r="AD158" s="55">
        <f aca="true" t="shared" si="5" ref="AD158:AD178">IF(AQ158="7",BH158,0)</f>
        <v>0</v>
      </c>
      <c r="AE158" s="55">
        <f aca="true" t="shared" si="6" ref="AE158:AE178">IF(AQ158="7",BI158,0)</f>
        <v>0</v>
      </c>
      <c r="AF158" s="55">
        <f aca="true" t="shared" si="7" ref="AF158:AF178">IF(AQ158="2",BH158,0)</f>
        <v>0</v>
      </c>
      <c r="AG158" s="55">
        <f aca="true" t="shared" si="8" ref="AG158:AG178">IF(AQ158="2",BI158,0)</f>
        <v>0</v>
      </c>
      <c r="AH158" s="55">
        <f aca="true" t="shared" si="9" ref="AH158:AH178">IF(AQ158="0",BJ158,0)</f>
        <v>0</v>
      </c>
      <c r="AI158" s="34" t="s">
        <v>116</v>
      </c>
      <c r="AJ158" s="55">
        <f aca="true" t="shared" si="10" ref="AJ158:AJ178">IF(AN158=0,I158,0)</f>
        <v>0</v>
      </c>
      <c r="AK158" s="55">
        <f aca="true" t="shared" si="11" ref="AK158:AK178">IF(AN158=12,I158,0)</f>
        <v>0</v>
      </c>
      <c r="AL158" s="55">
        <f aca="true" t="shared" si="12" ref="AL158:AL178">IF(AN158=21,I158,0)</f>
        <v>0</v>
      </c>
      <c r="AN158" s="55">
        <v>21</v>
      </c>
      <c r="AO158" s="55">
        <f>H158*0</f>
        <v>0</v>
      </c>
      <c r="AP158" s="55">
        <f>H158*(1-0)</f>
        <v>0</v>
      </c>
      <c r="AQ158" s="58" t="s">
        <v>125</v>
      </c>
      <c r="AV158" s="55">
        <f aca="true" t="shared" si="13" ref="AV158:AV178">AW158+AX158</f>
        <v>0</v>
      </c>
      <c r="AW158" s="55">
        <f aca="true" t="shared" si="14" ref="AW158:AW178">G158*AO158</f>
        <v>0</v>
      </c>
      <c r="AX158" s="55">
        <f aca="true" t="shared" si="15" ref="AX158:AX178">G158*AP158</f>
        <v>0</v>
      </c>
      <c r="AY158" s="58" t="s">
        <v>375</v>
      </c>
      <c r="AZ158" s="58" t="s">
        <v>362</v>
      </c>
      <c r="BA158" s="34" t="s">
        <v>128</v>
      </c>
      <c r="BC158" s="55">
        <f aca="true" t="shared" si="16" ref="BC158:BC178">AW158+AX158</f>
        <v>0</v>
      </c>
      <c r="BD158" s="55">
        <f aca="true" t="shared" si="17" ref="BD158:BD178">H158/(100-BE158)*100</f>
        <v>0</v>
      </c>
      <c r="BE158" s="55">
        <v>0</v>
      </c>
      <c r="BF158" s="55">
        <f aca="true" t="shared" si="18" ref="BF158:BF178">K158</f>
        <v>0</v>
      </c>
      <c r="BH158" s="55">
        <f aca="true" t="shared" si="19" ref="BH158:BH178">G158*AO158</f>
        <v>0</v>
      </c>
      <c r="BI158" s="55">
        <f aca="true" t="shared" si="20" ref="BI158:BI178">G158*AP158</f>
        <v>0</v>
      </c>
      <c r="BJ158" s="55">
        <f aca="true" t="shared" si="21" ref="BJ158:BJ178">G158*H158</f>
        <v>0</v>
      </c>
      <c r="BK158" s="55"/>
      <c r="BL158" s="55">
        <v>751</v>
      </c>
      <c r="BW158" s="55">
        <v>21</v>
      </c>
    </row>
    <row r="159" spans="1:75" ht="13.5" customHeight="1">
      <c r="A159" s="61" t="s">
        <v>376</v>
      </c>
      <c r="B159" s="62" t="s">
        <v>116</v>
      </c>
      <c r="C159" s="62" t="s">
        <v>377</v>
      </c>
      <c r="D159" s="224" t="s">
        <v>378</v>
      </c>
      <c r="E159" s="225"/>
      <c r="F159" s="62" t="s">
        <v>374</v>
      </c>
      <c r="G159" s="63">
        <f>'Stavební rozpočet-vyplnit'!G159</f>
        <v>2</v>
      </c>
      <c r="H159" s="63">
        <f>'Stavební rozpočet-vyplnit'!H159</f>
        <v>0</v>
      </c>
      <c r="I159" s="63">
        <f t="shared" si="0"/>
        <v>0</v>
      </c>
      <c r="J159" s="63">
        <f>'Stavební rozpočet-vyplnit'!J159</f>
        <v>0</v>
      </c>
      <c r="K159" s="63">
        <f t="shared" si="1"/>
        <v>0</v>
      </c>
      <c r="L159" s="65" t="s">
        <v>124</v>
      </c>
      <c r="Z159" s="55">
        <f t="shared" si="2"/>
        <v>0</v>
      </c>
      <c r="AB159" s="55">
        <f t="shared" si="3"/>
        <v>0</v>
      </c>
      <c r="AC159" s="55">
        <f t="shared" si="4"/>
        <v>0</v>
      </c>
      <c r="AD159" s="55">
        <f t="shared" si="5"/>
        <v>0</v>
      </c>
      <c r="AE159" s="55">
        <f t="shared" si="6"/>
        <v>0</v>
      </c>
      <c r="AF159" s="55">
        <f t="shared" si="7"/>
        <v>0</v>
      </c>
      <c r="AG159" s="55">
        <f t="shared" si="8"/>
        <v>0</v>
      </c>
      <c r="AH159" s="55">
        <f t="shared" si="9"/>
        <v>0</v>
      </c>
      <c r="AI159" s="34" t="s">
        <v>116</v>
      </c>
      <c r="AJ159" s="63">
        <f t="shared" si="10"/>
        <v>0</v>
      </c>
      <c r="AK159" s="63">
        <f t="shared" si="11"/>
        <v>0</v>
      </c>
      <c r="AL159" s="63">
        <f t="shared" si="12"/>
        <v>0</v>
      </c>
      <c r="AN159" s="55">
        <v>21</v>
      </c>
      <c r="AO159" s="55">
        <f>H159*1</f>
        <v>0</v>
      </c>
      <c r="AP159" s="55">
        <f>H159*(1-1)</f>
        <v>0</v>
      </c>
      <c r="AQ159" s="66" t="s">
        <v>125</v>
      </c>
      <c r="AV159" s="55">
        <f t="shared" si="13"/>
        <v>0</v>
      </c>
      <c r="AW159" s="55">
        <f t="shared" si="14"/>
        <v>0</v>
      </c>
      <c r="AX159" s="55">
        <f t="shared" si="15"/>
        <v>0</v>
      </c>
      <c r="AY159" s="58" t="s">
        <v>375</v>
      </c>
      <c r="AZ159" s="58" t="s">
        <v>362</v>
      </c>
      <c r="BA159" s="34" t="s">
        <v>128</v>
      </c>
      <c r="BC159" s="55">
        <f t="shared" si="16"/>
        <v>0</v>
      </c>
      <c r="BD159" s="55">
        <f t="shared" si="17"/>
        <v>0</v>
      </c>
      <c r="BE159" s="55">
        <v>0</v>
      </c>
      <c r="BF159" s="55">
        <f t="shared" si="18"/>
        <v>0</v>
      </c>
      <c r="BH159" s="63">
        <f t="shared" si="19"/>
        <v>0</v>
      </c>
      <c r="BI159" s="63">
        <f t="shared" si="20"/>
        <v>0</v>
      </c>
      <c r="BJ159" s="63">
        <f t="shared" si="21"/>
        <v>0</v>
      </c>
      <c r="BK159" s="63"/>
      <c r="BL159" s="55">
        <v>751</v>
      </c>
      <c r="BW159" s="55">
        <v>21</v>
      </c>
    </row>
    <row r="160" spans="1:75" ht="13.5" customHeight="1">
      <c r="A160" s="1" t="s">
        <v>379</v>
      </c>
      <c r="B160" s="2" t="s">
        <v>116</v>
      </c>
      <c r="C160" s="2" t="s">
        <v>380</v>
      </c>
      <c r="D160" s="147" t="s">
        <v>381</v>
      </c>
      <c r="E160" s="148"/>
      <c r="F160" s="2" t="s">
        <v>374</v>
      </c>
      <c r="G160" s="55">
        <f>'Stavební rozpočet-vyplnit'!G160</f>
        <v>9</v>
      </c>
      <c r="H160" s="55">
        <f>'Stavební rozpočet-vyplnit'!H160</f>
        <v>0</v>
      </c>
      <c r="I160" s="55">
        <f t="shared" si="0"/>
        <v>0</v>
      </c>
      <c r="J160" s="55">
        <f>'Stavební rozpočet-vyplnit'!J160</f>
        <v>0</v>
      </c>
      <c r="K160" s="55">
        <f t="shared" si="1"/>
        <v>0</v>
      </c>
      <c r="L160" s="57" t="s">
        <v>124</v>
      </c>
      <c r="Z160" s="55">
        <f t="shared" si="2"/>
        <v>0</v>
      </c>
      <c r="AB160" s="55">
        <f t="shared" si="3"/>
        <v>0</v>
      </c>
      <c r="AC160" s="55">
        <f t="shared" si="4"/>
        <v>0</v>
      </c>
      <c r="AD160" s="55">
        <f t="shared" si="5"/>
        <v>0</v>
      </c>
      <c r="AE160" s="55">
        <f t="shared" si="6"/>
        <v>0</v>
      </c>
      <c r="AF160" s="55">
        <f t="shared" si="7"/>
        <v>0</v>
      </c>
      <c r="AG160" s="55">
        <f t="shared" si="8"/>
        <v>0</v>
      </c>
      <c r="AH160" s="55">
        <f t="shared" si="9"/>
        <v>0</v>
      </c>
      <c r="AI160" s="34" t="s">
        <v>116</v>
      </c>
      <c r="AJ160" s="55">
        <f t="shared" si="10"/>
        <v>0</v>
      </c>
      <c r="AK160" s="55">
        <f t="shared" si="11"/>
        <v>0</v>
      </c>
      <c r="AL160" s="55">
        <f t="shared" si="12"/>
        <v>0</v>
      </c>
      <c r="AN160" s="55">
        <v>21</v>
      </c>
      <c r="AO160" s="55">
        <f>H160*0</f>
        <v>0</v>
      </c>
      <c r="AP160" s="55">
        <f>H160*(1-0)</f>
        <v>0</v>
      </c>
      <c r="AQ160" s="58" t="s">
        <v>125</v>
      </c>
      <c r="AV160" s="55">
        <f t="shared" si="13"/>
        <v>0</v>
      </c>
      <c r="AW160" s="55">
        <f t="shared" si="14"/>
        <v>0</v>
      </c>
      <c r="AX160" s="55">
        <f t="shared" si="15"/>
        <v>0</v>
      </c>
      <c r="AY160" s="58" t="s">
        <v>375</v>
      </c>
      <c r="AZ160" s="58" t="s">
        <v>362</v>
      </c>
      <c r="BA160" s="34" t="s">
        <v>128</v>
      </c>
      <c r="BC160" s="55">
        <f t="shared" si="16"/>
        <v>0</v>
      </c>
      <c r="BD160" s="55">
        <f t="shared" si="17"/>
        <v>0</v>
      </c>
      <c r="BE160" s="55">
        <v>0</v>
      </c>
      <c r="BF160" s="55">
        <f t="shared" si="18"/>
        <v>0</v>
      </c>
      <c r="BH160" s="55">
        <f t="shared" si="19"/>
        <v>0</v>
      </c>
      <c r="BI160" s="55">
        <f t="shared" si="20"/>
        <v>0</v>
      </c>
      <c r="BJ160" s="55">
        <f t="shared" si="21"/>
        <v>0</v>
      </c>
      <c r="BK160" s="55"/>
      <c r="BL160" s="55">
        <v>751</v>
      </c>
      <c r="BW160" s="55">
        <v>21</v>
      </c>
    </row>
    <row r="161" spans="1:75" ht="13.5" customHeight="1">
      <c r="A161" s="61" t="s">
        <v>382</v>
      </c>
      <c r="B161" s="62" t="s">
        <v>116</v>
      </c>
      <c r="C161" s="62" t="s">
        <v>383</v>
      </c>
      <c r="D161" s="224" t="s">
        <v>384</v>
      </c>
      <c r="E161" s="225"/>
      <c r="F161" s="62" t="s">
        <v>374</v>
      </c>
      <c r="G161" s="63">
        <f>'Stavební rozpočet-vyplnit'!G161</f>
        <v>9</v>
      </c>
      <c r="H161" s="63">
        <f>'Stavební rozpočet-vyplnit'!H161</f>
        <v>0</v>
      </c>
      <c r="I161" s="63">
        <f t="shared" si="0"/>
        <v>0</v>
      </c>
      <c r="J161" s="63">
        <f>'Stavební rozpočet-vyplnit'!J161</f>
        <v>0</v>
      </c>
      <c r="K161" s="63">
        <f t="shared" si="1"/>
        <v>0</v>
      </c>
      <c r="L161" s="65" t="s">
        <v>124</v>
      </c>
      <c r="Z161" s="55">
        <f t="shared" si="2"/>
        <v>0</v>
      </c>
      <c r="AB161" s="55">
        <f t="shared" si="3"/>
        <v>0</v>
      </c>
      <c r="AC161" s="55">
        <f t="shared" si="4"/>
        <v>0</v>
      </c>
      <c r="AD161" s="55">
        <f t="shared" si="5"/>
        <v>0</v>
      </c>
      <c r="AE161" s="55">
        <f t="shared" si="6"/>
        <v>0</v>
      </c>
      <c r="AF161" s="55">
        <f t="shared" si="7"/>
        <v>0</v>
      </c>
      <c r="AG161" s="55">
        <f t="shared" si="8"/>
        <v>0</v>
      </c>
      <c r="AH161" s="55">
        <f t="shared" si="9"/>
        <v>0</v>
      </c>
      <c r="AI161" s="34" t="s">
        <v>116</v>
      </c>
      <c r="AJ161" s="63">
        <f t="shared" si="10"/>
        <v>0</v>
      </c>
      <c r="AK161" s="63">
        <f t="shared" si="11"/>
        <v>0</v>
      </c>
      <c r="AL161" s="63">
        <f t="shared" si="12"/>
        <v>0</v>
      </c>
      <c r="AN161" s="55">
        <v>21</v>
      </c>
      <c r="AO161" s="55">
        <f>H161*1</f>
        <v>0</v>
      </c>
      <c r="AP161" s="55">
        <f>H161*(1-1)</f>
        <v>0</v>
      </c>
      <c r="AQ161" s="66" t="s">
        <v>125</v>
      </c>
      <c r="AV161" s="55">
        <f t="shared" si="13"/>
        <v>0</v>
      </c>
      <c r="AW161" s="55">
        <f t="shared" si="14"/>
        <v>0</v>
      </c>
      <c r="AX161" s="55">
        <f t="shared" si="15"/>
        <v>0</v>
      </c>
      <c r="AY161" s="58" t="s">
        <v>375</v>
      </c>
      <c r="AZ161" s="58" t="s">
        <v>362</v>
      </c>
      <c r="BA161" s="34" t="s">
        <v>128</v>
      </c>
      <c r="BC161" s="55">
        <f t="shared" si="16"/>
        <v>0</v>
      </c>
      <c r="BD161" s="55">
        <f t="shared" si="17"/>
        <v>0</v>
      </c>
      <c r="BE161" s="55">
        <v>0</v>
      </c>
      <c r="BF161" s="55">
        <f t="shared" si="18"/>
        <v>0</v>
      </c>
      <c r="BH161" s="63">
        <f t="shared" si="19"/>
        <v>0</v>
      </c>
      <c r="BI161" s="63">
        <f t="shared" si="20"/>
        <v>0</v>
      </c>
      <c r="BJ161" s="63">
        <f t="shared" si="21"/>
        <v>0</v>
      </c>
      <c r="BK161" s="63"/>
      <c r="BL161" s="55">
        <v>751</v>
      </c>
      <c r="BW161" s="55">
        <v>21</v>
      </c>
    </row>
    <row r="162" spans="1:75" ht="13.5" customHeight="1">
      <c r="A162" s="1" t="s">
        <v>385</v>
      </c>
      <c r="B162" s="2" t="s">
        <v>116</v>
      </c>
      <c r="C162" s="2" t="s">
        <v>386</v>
      </c>
      <c r="D162" s="147" t="s">
        <v>387</v>
      </c>
      <c r="E162" s="148"/>
      <c r="F162" s="2" t="s">
        <v>374</v>
      </c>
      <c r="G162" s="55">
        <f>'Stavební rozpočet-vyplnit'!G162</f>
        <v>4</v>
      </c>
      <c r="H162" s="55">
        <f>'Stavební rozpočet-vyplnit'!H162</f>
        <v>0</v>
      </c>
      <c r="I162" s="55">
        <f t="shared" si="0"/>
        <v>0</v>
      </c>
      <c r="J162" s="55">
        <f>'Stavební rozpočet-vyplnit'!J162</f>
        <v>0</v>
      </c>
      <c r="K162" s="55">
        <f t="shared" si="1"/>
        <v>0</v>
      </c>
      <c r="L162" s="57" t="s">
        <v>124</v>
      </c>
      <c r="Z162" s="55">
        <f t="shared" si="2"/>
        <v>0</v>
      </c>
      <c r="AB162" s="55">
        <f t="shared" si="3"/>
        <v>0</v>
      </c>
      <c r="AC162" s="55">
        <f t="shared" si="4"/>
        <v>0</v>
      </c>
      <c r="AD162" s="55">
        <f t="shared" si="5"/>
        <v>0</v>
      </c>
      <c r="AE162" s="55">
        <f t="shared" si="6"/>
        <v>0</v>
      </c>
      <c r="AF162" s="55">
        <f t="shared" si="7"/>
        <v>0</v>
      </c>
      <c r="AG162" s="55">
        <f t="shared" si="8"/>
        <v>0</v>
      </c>
      <c r="AH162" s="55">
        <f t="shared" si="9"/>
        <v>0</v>
      </c>
      <c r="AI162" s="34" t="s">
        <v>116</v>
      </c>
      <c r="AJ162" s="55">
        <f t="shared" si="10"/>
        <v>0</v>
      </c>
      <c r="AK162" s="55">
        <f t="shared" si="11"/>
        <v>0</v>
      </c>
      <c r="AL162" s="55">
        <f t="shared" si="12"/>
        <v>0</v>
      </c>
      <c r="AN162" s="55">
        <v>21</v>
      </c>
      <c r="AO162" s="55">
        <f>H162*0</f>
        <v>0</v>
      </c>
      <c r="AP162" s="55">
        <f>H162*(1-0)</f>
        <v>0</v>
      </c>
      <c r="AQ162" s="58" t="s">
        <v>125</v>
      </c>
      <c r="AV162" s="55">
        <f t="shared" si="13"/>
        <v>0</v>
      </c>
      <c r="AW162" s="55">
        <f t="shared" si="14"/>
        <v>0</v>
      </c>
      <c r="AX162" s="55">
        <f t="shared" si="15"/>
        <v>0</v>
      </c>
      <c r="AY162" s="58" t="s">
        <v>375</v>
      </c>
      <c r="AZ162" s="58" t="s">
        <v>362</v>
      </c>
      <c r="BA162" s="34" t="s">
        <v>128</v>
      </c>
      <c r="BC162" s="55">
        <f t="shared" si="16"/>
        <v>0</v>
      </c>
      <c r="BD162" s="55">
        <f t="shared" si="17"/>
        <v>0</v>
      </c>
      <c r="BE162" s="55">
        <v>0</v>
      </c>
      <c r="BF162" s="55">
        <f t="shared" si="18"/>
        <v>0</v>
      </c>
      <c r="BH162" s="55">
        <f t="shared" si="19"/>
        <v>0</v>
      </c>
      <c r="BI162" s="55">
        <f t="shared" si="20"/>
        <v>0</v>
      </c>
      <c r="BJ162" s="55">
        <f t="shared" si="21"/>
        <v>0</v>
      </c>
      <c r="BK162" s="55"/>
      <c r="BL162" s="55">
        <v>751</v>
      </c>
      <c r="BW162" s="55">
        <v>21</v>
      </c>
    </row>
    <row r="163" spans="1:75" ht="13.5" customHeight="1">
      <c r="A163" s="61" t="s">
        <v>388</v>
      </c>
      <c r="B163" s="62" t="s">
        <v>116</v>
      </c>
      <c r="C163" s="62" t="s">
        <v>389</v>
      </c>
      <c r="D163" s="224" t="s">
        <v>390</v>
      </c>
      <c r="E163" s="225"/>
      <c r="F163" s="62" t="s">
        <v>374</v>
      </c>
      <c r="G163" s="63">
        <f>'Stavební rozpočet-vyplnit'!G163</f>
        <v>2</v>
      </c>
      <c r="H163" s="63">
        <f>'Stavební rozpočet-vyplnit'!H163</f>
        <v>0</v>
      </c>
      <c r="I163" s="63">
        <f t="shared" si="0"/>
        <v>0</v>
      </c>
      <c r="J163" s="63">
        <f>'Stavební rozpočet-vyplnit'!J163</f>
        <v>0</v>
      </c>
      <c r="K163" s="63">
        <f t="shared" si="1"/>
        <v>0</v>
      </c>
      <c r="L163" s="65" t="s">
        <v>124</v>
      </c>
      <c r="Z163" s="55">
        <f t="shared" si="2"/>
        <v>0</v>
      </c>
      <c r="AB163" s="55">
        <f t="shared" si="3"/>
        <v>0</v>
      </c>
      <c r="AC163" s="55">
        <f t="shared" si="4"/>
        <v>0</v>
      </c>
      <c r="AD163" s="55">
        <f t="shared" si="5"/>
        <v>0</v>
      </c>
      <c r="AE163" s="55">
        <f t="shared" si="6"/>
        <v>0</v>
      </c>
      <c r="AF163" s="55">
        <f t="shared" si="7"/>
        <v>0</v>
      </c>
      <c r="AG163" s="55">
        <f t="shared" si="8"/>
        <v>0</v>
      </c>
      <c r="AH163" s="55">
        <f t="shared" si="9"/>
        <v>0</v>
      </c>
      <c r="AI163" s="34" t="s">
        <v>116</v>
      </c>
      <c r="AJ163" s="63">
        <f t="shared" si="10"/>
        <v>0</v>
      </c>
      <c r="AK163" s="63">
        <f t="shared" si="11"/>
        <v>0</v>
      </c>
      <c r="AL163" s="63">
        <f t="shared" si="12"/>
        <v>0</v>
      </c>
      <c r="AN163" s="55">
        <v>21</v>
      </c>
      <c r="AO163" s="55">
        <f>H163*1</f>
        <v>0</v>
      </c>
      <c r="AP163" s="55">
        <f>H163*(1-1)</f>
        <v>0</v>
      </c>
      <c r="AQ163" s="66" t="s">
        <v>125</v>
      </c>
      <c r="AV163" s="55">
        <f t="shared" si="13"/>
        <v>0</v>
      </c>
      <c r="AW163" s="55">
        <f t="shared" si="14"/>
        <v>0</v>
      </c>
      <c r="AX163" s="55">
        <f t="shared" si="15"/>
        <v>0</v>
      </c>
      <c r="AY163" s="58" t="s">
        <v>375</v>
      </c>
      <c r="AZ163" s="58" t="s">
        <v>362</v>
      </c>
      <c r="BA163" s="34" t="s">
        <v>128</v>
      </c>
      <c r="BC163" s="55">
        <f t="shared" si="16"/>
        <v>0</v>
      </c>
      <c r="BD163" s="55">
        <f t="shared" si="17"/>
        <v>0</v>
      </c>
      <c r="BE163" s="55">
        <v>0</v>
      </c>
      <c r="BF163" s="55">
        <f t="shared" si="18"/>
        <v>0</v>
      </c>
      <c r="BH163" s="63">
        <f t="shared" si="19"/>
        <v>0</v>
      </c>
      <c r="BI163" s="63">
        <f t="shared" si="20"/>
        <v>0</v>
      </c>
      <c r="BJ163" s="63">
        <f t="shared" si="21"/>
        <v>0</v>
      </c>
      <c r="BK163" s="63"/>
      <c r="BL163" s="55">
        <v>751</v>
      </c>
      <c r="BW163" s="55">
        <v>21</v>
      </c>
    </row>
    <row r="164" spans="1:75" ht="13.5" customHeight="1">
      <c r="A164" s="61" t="s">
        <v>391</v>
      </c>
      <c r="B164" s="62" t="s">
        <v>116</v>
      </c>
      <c r="C164" s="62" t="s">
        <v>392</v>
      </c>
      <c r="D164" s="224" t="s">
        <v>393</v>
      </c>
      <c r="E164" s="225"/>
      <c r="F164" s="62" t="s">
        <v>374</v>
      </c>
      <c r="G164" s="63">
        <f>'Stavební rozpočet-vyplnit'!G164</f>
        <v>2</v>
      </c>
      <c r="H164" s="63">
        <f>'Stavební rozpočet-vyplnit'!H164</f>
        <v>0</v>
      </c>
      <c r="I164" s="63">
        <f t="shared" si="0"/>
        <v>0</v>
      </c>
      <c r="J164" s="63">
        <f>'Stavební rozpočet-vyplnit'!J164</f>
        <v>0</v>
      </c>
      <c r="K164" s="63">
        <f t="shared" si="1"/>
        <v>0</v>
      </c>
      <c r="L164" s="65" t="s">
        <v>124</v>
      </c>
      <c r="Z164" s="55">
        <f t="shared" si="2"/>
        <v>0</v>
      </c>
      <c r="AB164" s="55">
        <f t="shared" si="3"/>
        <v>0</v>
      </c>
      <c r="AC164" s="55">
        <f t="shared" si="4"/>
        <v>0</v>
      </c>
      <c r="AD164" s="55">
        <f t="shared" si="5"/>
        <v>0</v>
      </c>
      <c r="AE164" s="55">
        <f t="shared" si="6"/>
        <v>0</v>
      </c>
      <c r="AF164" s="55">
        <f t="shared" si="7"/>
        <v>0</v>
      </c>
      <c r="AG164" s="55">
        <f t="shared" si="8"/>
        <v>0</v>
      </c>
      <c r="AH164" s="55">
        <f t="shared" si="9"/>
        <v>0</v>
      </c>
      <c r="AI164" s="34" t="s">
        <v>116</v>
      </c>
      <c r="AJ164" s="63">
        <f t="shared" si="10"/>
        <v>0</v>
      </c>
      <c r="AK164" s="63">
        <f t="shared" si="11"/>
        <v>0</v>
      </c>
      <c r="AL164" s="63">
        <f t="shared" si="12"/>
        <v>0</v>
      </c>
      <c r="AN164" s="55">
        <v>21</v>
      </c>
      <c r="AO164" s="55">
        <f>H164*1</f>
        <v>0</v>
      </c>
      <c r="AP164" s="55">
        <f>H164*(1-1)</f>
        <v>0</v>
      </c>
      <c r="AQ164" s="66" t="s">
        <v>125</v>
      </c>
      <c r="AV164" s="55">
        <f t="shared" si="13"/>
        <v>0</v>
      </c>
      <c r="AW164" s="55">
        <f t="shared" si="14"/>
        <v>0</v>
      </c>
      <c r="AX164" s="55">
        <f t="shared" si="15"/>
        <v>0</v>
      </c>
      <c r="AY164" s="58" t="s">
        <v>375</v>
      </c>
      <c r="AZ164" s="58" t="s">
        <v>362</v>
      </c>
      <c r="BA164" s="34" t="s">
        <v>128</v>
      </c>
      <c r="BC164" s="55">
        <f t="shared" si="16"/>
        <v>0</v>
      </c>
      <c r="BD164" s="55">
        <f t="shared" si="17"/>
        <v>0</v>
      </c>
      <c r="BE164" s="55">
        <v>0</v>
      </c>
      <c r="BF164" s="55">
        <f t="shared" si="18"/>
        <v>0</v>
      </c>
      <c r="BH164" s="63">
        <f t="shared" si="19"/>
        <v>0</v>
      </c>
      <c r="BI164" s="63">
        <f t="shared" si="20"/>
        <v>0</v>
      </c>
      <c r="BJ164" s="63">
        <f t="shared" si="21"/>
        <v>0</v>
      </c>
      <c r="BK164" s="63"/>
      <c r="BL164" s="55">
        <v>751</v>
      </c>
      <c r="BW164" s="55">
        <v>21</v>
      </c>
    </row>
    <row r="165" spans="1:75" ht="13.5" customHeight="1">
      <c r="A165" s="1" t="s">
        <v>394</v>
      </c>
      <c r="B165" s="2" t="s">
        <v>116</v>
      </c>
      <c r="C165" s="2" t="s">
        <v>395</v>
      </c>
      <c r="D165" s="147" t="s">
        <v>396</v>
      </c>
      <c r="E165" s="148"/>
      <c r="F165" s="2" t="s">
        <v>174</v>
      </c>
      <c r="G165" s="55">
        <f>'Stavební rozpočet-vyplnit'!G165</f>
        <v>65</v>
      </c>
      <c r="H165" s="55">
        <f>'Stavební rozpočet-vyplnit'!H165</f>
        <v>0</v>
      </c>
      <c r="I165" s="55">
        <f t="shared" si="0"/>
        <v>0</v>
      </c>
      <c r="J165" s="55">
        <f>'Stavební rozpočet-vyplnit'!J165</f>
        <v>0</v>
      </c>
      <c r="K165" s="55">
        <f t="shared" si="1"/>
        <v>0</v>
      </c>
      <c r="L165" s="57" t="s">
        <v>124</v>
      </c>
      <c r="Z165" s="55">
        <f t="shared" si="2"/>
        <v>0</v>
      </c>
      <c r="AB165" s="55">
        <f t="shared" si="3"/>
        <v>0</v>
      </c>
      <c r="AC165" s="55">
        <f t="shared" si="4"/>
        <v>0</v>
      </c>
      <c r="AD165" s="55">
        <f t="shared" si="5"/>
        <v>0</v>
      </c>
      <c r="AE165" s="55">
        <f t="shared" si="6"/>
        <v>0</v>
      </c>
      <c r="AF165" s="55">
        <f t="shared" si="7"/>
        <v>0</v>
      </c>
      <c r="AG165" s="55">
        <f t="shared" si="8"/>
        <v>0</v>
      </c>
      <c r="AH165" s="55">
        <f t="shared" si="9"/>
        <v>0</v>
      </c>
      <c r="AI165" s="34" t="s">
        <v>116</v>
      </c>
      <c r="AJ165" s="55">
        <f t="shared" si="10"/>
        <v>0</v>
      </c>
      <c r="AK165" s="55">
        <f t="shared" si="11"/>
        <v>0</v>
      </c>
      <c r="AL165" s="55">
        <f t="shared" si="12"/>
        <v>0</v>
      </c>
      <c r="AN165" s="55">
        <v>21</v>
      </c>
      <c r="AO165" s="55">
        <f>H165*0</f>
        <v>0</v>
      </c>
      <c r="AP165" s="55">
        <f>H165*(1-0)</f>
        <v>0</v>
      </c>
      <c r="AQ165" s="58" t="s">
        <v>125</v>
      </c>
      <c r="AV165" s="55">
        <f t="shared" si="13"/>
        <v>0</v>
      </c>
      <c r="AW165" s="55">
        <f t="shared" si="14"/>
        <v>0</v>
      </c>
      <c r="AX165" s="55">
        <f t="shared" si="15"/>
        <v>0</v>
      </c>
      <c r="AY165" s="58" t="s">
        <v>375</v>
      </c>
      <c r="AZ165" s="58" t="s">
        <v>362</v>
      </c>
      <c r="BA165" s="34" t="s">
        <v>128</v>
      </c>
      <c r="BC165" s="55">
        <f t="shared" si="16"/>
        <v>0</v>
      </c>
      <c r="BD165" s="55">
        <f t="shared" si="17"/>
        <v>0</v>
      </c>
      <c r="BE165" s="55">
        <v>0</v>
      </c>
      <c r="BF165" s="55">
        <f t="shared" si="18"/>
        <v>0</v>
      </c>
      <c r="BH165" s="55">
        <f t="shared" si="19"/>
        <v>0</v>
      </c>
      <c r="BI165" s="55">
        <f t="shared" si="20"/>
        <v>0</v>
      </c>
      <c r="BJ165" s="55">
        <f t="shared" si="21"/>
        <v>0</v>
      </c>
      <c r="BK165" s="55"/>
      <c r="BL165" s="55">
        <v>751</v>
      </c>
      <c r="BW165" s="55">
        <v>21</v>
      </c>
    </row>
    <row r="166" spans="1:75" ht="13.5" customHeight="1">
      <c r="A166" s="61" t="s">
        <v>397</v>
      </c>
      <c r="B166" s="62" t="s">
        <v>116</v>
      </c>
      <c r="C166" s="62" t="s">
        <v>398</v>
      </c>
      <c r="D166" s="224" t="s">
        <v>399</v>
      </c>
      <c r="E166" s="225"/>
      <c r="F166" s="62" t="s">
        <v>400</v>
      </c>
      <c r="G166" s="63">
        <f>'Stavební rozpočet-vyplnit'!G166</f>
        <v>4</v>
      </c>
      <c r="H166" s="63">
        <f>'Stavební rozpočet-vyplnit'!H166</f>
        <v>0</v>
      </c>
      <c r="I166" s="63">
        <f t="shared" si="0"/>
        <v>0</v>
      </c>
      <c r="J166" s="63">
        <f>'Stavební rozpočet-vyplnit'!J166</f>
        <v>0</v>
      </c>
      <c r="K166" s="63">
        <f t="shared" si="1"/>
        <v>0</v>
      </c>
      <c r="L166" s="65" t="s">
        <v>124</v>
      </c>
      <c r="Z166" s="55">
        <f t="shared" si="2"/>
        <v>0</v>
      </c>
      <c r="AB166" s="55">
        <f t="shared" si="3"/>
        <v>0</v>
      </c>
      <c r="AC166" s="55">
        <f t="shared" si="4"/>
        <v>0</v>
      </c>
      <c r="AD166" s="55">
        <f t="shared" si="5"/>
        <v>0</v>
      </c>
      <c r="AE166" s="55">
        <f t="shared" si="6"/>
        <v>0</v>
      </c>
      <c r="AF166" s="55">
        <f t="shared" si="7"/>
        <v>0</v>
      </c>
      <c r="AG166" s="55">
        <f t="shared" si="8"/>
        <v>0</v>
      </c>
      <c r="AH166" s="55">
        <f t="shared" si="9"/>
        <v>0</v>
      </c>
      <c r="AI166" s="34" t="s">
        <v>116</v>
      </c>
      <c r="AJ166" s="63">
        <f t="shared" si="10"/>
        <v>0</v>
      </c>
      <c r="AK166" s="63">
        <f t="shared" si="11"/>
        <v>0</v>
      </c>
      <c r="AL166" s="63">
        <f t="shared" si="12"/>
        <v>0</v>
      </c>
      <c r="AN166" s="55">
        <v>21</v>
      </c>
      <c r="AO166" s="55">
        <f>H166*1</f>
        <v>0</v>
      </c>
      <c r="AP166" s="55">
        <f>H166*(1-1)</f>
        <v>0</v>
      </c>
      <c r="AQ166" s="66" t="s">
        <v>125</v>
      </c>
      <c r="AV166" s="55">
        <f t="shared" si="13"/>
        <v>0</v>
      </c>
      <c r="AW166" s="55">
        <f t="shared" si="14"/>
        <v>0</v>
      </c>
      <c r="AX166" s="55">
        <f t="shared" si="15"/>
        <v>0</v>
      </c>
      <c r="AY166" s="58" t="s">
        <v>375</v>
      </c>
      <c r="AZ166" s="58" t="s">
        <v>362</v>
      </c>
      <c r="BA166" s="34" t="s">
        <v>128</v>
      </c>
      <c r="BC166" s="55">
        <f t="shared" si="16"/>
        <v>0</v>
      </c>
      <c r="BD166" s="55">
        <f t="shared" si="17"/>
        <v>0</v>
      </c>
      <c r="BE166" s="55">
        <v>0</v>
      </c>
      <c r="BF166" s="55">
        <f t="shared" si="18"/>
        <v>0</v>
      </c>
      <c r="BH166" s="63">
        <f t="shared" si="19"/>
        <v>0</v>
      </c>
      <c r="BI166" s="63">
        <f t="shared" si="20"/>
        <v>0</v>
      </c>
      <c r="BJ166" s="63">
        <f t="shared" si="21"/>
        <v>0</v>
      </c>
      <c r="BK166" s="63"/>
      <c r="BL166" s="55">
        <v>751</v>
      </c>
      <c r="BW166" s="55">
        <v>21</v>
      </c>
    </row>
    <row r="167" spans="1:75" ht="13.5" customHeight="1">
      <c r="A167" s="1" t="s">
        <v>401</v>
      </c>
      <c r="B167" s="2" t="s">
        <v>116</v>
      </c>
      <c r="C167" s="2" t="s">
        <v>402</v>
      </c>
      <c r="D167" s="147" t="s">
        <v>403</v>
      </c>
      <c r="E167" s="148"/>
      <c r="F167" s="2" t="s">
        <v>174</v>
      </c>
      <c r="G167" s="55">
        <f>'Stavební rozpočet-vyplnit'!G167</f>
        <v>10</v>
      </c>
      <c r="H167" s="55">
        <f>'Stavební rozpočet-vyplnit'!H167</f>
        <v>0</v>
      </c>
      <c r="I167" s="55">
        <f t="shared" si="0"/>
        <v>0</v>
      </c>
      <c r="J167" s="55">
        <f>'Stavební rozpočet-vyplnit'!J167</f>
        <v>0</v>
      </c>
      <c r="K167" s="55">
        <f t="shared" si="1"/>
        <v>0</v>
      </c>
      <c r="L167" s="57" t="s">
        <v>124</v>
      </c>
      <c r="Z167" s="55">
        <f t="shared" si="2"/>
        <v>0</v>
      </c>
      <c r="AB167" s="55">
        <f t="shared" si="3"/>
        <v>0</v>
      </c>
      <c r="AC167" s="55">
        <f t="shared" si="4"/>
        <v>0</v>
      </c>
      <c r="AD167" s="55">
        <f t="shared" si="5"/>
        <v>0</v>
      </c>
      <c r="AE167" s="55">
        <f t="shared" si="6"/>
        <v>0</v>
      </c>
      <c r="AF167" s="55">
        <f t="shared" si="7"/>
        <v>0</v>
      </c>
      <c r="AG167" s="55">
        <f t="shared" si="8"/>
        <v>0</v>
      </c>
      <c r="AH167" s="55">
        <f t="shared" si="9"/>
        <v>0</v>
      </c>
      <c r="AI167" s="34" t="s">
        <v>116</v>
      </c>
      <c r="AJ167" s="55">
        <f t="shared" si="10"/>
        <v>0</v>
      </c>
      <c r="AK167" s="55">
        <f t="shared" si="11"/>
        <v>0</v>
      </c>
      <c r="AL167" s="55">
        <f t="shared" si="12"/>
        <v>0</v>
      </c>
      <c r="AN167" s="55">
        <v>21</v>
      </c>
      <c r="AO167" s="55">
        <f>H167*0</f>
        <v>0</v>
      </c>
      <c r="AP167" s="55">
        <f>H167*(1-0)</f>
        <v>0</v>
      </c>
      <c r="AQ167" s="58" t="s">
        <v>125</v>
      </c>
      <c r="AV167" s="55">
        <f t="shared" si="13"/>
        <v>0</v>
      </c>
      <c r="AW167" s="55">
        <f t="shared" si="14"/>
        <v>0</v>
      </c>
      <c r="AX167" s="55">
        <f t="shared" si="15"/>
        <v>0</v>
      </c>
      <c r="AY167" s="58" t="s">
        <v>375</v>
      </c>
      <c r="AZ167" s="58" t="s">
        <v>362</v>
      </c>
      <c r="BA167" s="34" t="s">
        <v>128</v>
      </c>
      <c r="BC167" s="55">
        <f t="shared" si="16"/>
        <v>0</v>
      </c>
      <c r="BD167" s="55">
        <f t="shared" si="17"/>
        <v>0</v>
      </c>
      <c r="BE167" s="55">
        <v>0</v>
      </c>
      <c r="BF167" s="55">
        <f t="shared" si="18"/>
        <v>0</v>
      </c>
      <c r="BH167" s="55">
        <f t="shared" si="19"/>
        <v>0</v>
      </c>
      <c r="BI167" s="55">
        <f t="shared" si="20"/>
        <v>0</v>
      </c>
      <c r="BJ167" s="55">
        <f t="shared" si="21"/>
        <v>0</v>
      </c>
      <c r="BK167" s="55"/>
      <c r="BL167" s="55">
        <v>751</v>
      </c>
      <c r="BW167" s="55">
        <v>21</v>
      </c>
    </row>
    <row r="168" spans="1:75" ht="27" customHeight="1">
      <c r="A168" s="61" t="s">
        <v>404</v>
      </c>
      <c r="B168" s="62" t="s">
        <v>116</v>
      </c>
      <c r="C168" s="62" t="s">
        <v>405</v>
      </c>
      <c r="D168" s="224" t="s">
        <v>406</v>
      </c>
      <c r="E168" s="225"/>
      <c r="F168" s="62" t="s">
        <v>174</v>
      </c>
      <c r="G168" s="63">
        <f>'Stavební rozpočet-vyplnit'!G168</f>
        <v>12</v>
      </c>
      <c r="H168" s="63">
        <f>'Stavební rozpočet-vyplnit'!H168</f>
        <v>0</v>
      </c>
      <c r="I168" s="63">
        <f t="shared" si="0"/>
        <v>0</v>
      </c>
      <c r="J168" s="63">
        <f>'Stavební rozpočet-vyplnit'!J168</f>
        <v>0</v>
      </c>
      <c r="K168" s="63">
        <f t="shared" si="1"/>
        <v>0</v>
      </c>
      <c r="L168" s="65" t="s">
        <v>124</v>
      </c>
      <c r="Z168" s="55">
        <f t="shared" si="2"/>
        <v>0</v>
      </c>
      <c r="AB168" s="55">
        <f t="shared" si="3"/>
        <v>0</v>
      </c>
      <c r="AC168" s="55">
        <f t="shared" si="4"/>
        <v>0</v>
      </c>
      <c r="AD168" s="55">
        <f t="shared" si="5"/>
        <v>0</v>
      </c>
      <c r="AE168" s="55">
        <f t="shared" si="6"/>
        <v>0</v>
      </c>
      <c r="AF168" s="55">
        <f t="shared" si="7"/>
        <v>0</v>
      </c>
      <c r="AG168" s="55">
        <f t="shared" si="8"/>
        <v>0</v>
      </c>
      <c r="AH168" s="55">
        <f t="shared" si="9"/>
        <v>0</v>
      </c>
      <c r="AI168" s="34" t="s">
        <v>116</v>
      </c>
      <c r="AJ168" s="63">
        <f t="shared" si="10"/>
        <v>0</v>
      </c>
      <c r="AK168" s="63">
        <f t="shared" si="11"/>
        <v>0</v>
      </c>
      <c r="AL168" s="63">
        <f t="shared" si="12"/>
        <v>0</v>
      </c>
      <c r="AN168" s="55">
        <v>21</v>
      </c>
      <c r="AO168" s="55">
        <f>H168*1</f>
        <v>0</v>
      </c>
      <c r="AP168" s="55">
        <f>H168*(1-1)</f>
        <v>0</v>
      </c>
      <c r="AQ168" s="66" t="s">
        <v>125</v>
      </c>
      <c r="AV168" s="55">
        <f t="shared" si="13"/>
        <v>0</v>
      </c>
      <c r="AW168" s="55">
        <f t="shared" si="14"/>
        <v>0</v>
      </c>
      <c r="AX168" s="55">
        <f t="shared" si="15"/>
        <v>0</v>
      </c>
      <c r="AY168" s="58" t="s">
        <v>375</v>
      </c>
      <c r="AZ168" s="58" t="s">
        <v>362</v>
      </c>
      <c r="BA168" s="34" t="s">
        <v>128</v>
      </c>
      <c r="BC168" s="55">
        <f t="shared" si="16"/>
        <v>0</v>
      </c>
      <c r="BD168" s="55">
        <f t="shared" si="17"/>
        <v>0</v>
      </c>
      <c r="BE168" s="55">
        <v>0</v>
      </c>
      <c r="BF168" s="55">
        <f t="shared" si="18"/>
        <v>0</v>
      </c>
      <c r="BH168" s="63">
        <f t="shared" si="19"/>
        <v>0</v>
      </c>
      <c r="BI168" s="63">
        <f t="shared" si="20"/>
        <v>0</v>
      </c>
      <c r="BJ168" s="63">
        <f t="shared" si="21"/>
        <v>0</v>
      </c>
      <c r="BK168" s="63"/>
      <c r="BL168" s="55">
        <v>751</v>
      </c>
      <c r="BW168" s="55">
        <v>21</v>
      </c>
    </row>
    <row r="169" spans="1:75" ht="27" customHeight="1">
      <c r="A169" s="1" t="s">
        <v>407</v>
      </c>
      <c r="B169" s="2" t="s">
        <v>116</v>
      </c>
      <c r="C169" s="2" t="s">
        <v>408</v>
      </c>
      <c r="D169" s="147" t="s">
        <v>409</v>
      </c>
      <c r="E169" s="148"/>
      <c r="F169" s="2" t="s">
        <v>174</v>
      </c>
      <c r="G169" s="55">
        <f>'Stavební rozpočet-vyplnit'!G169</f>
        <v>7</v>
      </c>
      <c r="H169" s="55">
        <f>'Stavební rozpočet-vyplnit'!H169</f>
        <v>0</v>
      </c>
      <c r="I169" s="55">
        <f t="shared" si="0"/>
        <v>0</v>
      </c>
      <c r="J169" s="55">
        <f>'Stavební rozpočet-vyplnit'!J169</f>
        <v>0</v>
      </c>
      <c r="K169" s="55">
        <f t="shared" si="1"/>
        <v>0</v>
      </c>
      <c r="L169" s="57" t="s">
        <v>124</v>
      </c>
      <c r="Z169" s="55">
        <f t="shared" si="2"/>
        <v>0</v>
      </c>
      <c r="AB169" s="55">
        <f t="shared" si="3"/>
        <v>0</v>
      </c>
      <c r="AC169" s="55">
        <f t="shared" si="4"/>
        <v>0</v>
      </c>
      <c r="AD169" s="55">
        <f t="shared" si="5"/>
        <v>0</v>
      </c>
      <c r="AE169" s="55">
        <f t="shared" si="6"/>
        <v>0</v>
      </c>
      <c r="AF169" s="55">
        <f t="shared" si="7"/>
        <v>0</v>
      </c>
      <c r="AG169" s="55">
        <f t="shared" si="8"/>
        <v>0</v>
      </c>
      <c r="AH169" s="55">
        <f t="shared" si="9"/>
        <v>0</v>
      </c>
      <c r="AI169" s="34" t="s">
        <v>116</v>
      </c>
      <c r="AJ169" s="55">
        <f t="shared" si="10"/>
        <v>0</v>
      </c>
      <c r="AK169" s="55">
        <f t="shared" si="11"/>
        <v>0</v>
      </c>
      <c r="AL169" s="55">
        <f t="shared" si="12"/>
        <v>0</v>
      </c>
      <c r="AN169" s="55">
        <v>21</v>
      </c>
      <c r="AO169" s="55">
        <f>H169*0</f>
        <v>0</v>
      </c>
      <c r="AP169" s="55">
        <f>H169*(1-0)</f>
        <v>0</v>
      </c>
      <c r="AQ169" s="58" t="s">
        <v>125</v>
      </c>
      <c r="AV169" s="55">
        <f t="shared" si="13"/>
        <v>0</v>
      </c>
      <c r="AW169" s="55">
        <f t="shared" si="14"/>
        <v>0</v>
      </c>
      <c r="AX169" s="55">
        <f t="shared" si="15"/>
        <v>0</v>
      </c>
      <c r="AY169" s="58" t="s">
        <v>375</v>
      </c>
      <c r="AZ169" s="58" t="s">
        <v>362</v>
      </c>
      <c r="BA169" s="34" t="s">
        <v>128</v>
      </c>
      <c r="BC169" s="55">
        <f t="shared" si="16"/>
        <v>0</v>
      </c>
      <c r="BD169" s="55">
        <f t="shared" si="17"/>
        <v>0</v>
      </c>
      <c r="BE169" s="55">
        <v>0</v>
      </c>
      <c r="BF169" s="55">
        <f t="shared" si="18"/>
        <v>0</v>
      </c>
      <c r="BH169" s="55">
        <f t="shared" si="19"/>
        <v>0</v>
      </c>
      <c r="BI169" s="55">
        <f t="shared" si="20"/>
        <v>0</v>
      </c>
      <c r="BJ169" s="55">
        <f t="shared" si="21"/>
        <v>0</v>
      </c>
      <c r="BK169" s="55"/>
      <c r="BL169" s="55">
        <v>751</v>
      </c>
      <c r="BW169" s="55">
        <v>21</v>
      </c>
    </row>
    <row r="170" spans="1:75" ht="27" customHeight="1">
      <c r="A170" s="61" t="s">
        <v>410</v>
      </c>
      <c r="B170" s="62" t="s">
        <v>116</v>
      </c>
      <c r="C170" s="62" t="s">
        <v>411</v>
      </c>
      <c r="D170" s="224" t="s">
        <v>412</v>
      </c>
      <c r="E170" s="225"/>
      <c r="F170" s="62" t="s">
        <v>174</v>
      </c>
      <c r="G170" s="63">
        <f>'Stavební rozpočet-vyplnit'!G170</f>
        <v>3.6</v>
      </c>
      <c r="H170" s="63">
        <f>'Stavební rozpočet-vyplnit'!H170</f>
        <v>0</v>
      </c>
      <c r="I170" s="63">
        <f t="shared" si="0"/>
        <v>0</v>
      </c>
      <c r="J170" s="63">
        <f>'Stavební rozpočet-vyplnit'!J170</f>
        <v>0</v>
      </c>
      <c r="K170" s="63">
        <f t="shared" si="1"/>
        <v>0</v>
      </c>
      <c r="L170" s="65" t="s">
        <v>124</v>
      </c>
      <c r="Z170" s="55">
        <f t="shared" si="2"/>
        <v>0</v>
      </c>
      <c r="AB170" s="55">
        <f t="shared" si="3"/>
        <v>0</v>
      </c>
      <c r="AC170" s="55">
        <f t="shared" si="4"/>
        <v>0</v>
      </c>
      <c r="AD170" s="55">
        <f t="shared" si="5"/>
        <v>0</v>
      </c>
      <c r="AE170" s="55">
        <f t="shared" si="6"/>
        <v>0</v>
      </c>
      <c r="AF170" s="55">
        <f t="shared" si="7"/>
        <v>0</v>
      </c>
      <c r="AG170" s="55">
        <f t="shared" si="8"/>
        <v>0</v>
      </c>
      <c r="AH170" s="55">
        <f t="shared" si="9"/>
        <v>0</v>
      </c>
      <c r="AI170" s="34" t="s">
        <v>116</v>
      </c>
      <c r="AJ170" s="63">
        <f t="shared" si="10"/>
        <v>0</v>
      </c>
      <c r="AK170" s="63">
        <f t="shared" si="11"/>
        <v>0</v>
      </c>
      <c r="AL170" s="63">
        <f t="shared" si="12"/>
        <v>0</v>
      </c>
      <c r="AN170" s="55">
        <v>21</v>
      </c>
      <c r="AO170" s="55">
        <f>H170*1</f>
        <v>0</v>
      </c>
      <c r="AP170" s="55">
        <f>H170*(1-1)</f>
        <v>0</v>
      </c>
      <c r="AQ170" s="66" t="s">
        <v>125</v>
      </c>
      <c r="AV170" s="55">
        <f t="shared" si="13"/>
        <v>0</v>
      </c>
      <c r="AW170" s="55">
        <f t="shared" si="14"/>
        <v>0</v>
      </c>
      <c r="AX170" s="55">
        <f t="shared" si="15"/>
        <v>0</v>
      </c>
      <c r="AY170" s="58" t="s">
        <v>375</v>
      </c>
      <c r="AZ170" s="58" t="s">
        <v>362</v>
      </c>
      <c r="BA170" s="34" t="s">
        <v>128</v>
      </c>
      <c r="BC170" s="55">
        <f t="shared" si="16"/>
        <v>0</v>
      </c>
      <c r="BD170" s="55">
        <f t="shared" si="17"/>
        <v>0</v>
      </c>
      <c r="BE170" s="55">
        <v>0</v>
      </c>
      <c r="BF170" s="55">
        <f t="shared" si="18"/>
        <v>0</v>
      </c>
      <c r="BH170" s="63">
        <f t="shared" si="19"/>
        <v>0</v>
      </c>
      <c r="BI170" s="63">
        <f t="shared" si="20"/>
        <v>0</v>
      </c>
      <c r="BJ170" s="63">
        <f t="shared" si="21"/>
        <v>0</v>
      </c>
      <c r="BK170" s="63"/>
      <c r="BL170" s="55">
        <v>751</v>
      </c>
      <c r="BW170" s="55">
        <v>21</v>
      </c>
    </row>
    <row r="171" spans="1:75" ht="27" customHeight="1">
      <c r="A171" s="61" t="s">
        <v>413</v>
      </c>
      <c r="B171" s="62" t="s">
        <v>116</v>
      </c>
      <c r="C171" s="62" t="s">
        <v>414</v>
      </c>
      <c r="D171" s="224" t="s">
        <v>415</v>
      </c>
      <c r="E171" s="225"/>
      <c r="F171" s="62" t="s">
        <v>174</v>
      </c>
      <c r="G171" s="63">
        <f>'Stavební rozpočet-vyplnit'!G171</f>
        <v>5</v>
      </c>
      <c r="H171" s="63">
        <f>'Stavební rozpočet-vyplnit'!H171</f>
        <v>0</v>
      </c>
      <c r="I171" s="63">
        <f t="shared" si="0"/>
        <v>0</v>
      </c>
      <c r="J171" s="63">
        <f>'Stavební rozpočet-vyplnit'!J171</f>
        <v>0</v>
      </c>
      <c r="K171" s="63">
        <f t="shared" si="1"/>
        <v>0</v>
      </c>
      <c r="L171" s="65" t="s">
        <v>124</v>
      </c>
      <c r="Z171" s="55">
        <f t="shared" si="2"/>
        <v>0</v>
      </c>
      <c r="AB171" s="55">
        <f t="shared" si="3"/>
        <v>0</v>
      </c>
      <c r="AC171" s="55">
        <f t="shared" si="4"/>
        <v>0</v>
      </c>
      <c r="AD171" s="55">
        <f t="shared" si="5"/>
        <v>0</v>
      </c>
      <c r="AE171" s="55">
        <f t="shared" si="6"/>
        <v>0</v>
      </c>
      <c r="AF171" s="55">
        <f t="shared" si="7"/>
        <v>0</v>
      </c>
      <c r="AG171" s="55">
        <f t="shared" si="8"/>
        <v>0</v>
      </c>
      <c r="AH171" s="55">
        <f t="shared" si="9"/>
        <v>0</v>
      </c>
      <c r="AI171" s="34" t="s">
        <v>116</v>
      </c>
      <c r="AJ171" s="63">
        <f t="shared" si="10"/>
        <v>0</v>
      </c>
      <c r="AK171" s="63">
        <f t="shared" si="11"/>
        <v>0</v>
      </c>
      <c r="AL171" s="63">
        <f t="shared" si="12"/>
        <v>0</v>
      </c>
      <c r="AN171" s="55">
        <v>21</v>
      </c>
      <c r="AO171" s="55">
        <f>H171*1</f>
        <v>0</v>
      </c>
      <c r="AP171" s="55">
        <f>H171*(1-1)</f>
        <v>0</v>
      </c>
      <c r="AQ171" s="66" t="s">
        <v>125</v>
      </c>
      <c r="AV171" s="55">
        <f t="shared" si="13"/>
        <v>0</v>
      </c>
      <c r="AW171" s="55">
        <f t="shared" si="14"/>
        <v>0</v>
      </c>
      <c r="AX171" s="55">
        <f t="shared" si="15"/>
        <v>0</v>
      </c>
      <c r="AY171" s="58" t="s">
        <v>375</v>
      </c>
      <c r="AZ171" s="58" t="s">
        <v>362</v>
      </c>
      <c r="BA171" s="34" t="s">
        <v>128</v>
      </c>
      <c r="BC171" s="55">
        <f t="shared" si="16"/>
        <v>0</v>
      </c>
      <c r="BD171" s="55">
        <f t="shared" si="17"/>
        <v>0</v>
      </c>
      <c r="BE171" s="55">
        <v>0</v>
      </c>
      <c r="BF171" s="55">
        <f t="shared" si="18"/>
        <v>0</v>
      </c>
      <c r="BH171" s="63">
        <f t="shared" si="19"/>
        <v>0</v>
      </c>
      <c r="BI171" s="63">
        <f t="shared" si="20"/>
        <v>0</v>
      </c>
      <c r="BJ171" s="63">
        <f t="shared" si="21"/>
        <v>0</v>
      </c>
      <c r="BK171" s="63"/>
      <c r="BL171" s="55">
        <v>751</v>
      </c>
      <c r="BW171" s="55">
        <v>21</v>
      </c>
    </row>
    <row r="172" spans="1:75" ht="13.5" customHeight="1">
      <c r="A172" s="1" t="s">
        <v>416</v>
      </c>
      <c r="B172" s="2" t="s">
        <v>116</v>
      </c>
      <c r="C172" s="2" t="s">
        <v>417</v>
      </c>
      <c r="D172" s="147" t="s">
        <v>418</v>
      </c>
      <c r="E172" s="148"/>
      <c r="F172" s="2" t="s">
        <v>374</v>
      </c>
      <c r="G172" s="55">
        <f>'Stavební rozpočet-vyplnit'!G172</f>
        <v>13</v>
      </c>
      <c r="H172" s="55">
        <f>'Stavební rozpočet-vyplnit'!H172</f>
        <v>0</v>
      </c>
      <c r="I172" s="55">
        <f t="shared" si="0"/>
        <v>0</v>
      </c>
      <c r="J172" s="55">
        <f>'Stavební rozpočet-vyplnit'!J172</f>
        <v>0</v>
      </c>
      <c r="K172" s="55">
        <f t="shared" si="1"/>
        <v>0</v>
      </c>
      <c r="L172" s="57" t="s">
        <v>124</v>
      </c>
      <c r="Z172" s="55">
        <f t="shared" si="2"/>
        <v>0</v>
      </c>
      <c r="AB172" s="55">
        <f t="shared" si="3"/>
        <v>0</v>
      </c>
      <c r="AC172" s="55">
        <f t="shared" si="4"/>
        <v>0</v>
      </c>
      <c r="AD172" s="55">
        <f t="shared" si="5"/>
        <v>0</v>
      </c>
      <c r="AE172" s="55">
        <f t="shared" si="6"/>
        <v>0</v>
      </c>
      <c r="AF172" s="55">
        <f t="shared" si="7"/>
        <v>0</v>
      </c>
      <c r="AG172" s="55">
        <f t="shared" si="8"/>
        <v>0</v>
      </c>
      <c r="AH172" s="55">
        <f t="shared" si="9"/>
        <v>0</v>
      </c>
      <c r="AI172" s="34" t="s">
        <v>116</v>
      </c>
      <c r="AJ172" s="55">
        <f t="shared" si="10"/>
        <v>0</v>
      </c>
      <c r="AK172" s="55">
        <f t="shared" si="11"/>
        <v>0</v>
      </c>
      <c r="AL172" s="55">
        <f t="shared" si="12"/>
        <v>0</v>
      </c>
      <c r="AN172" s="55">
        <v>21</v>
      </c>
      <c r="AO172" s="55">
        <f>H172*0</f>
        <v>0</v>
      </c>
      <c r="AP172" s="55">
        <f>H172*(1-0)</f>
        <v>0</v>
      </c>
      <c r="AQ172" s="58" t="s">
        <v>125</v>
      </c>
      <c r="AV172" s="55">
        <f t="shared" si="13"/>
        <v>0</v>
      </c>
      <c r="AW172" s="55">
        <f t="shared" si="14"/>
        <v>0</v>
      </c>
      <c r="AX172" s="55">
        <f t="shared" si="15"/>
        <v>0</v>
      </c>
      <c r="AY172" s="58" t="s">
        <v>375</v>
      </c>
      <c r="AZ172" s="58" t="s">
        <v>362</v>
      </c>
      <c r="BA172" s="34" t="s">
        <v>128</v>
      </c>
      <c r="BC172" s="55">
        <f t="shared" si="16"/>
        <v>0</v>
      </c>
      <c r="BD172" s="55">
        <f t="shared" si="17"/>
        <v>0</v>
      </c>
      <c r="BE172" s="55">
        <v>0</v>
      </c>
      <c r="BF172" s="55">
        <f t="shared" si="18"/>
        <v>0</v>
      </c>
      <c r="BH172" s="55">
        <f t="shared" si="19"/>
        <v>0</v>
      </c>
      <c r="BI172" s="55">
        <f t="shared" si="20"/>
        <v>0</v>
      </c>
      <c r="BJ172" s="55">
        <f t="shared" si="21"/>
        <v>0</v>
      </c>
      <c r="BK172" s="55"/>
      <c r="BL172" s="55">
        <v>751</v>
      </c>
      <c r="BW172" s="55">
        <v>21</v>
      </c>
    </row>
    <row r="173" spans="1:75" ht="13.5" customHeight="1">
      <c r="A173" s="1" t="s">
        <v>419</v>
      </c>
      <c r="B173" s="2" t="s">
        <v>116</v>
      </c>
      <c r="C173" s="2" t="s">
        <v>420</v>
      </c>
      <c r="D173" s="147" t="s">
        <v>421</v>
      </c>
      <c r="E173" s="148"/>
      <c r="F173" s="2" t="s">
        <v>374</v>
      </c>
      <c r="G173" s="55">
        <f>'Stavební rozpočet-vyplnit'!G173</f>
        <v>4</v>
      </c>
      <c r="H173" s="55">
        <f>'Stavební rozpočet-vyplnit'!H173</f>
        <v>0</v>
      </c>
      <c r="I173" s="55">
        <f t="shared" si="0"/>
        <v>0</v>
      </c>
      <c r="J173" s="55">
        <f>'Stavební rozpočet-vyplnit'!J173</f>
        <v>0</v>
      </c>
      <c r="K173" s="55">
        <f t="shared" si="1"/>
        <v>0</v>
      </c>
      <c r="L173" s="57" t="s">
        <v>124</v>
      </c>
      <c r="Z173" s="55">
        <f t="shared" si="2"/>
        <v>0</v>
      </c>
      <c r="AB173" s="55">
        <f t="shared" si="3"/>
        <v>0</v>
      </c>
      <c r="AC173" s="55">
        <f t="shared" si="4"/>
        <v>0</v>
      </c>
      <c r="AD173" s="55">
        <f t="shared" si="5"/>
        <v>0</v>
      </c>
      <c r="AE173" s="55">
        <f t="shared" si="6"/>
        <v>0</v>
      </c>
      <c r="AF173" s="55">
        <f t="shared" si="7"/>
        <v>0</v>
      </c>
      <c r="AG173" s="55">
        <f t="shared" si="8"/>
        <v>0</v>
      </c>
      <c r="AH173" s="55">
        <f t="shared" si="9"/>
        <v>0</v>
      </c>
      <c r="AI173" s="34" t="s">
        <v>116</v>
      </c>
      <c r="AJ173" s="55">
        <f t="shared" si="10"/>
        <v>0</v>
      </c>
      <c r="AK173" s="55">
        <f t="shared" si="11"/>
        <v>0</v>
      </c>
      <c r="AL173" s="55">
        <f t="shared" si="12"/>
        <v>0</v>
      </c>
      <c r="AN173" s="55">
        <v>21</v>
      </c>
      <c r="AO173" s="55">
        <f>H173*0</f>
        <v>0</v>
      </c>
      <c r="AP173" s="55">
        <f>H173*(1-0)</f>
        <v>0</v>
      </c>
      <c r="AQ173" s="58" t="s">
        <v>125</v>
      </c>
      <c r="AV173" s="55">
        <f t="shared" si="13"/>
        <v>0</v>
      </c>
      <c r="AW173" s="55">
        <f t="shared" si="14"/>
        <v>0</v>
      </c>
      <c r="AX173" s="55">
        <f t="shared" si="15"/>
        <v>0</v>
      </c>
      <c r="AY173" s="58" t="s">
        <v>375</v>
      </c>
      <c r="AZ173" s="58" t="s">
        <v>362</v>
      </c>
      <c r="BA173" s="34" t="s">
        <v>128</v>
      </c>
      <c r="BC173" s="55">
        <f t="shared" si="16"/>
        <v>0</v>
      </c>
      <c r="BD173" s="55">
        <f t="shared" si="17"/>
        <v>0</v>
      </c>
      <c r="BE173" s="55">
        <v>0</v>
      </c>
      <c r="BF173" s="55">
        <f t="shared" si="18"/>
        <v>0</v>
      </c>
      <c r="BH173" s="55">
        <f t="shared" si="19"/>
        <v>0</v>
      </c>
      <c r="BI173" s="55">
        <f t="shared" si="20"/>
        <v>0</v>
      </c>
      <c r="BJ173" s="55">
        <f t="shared" si="21"/>
        <v>0</v>
      </c>
      <c r="BK173" s="55"/>
      <c r="BL173" s="55">
        <v>751</v>
      </c>
      <c r="BW173" s="55">
        <v>21</v>
      </c>
    </row>
    <row r="174" spans="1:75" ht="13.5" customHeight="1">
      <c r="A174" s="61" t="s">
        <v>422</v>
      </c>
      <c r="B174" s="62" t="s">
        <v>116</v>
      </c>
      <c r="C174" s="62" t="s">
        <v>423</v>
      </c>
      <c r="D174" s="224" t="s">
        <v>424</v>
      </c>
      <c r="E174" s="225"/>
      <c r="F174" s="62" t="s">
        <v>374</v>
      </c>
      <c r="G174" s="63">
        <f>'Stavební rozpočet-vyplnit'!G174</f>
        <v>4</v>
      </c>
      <c r="H174" s="63">
        <f>'Stavební rozpočet-vyplnit'!H174</f>
        <v>0</v>
      </c>
      <c r="I174" s="63">
        <f t="shared" si="0"/>
        <v>0</v>
      </c>
      <c r="J174" s="63">
        <f>'Stavební rozpočet-vyplnit'!J174</f>
        <v>0</v>
      </c>
      <c r="K174" s="63">
        <f t="shared" si="1"/>
        <v>0</v>
      </c>
      <c r="L174" s="65" t="s">
        <v>124</v>
      </c>
      <c r="Z174" s="55">
        <f t="shared" si="2"/>
        <v>0</v>
      </c>
      <c r="AB174" s="55">
        <f t="shared" si="3"/>
        <v>0</v>
      </c>
      <c r="AC174" s="55">
        <f t="shared" si="4"/>
        <v>0</v>
      </c>
      <c r="AD174" s="55">
        <f t="shared" si="5"/>
        <v>0</v>
      </c>
      <c r="AE174" s="55">
        <f t="shared" si="6"/>
        <v>0</v>
      </c>
      <c r="AF174" s="55">
        <f t="shared" si="7"/>
        <v>0</v>
      </c>
      <c r="AG174" s="55">
        <f t="shared" si="8"/>
        <v>0</v>
      </c>
      <c r="AH174" s="55">
        <f t="shared" si="9"/>
        <v>0</v>
      </c>
      <c r="AI174" s="34" t="s">
        <v>116</v>
      </c>
      <c r="AJ174" s="63">
        <f t="shared" si="10"/>
        <v>0</v>
      </c>
      <c r="AK174" s="63">
        <f t="shared" si="11"/>
        <v>0</v>
      </c>
      <c r="AL174" s="63">
        <f t="shared" si="12"/>
        <v>0</v>
      </c>
      <c r="AN174" s="55">
        <v>21</v>
      </c>
      <c r="AO174" s="55">
        <f>H174*1</f>
        <v>0</v>
      </c>
      <c r="AP174" s="55">
        <f>H174*(1-1)</f>
        <v>0</v>
      </c>
      <c r="AQ174" s="66" t="s">
        <v>125</v>
      </c>
      <c r="AV174" s="55">
        <f t="shared" si="13"/>
        <v>0</v>
      </c>
      <c r="AW174" s="55">
        <f t="shared" si="14"/>
        <v>0</v>
      </c>
      <c r="AX174" s="55">
        <f t="shared" si="15"/>
        <v>0</v>
      </c>
      <c r="AY174" s="58" t="s">
        <v>375</v>
      </c>
      <c r="AZ174" s="58" t="s">
        <v>362</v>
      </c>
      <c r="BA174" s="34" t="s">
        <v>128</v>
      </c>
      <c r="BC174" s="55">
        <f t="shared" si="16"/>
        <v>0</v>
      </c>
      <c r="BD174" s="55">
        <f t="shared" si="17"/>
        <v>0</v>
      </c>
      <c r="BE174" s="55">
        <v>0</v>
      </c>
      <c r="BF174" s="55">
        <f t="shared" si="18"/>
        <v>0</v>
      </c>
      <c r="BH174" s="63">
        <f t="shared" si="19"/>
        <v>0</v>
      </c>
      <c r="BI174" s="63">
        <f t="shared" si="20"/>
        <v>0</v>
      </c>
      <c r="BJ174" s="63">
        <f t="shared" si="21"/>
        <v>0</v>
      </c>
      <c r="BK174" s="63"/>
      <c r="BL174" s="55">
        <v>751</v>
      </c>
      <c r="BW174" s="55">
        <v>21</v>
      </c>
    </row>
    <row r="175" spans="1:75" ht="13.5" customHeight="1">
      <c r="A175" s="1" t="s">
        <v>425</v>
      </c>
      <c r="B175" s="2" t="s">
        <v>116</v>
      </c>
      <c r="C175" s="2" t="s">
        <v>426</v>
      </c>
      <c r="D175" s="147" t="s">
        <v>427</v>
      </c>
      <c r="E175" s="148"/>
      <c r="F175" s="2" t="s">
        <v>374</v>
      </c>
      <c r="G175" s="55">
        <f>'Stavební rozpočet-vyplnit'!G175</f>
        <v>2</v>
      </c>
      <c r="H175" s="55">
        <f>'Stavební rozpočet-vyplnit'!H175</f>
        <v>0</v>
      </c>
      <c r="I175" s="55">
        <f t="shared" si="0"/>
        <v>0</v>
      </c>
      <c r="J175" s="55">
        <f>'Stavební rozpočet-vyplnit'!J175</f>
        <v>0</v>
      </c>
      <c r="K175" s="55">
        <f t="shared" si="1"/>
        <v>0</v>
      </c>
      <c r="L175" s="57" t="s">
        <v>124</v>
      </c>
      <c r="Z175" s="55">
        <f t="shared" si="2"/>
        <v>0</v>
      </c>
      <c r="AB175" s="55">
        <f t="shared" si="3"/>
        <v>0</v>
      </c>
      <c r="AC175" s="55">
        <f t="shared" si="4"/>
        <v>0</v>
      </c>
      <c r="AD175" s="55">
        <f t="shared" si="5"/>
        <v>0</v>
      </c>
      <c r="AE175" s="55">
        <f t="shared" si="6"/>
        <v>0</v>
      </c>
      <c r="AF175" s="55">
        <f t="shared" si="7"/>
        <v>0</v>
      </c>
      <c r="AG175" s="55">
        <f t="shared" si="8"/>
        <v>0</v>
      </c>
      <c r="AH175" s="55">
        <f t="shared" si="9"/>
        <v>0</v>
      </c>
      <c r="AI175" s="34" t="s">
        <v>116</v>
      </c>
      <c r="AJ175" s="55">
        <f t="shared" si="10"/>
        <v>0</v>
      </c>
      <c r="AK175" s="55">
        <f t="shared" si="11"/>
        <v>0</v>
      </c>
      <c r="AL175" s="55">
        <f t="shared" si="12"/>
        <v>0</v>
      </c>
      <c r="AN175" s="55">
        <v>21</v>
      </c>
      <c r="AO175" s="55">
        <f>H175*0</f>
        <v>0</v>
      </c>
      <c r="AP175" s="55">
        <f>H175*(1-0)</f>
        <v>0</v>
      </c>
      <c r="AQ175" s="58" t="s">
        <v>125</v>
      </c>
      <c r="AV175" s="55">
        <f t="shared" si="13"/>
        <v>0</v>
      </c>
      <c r="AW175" s="55">
        <f t="shared" si="14"/>
        <v>0</v>
      </c>
      <c r="AX175" s="55">
        <f t="shared" si="15"/>
        <v>0</v>
      </c>
      <c r="AY175" s="58" t="s">
        <v>375</v>
      </c>
      <c r="AZ175" s="58" t="s">
        <v>362</v>
      </c>
      <c r="BA175" s="34" t="s">
        <v>128</v>
      </c>
      <c r="BC175" s="55">
        <f t="shared" si="16"/>
        <v>0</v>
      </c>
      <c r="BD175" s="55">
        <f t="shared" si="17"/>
        <v>0</v>
      </c>
      <c r="BE175" s="55">
        <v>0</v>
      </c>
      <c r="BF175" s="55">
        <f t="shared" si="18"/>
        <v>0</v>
      </c>
      <c r="BH175" s="55">
        <f t="shared" si="19"/>
        <v>0</v>
      </c>
      <c r="BI175" s="55">
        <f t="shared" si="20"/>
        <v>0</v>
      </c>
      <c r="BJ175" s="55">
        <f t="shared" si="21"/>
        <v>0</v>
      </c>
      <c r="BK175" s="55"/>
      <c r="BL175" s="55">
        <v>751</v>
      </c>
      <c r="BW175" s="55">
        <v>21</v>
      </c>
    </row>
    <row r="176" spans="1:75" ht="13.5" customHeight="1">
      <c r="A176" s="61" t="s">
        <v>428</v>
      </c>
      <c r="B176" s="62" t="s">
        <v>116</v>
      </c>
      <c r="C176" s="62" t="s">
        <v>429</v>
      </c>
      <c r="D176" s="224" t="s">
        <v>430</v>
      </c>
      <c r="E176" s="225"/>
      <c r="F176" s="62" t="s">
        <v>374</v>
      </c>
      <c r="G176" s="63">
        <f>'Stavební rozpočet-vyplnit'!G176</f>
        <v>2</v>
      </c>
      <c r="H176" s="63">
        <f>'Stavební rozpočet-vyplnit'!H176</f>
        <v>0</v>
      </c>
      <c r="I176" s="63">
        <f t="shared" si="0"/>
        <v>0</v>
      </c>
      <c r="J176" s="63">
        <f>'Stavební rozpočet-vyplnit'!J176</f>
        <v>0</v>
      </c>
      <c r="K176" s="63">
        <f t="shared" si="1"/>
        <v>0</v>
      </c>
      <c r="L176" s="65" t="s">
        <v>124</v>
      </c>
      <c r="Z176" s="55">
        <f t="shared" si="2"/>
        <v>0</v>
      </c>
      <c r="AB176" s="55">
        <f t="shared" si="3"/>
        <v>0</v>
      </c>
      <c r="AC176" s="55">
        <f t="shared" si="4"/>
        <v>0</v>
      </c>
      <c r="AD176" s="55">
        <f t="shared" si="5"/>
        <v>0</v>
      </c>
      <c r="AE176" s="55">
        <f t="shared" si="6"/>
        <v>0</v>
      </c>
      <c r="AF176" s="55">
        <f t="shared" si="7"/>
        <v>0</v>
      </c>
      <c r="AG176" s="55">
        <f t="shared" si="8"/>
        <v>0</v>
      </c>
      <c r="AH176" s="55">
        <f t="shared" si="9"/>
        <v>0</v>
      </c>
      <c r="AI176" s="34" t="s">
        <v>116</v>
      </c>
      <c r="AJ176" s="63">
        <f t="shared" si="10"/>
        <v>0</v>
      </c>
      <c r="AK176" s="63">
        <f t="shared" si="11"/>
        <v>0</v>
      </c>
      <c r="AL176" s="63">
        <f t="shared" si="12"/>
        <v>0</v>
      </c>
      <c r="AN176" s="55">
        <v>21</v>
      </c>
      <c r="AO176" s="55">
        <f>H176*1</f>
        <v>0</v>
      </c>
      <c r="AP176" s="55">
        <f>H176*(1-1)</f>
        <v>0</v>
      </c>
      <c r="AQ176" s="66" t="s">
        <v>125</v>
      </c>
      <c r="AV176" s="55">
        <f t="shared" si="13"/>
        <v>0</v>
      </c>
      <c r="AW176" s="55">
        <f t="shared" si="14"/>
        <v>0</v>
      </c>
      <c r="AX176" s="55">
        <f t="shared" si="15"/>
        <v>0</v>
      </c>
      <c r="AY176" s="58" t="s">
        <v>375</v>
      </c>
      <c r="AZ176" s="58" t="s">
        <v>362</v>
      </c>
      <c r="BA176" s="34" t="s">
        <v>128</v>
      </c>
      <c r="BC176" s="55">
        <f t="shared" si="16"/>
        <v>0</v>
      </c>
      <c r="BD176" s="55">
        <f t="shared" si="17"/>
        <v>0</v>
      </c>
      <c r="BE176" s="55">
        <v>0</v>
      </c>
      <c r="BF176" s="55">
        <f t="shared" si="18"/>
        <v>0</v>
      </c>
      <c r="BH176" s="63">
        <f t="shared" si="19"/>
        <v>0</v>
      </c>
      <c r="BI176" s="63">
        <f t="shared" si="20"/>
        <v>0</v>
      </c>
      <c r="BJ176" s="63">
        <f t="shared" si="21"/>
        <v>0</v>
      </c>
      <c r="BK176" s="63"/>
      <c r="BL176" s="55">
        <v>751</v>
      </c>
      <c r="BW176" s="55">
        <v>21</v>
      </c>
    </row>
    <row r="177" spans="1:75" ht="13.5" customHeight="1">
      <c r="A177" s="61" t="s">
        <v>431</v>
      </c>
      <c r="B177" s="62" t="s">
        <v>116</v>
      </c>
      <c r="C177" s="62" t="s">
        <v>432</v>
      </c>
      <c r="D177" s="224" t="s">
        <v>433</v>
      </c>
      <c r="E177" s="225"/>
      <c r="F177" s="62" t="s">
        <v>374</v>
      </c>
      <c r="G177" s="63">
        <f>'Stavební rozpočet-vyplnit'!G177</f>
        <v>1</v>
      </c>
      <c r="H177" s="63">
        <f>'Stavební rozpočet-vyplnit'!H177</f>
        <v>0</v>
      </c>
      <c r="I177" s="63">
        <f t="shared" si="0"/>
        <v>0</v>
      </c>
      <c r="J177" s="63">
        <f>'Stavební rozpočet-vyplnit'!J177</f>
        <v>0</v>
      </c>
      <c r="K177" s="63">
        <f t="shared" si="1"/>
        <v>0</v>
      </c>
      <c r="L177" s="65" t="s">
        <v>124</v>
      </c>
      <c r="Z177" s="55">
        <f t="shared" si="2"/>
        <v>0</v>
      </c>
      <c r="AB177" s="55">
        <f t="shared" si="3"/>
        <v>0</v>
      </c>
      <c r="AC177" s="55">
        <f t="shared" si="4"/>
        <v>0</v>
      </c>
      <c r="AD177" s="55">
        <f t="shared" si="5"/>
        <v>0</v>
      </c>
      <c r="AE177" s="55">
        <f t="shared" si="6"/>
        <v>0</v>
      </c>
      <c r="AF177" s="55">
        <f t="shared" si="7"/>
        <v>0</v>
      </c>
      <c r="AG177" s="55">
        <f t="shared" si="8"/>
        <v>0</v>
      </c>
      <c r="AH177" s="55">
        <f t="shared" si="9"/>
        <v>0</v>
      </c>
      <c r="AI177" s="34" t="s">
        <v>116</v>
      </c>
      <c r="AJ177" s="63">
        <f t="shared" si="10"/>
        <v>0</v>
      </c>
      <c r="AK177" s="63">
        <f t="shared" si="11"/>
        <v>0</v>
      </c>
      <c r="AL177" s="63">
        <f t="shared" si="12"/>
        <v>0</v>
      </c>
      <c r="AN177" s="55">
        <v>21</v>
      </c>
      <c r="AO177" s="55">
        <f>H177*1</f>
        <v>0</v>
      </c>
      <c r="AP177" s="55">
        <f>H177*(1-1)</f>
        <v>0</v>
      </c>
      <c r="AQ177" s="66" t="s">
        <v>125</v>
      </c>
      <c r="AV177" s="55">
        <f t="shared" si="13"/>
        <v>0</v>
      </c>
      <c r="AW177" s="55">
        <f t="shared" si="14"/>
        <v>0</v>
      </c>
      <c r="AX177" s="55">
        <f t="shared" si="15"/>
        <v>0</v>
      </c>
      <c r="AY177" s="58" t="s">
        <v>375</v>
      </c>
      <c r="AZ177" s="58" t="s">
        <v>362</v>
      </c>
      <c r="BA177" s="34" t="s">
        <v>128</v>
      </c>
      <c r="BC177" s="55">
        <f t="shared" si="16"/>
        <v>0</v>
      </c>
      <c r="BD177" s="55">
        <f t="shared" si="17"/>
        <v>0</v>
      </c>
      <c r="BE177" s="55">
        <v>0</v>
      </c>
      <c r="BF177" s="55">
        <f t="shared" si="18"/>
        <v>0</v>
      </c>
      <c r="BH177" s="63">
        <f t="shared" si="19"/>
        <v>0</v>
      </c>
      <c r="BI177" s="63">
        <f t="shared" si="20"/>
        <v>0</v>
      </c>
      <c r="BJ177" s="63">
        <f t="shared" si="21"/>
        <v>0</v>
      </c>
      <c r="BK177" s="63"/>
      <c r="BL177" s="55">
        <v>751</v>
      </c>
      <c r="BW177" s="55">
        <v>21</v>
      </c>
    </row>
    <row r="178" spans="1:75" ht="27" customHeight="1">
      <c r="A178" s="61" t="s">
        <v>434</v>
      </c>
      <c r="B178" s="62" t="s">
        <v>116</v>
      </c>
      <c r="C178" s="62" t="s">
        <v>435</v>
      </c>
      <c r="D178" s="224" t="s">
        <v>436</v>
      </c>
      <c r="E178" s="225"/>
      <c r="F178" s="62" t="s">
        <v>174</v>
      </c>
      <c r="G178" s="63">
        <f>'Stavební rozpočet-vyplnit'!G178</f>
        <v>68</v>
      </c>
      <c r="H178" s="63">
        <f>'Stavební rozpočet-vyplnit'!H178</f>
        <v>0</v>
      </c>
      <c r="I178" s="63">
        <f t="shared" si="0"/>
        <v>0</v>
      </c>
      <c r="J178" s="63">
        <f>'Stavební rozpočet-vyplnit'!J178</f>
        <v>0</v>
      </c>
      <c r="K178" s="63">
        <f t="shared" si="1"/>
        <v>0</v>
      </c>
      <c r="L178" s="65" t="s">
        <v>124</v>
      </c>
      <c r="Z178" s="55">
        <f t="shared" si="2"/>
        <v>0</v>
      </c>
      <c r="AB178" s="55">
        <f t="shared" si="3"/>
        <v>0</v>
      </c>
      <c r="AC178" s="55">
        <f t="shared" si="4"/>
        <v>0</v>
      </c>
      <c r="AD178" s="55">
        <f t="shared" si="5"/>
        <v>0</v>
      </c>
      <c r="AE178" s="55">
        <f t="shared" si="6"/>
        <v>0</v>
      </c>
      <c r="AF178" s="55">
        <f t="shared" si="7"/>
        <v>0</v>
      </c>
      <c r="AG178" s="55">
        <f t="shared" si="8"/>
        <v>0</v>
      </c>
      <c r="AH178" s="55">
        <f t="shared" si="9"/>
        <v>0</v>
      </c>
      <c r="AI178" s="34" t="s">
        <v>116</v>
      </c>
      <c r="AJ178" s="63">
        <f t="shared" si="10"/>
        <v>0</v>
      </c>
      <c r="AK178" s="63">
        <f t="shared" si="11"/>
        <v>0</v>
      </c>
      <c r="AL178" s="63">
        <f t="shared" si="12"/>
        <v>0</v>
      </c>
      <c r="AN178" s="55">
        <v>21</v>
      </c>
      <c r="AO178" s="55">
        <f>H178*1</f>
        <v>0</v>
      </c>
      <c r="AP178" s="55">
        <f>H178*(1-1)</f>
        <v>0</v>
      </c>
      <c r="AQ178" s="66" t="s">
        <v>125</v>
      </c>
      <c r="AV178" s="55">
        <f t="shared" si="13"/>
        <v>0</v>
      </c>
      <c r="AW178" s="55">
        <f t="shared" si="14"/>
        <v>0</v>
      </c>
      <c r="AX178" s="55">
        <f t="shared" si="15"/>
        <v>0</v>
      </c>
      <c r="AY178" s="58" t="s">
        <v>375</v>
      </c>
      <c r="AZ178" s="58" t="s">
        <v>362</v>
      </c>
      <c r="BA178" s="34" t="s">
        <v>128</v>
      </c>
      <c r="BC178" s="55">
        <f t="shared" si="16"/>
        <v>0</v>
      </c>
      <c r="BD178" s="55">
        <f t="shared" si="17"/>
        <v>0</v>
      </c>
      <c r="BE178" s="55">
        <v>0</v>
      </c>
      <c r="BF178" s="55">
        <f t="shared" si="18"/>
        <v>0</v>
      </c>
      <c r="BH178" s="63">
        <f t="shared" si="19"/>
        <v>0</v>
      </c>
      <c r="BI178" s="63">
        <f t="shared" si="20"/>
        <v>0</v>
      </c>
      <c r="BJ178" s="63">
        <f t="shared" si="21"/>
        <v>0</v>
      </c>
      <c r="BK178" s="63"/>
      <c r="BL178" s="55">
        <v>751</v>
      </c>
      <c r="BW178" s="55">
        <v>21</v>
      </c>
    </row>
    <row r="179" spans="1:47" ht="14.4">
      <c r="A179" s="50" t="s">
        <v>4</v>
      </c>
      <c r="B179" s="51" t="s">
        <v>116</v>
      </c>
      <c r="C179" s="51" t="s">
        <v>437</v>
      </c>
      <c r="D179" s="222" t="s">
        <v>438</v>
      </c>
      <c r="E179" s="223"/>
      <c r="F179" s="52" t="s">
        <v>79</v>
      </c>
      <c r="G179" s="52" t="s">
        <v>79</v>
      </c>
      <c r="H179" s="52" t="s">
        <v>79</v>
      </c>
      <c r="I179" s="27">
        <f>SUM(I180:I248)</f>
        <v>0</v>
      </c>
      <c r="J179" s="34" t="s">
        <v>4</v>
      </c>
      <c r="K179" s="27">
        <f>SUM(K180:K248)</f>
        <v>0</v>
      </c>
      <c r="L179" s="54" t="s">
        <v>4</v>
      </c>
      <c r="AI179" s="34" t="s">
        <v>116</v>
      </c>
      <c r="AS179" s="27">
        <f>SUM(AJ180:AJ248)</f>
        <v>0</v>
      </c>
      <c r="AT179" s="27">
        <f>SUM(AK180:AK248)</f>
        <v>0</v>
      </c>
      <c r="AU179" s="27">
        <f>SUM(AL180:AL248)</f>
        <v>0</v>
      </c>
    </row>
    <row r="180" spans="1:75" ht="27" customHeight="1">
      <c r="A180" s="1" t="s">
        <v>439</v>
      </c>
      <c r="B180" s="2" t="s">
        <v>116</v>
      </c>
      <c r="C180" s="2" t="s">
        <v>440</v>
      </c>
      <c r="D180" s="147" t="s">
        <v>441</v>
      </c>
      <c r="E180" s="148"/>
      <c r="F180" s="2" t="s">
        <v>174</v>
      </c>
      <c r="G180" s="55">
        <f>'Stavební rozpočet-vyplnit'!G180</f>
        <v>3120</v>
      </c>
      <c r="H180" s="55">
        <f>'Stavební rozpočet-vyplnit'!H180</f>
        <v>0</v>
      </c>
      <c r="I180" s="55">
        <f aca="true" t="shared" si="22" ref="I180:I191">G180*H180</f>
        <v>0</v>
      </c>
      <c r="J180" s="55">
        <f>'Stavební rozpočet-vyplnit'!J180</f>
        <v>0</v>
      </c>
      <c r="K180" s="55">
        <f aca="true" t="shared" si="23" ref="K180:K191">G180*J180</f>
        <v>0</v>
      </c>
      <c r="L180" s="57" t="s">
        <v>124</v>
      </c>
      <c r="Z180" s="55">
        <f aca="true" t="shared" si="24" ref="Z180:Z191">IF(AQ180="5",BJ180,0)</f>
        <v>0</v>
      </c>
      <c r="AB180" s="55">
        <f aca="true" t="shared" si="25" ref="AB180:AB191">IF(AQ180="1",BH180,0)</f>
        <v>0</v>
      </c>
      <c r="AC180" s="55">
        <f aca="true" t="shared" si="26" ref="AC180:AC191">IF(AQ180="1",BI180,0)</f>
        <v>0</v>
      </c>
      <c r="AD180" s="55">
        <f aca="true" t="shared" si="27" ref="AD180:AD191">IF(AQ180="7",BH180,0)</f>
        <v>0</v>
      </c>
      <c r="AE180" s="55">
        <f aca="true" t="shared" si="28" ref="AE180:AE191">IF(AQ180="7",BI180,0)</f>
        <v>0</v>
      </c>
      <c r="AF180" s="55">
        <f aca="true" t="shared" si="29" ref="AF180:AF191">IF(AQ180="2",BH180,0)</f>
        <v>0</v>
      </c>
      <c r="AG180" s="55">
        <f aca="true" t="shared" si="30" ref="AG180:AG191">IF(AQ180="2",BI180,0)</f>
        <v>0</v>
      </c>
      <c r="AH180" s="55">
        <f aca="true" t="shared" si="31" ref="AH180:AH191">IF(AQ180="0",BJ180,0)</f>
        <v>0</v>
      </c>
      <c r="AI180" s="34" t="s">
        <v>116</v>
      </c>
      <c r="AJ180" s="55">
        <f aca="true" t="shared" si="32" ref="AJ180:AJ191">IF(AN180=0,I180,0)</f>
        <v>0</v>
      </c>
      <c r="AK180" s="55">
        <f aca="true" t="shared" si="33" ref="AK180:AK191">IF(AN180=12,I180,0)</f>
        <v>0</v>
      </c>
      <c r="AL180" s="55">
        <f aca="true" t="shared" si="34" ref="AL180:AL191">IF(AN180=21,I180,0)</f>
        <v>0</v>
      </c>
      <c r="AN180" s="55">
        <v>21</v>
      </c>
      <c r="AO180" s="55">
        <f>H180*0.403794038</f>
        <v>0</v>
      </c>
      <c r="AP180" s="55">
        <f>H180*(1-0.403794038)</f>
        <v>0</v>
      </c>
      <c r="AQ180" s="58" t="s">
        <v>120</v>
      </c>
      <c r="AV180" s="55">
        <f aca="true" t="shared" si="35" ref="AV180:AV191">AW180+AX180</f>
        <v>0</v>
      </c>
      <c r="AW180" s="55">
        <f aca="true" t="shared" si="36" ref="AW180:AW191">G180*AO180</f>
        <v>0</v>
      </c>
      <c r="AX180" s="55">
        <f aca="true" t="shared" si="37" ref="AX180:AX191">G180*AP180</f>
        <v>0</v>
      </c>
      <c r="AY180" s="58" t="s">
        <v>442</v>
      </c>
      <c r="AZ180" s="58" t="s">
        <v>443</v>
      </c>
      <c r="BA180" s="34" t="s">
        <v>128</v>
      </c>
      <c r="BB180" s="67">
        <v>100133</v>
      </c>
      <c r="BC180" s="55">
        <f aca="true" t="shared" si="38" ref="BC180:BC191">AW180+AX180</f>
        <v>0</v>
      </c>
      <c r="BD180" s="55">
        <f aca="true" t="shared" si="39" ref="BD180:BD191">H180/(100-BE180)*100</f>
        <v>0</v>
      </c>
      <c r="BE180" s="55">
        <v>0</v>
      </c>
      <c r="BF180" s="55">
        <f aca="true" t="shared" si="40" ref="BF180:BF191">K180</f>
        <v>0</v>
      </c>
      <c r="BH180" s="55">
        <f aca="true" t="shared" si="41" ref="BH180:BH191">G180*AO180</f>
        <v>0</v>
      </c>
      <c r="BI180" s="55">
        <f aca="true" t="shared" si="42" ref="BI180:BI191">G180*AP180</f>
        <v>0</v>
      </c>
      <c r="BJ180" s="55">
        <f aca="true" t="shared" si="43" ref="BJ180:BJ191">G180*H180</f>
        <v>0</v>
      </c>
      <c r="BK180" s="55"/>
      <c r="BL180" s="55">
        <v>2222</v>
      </c>
      <c r="BW180" s="55">
        <v>21</v>
      </c>
    </row>
    <row r="181" spans="1:75" ht="13.5" customHeight="1">
      <c r="A181" s="1" t="s">
        <v>444</v>
      </c>
      <c r="B181" s="2" t="s">
        <v>116</v>
      </c>
      <c r="C181" s="2" t="s">
        <v>445</v>
      </c>
      <c r="D181" s="147" t="s">
        <v>446</v>
      </c>
      <c r="E181" s="148"/>
      <c r="F181" s="2" t="s">
        <v>123</v>
      </c>
      <c r="G181" s="55">
        <f>'Stavební rozpočet-vyplnit'!G181</f>
        <v>3</v>
      </c>
      <c r="H181" s="55">
        <f>'Stavební rozpočet-vyplnit'!H181</f>
        <v>0</v>
      </c>
      <c r="I181" s="55">
        <f t="shared" si="22"/>
        <v>0</v>
      </c>
      <c r="J181" s="55">
        <f>'Stavební rozpočet-vyplnit'!J181</f>
        <v>0</v>
      </c>
      <c r="K181" s="55">
        <f t="shared" si="23"/>
        <v>0</v>
      </c>
      <c r="L181" s="57" t="s">
        <v>124</v>
      </c>
      <c r="Z181" s="55">
        <f t="shared" si="24"/>
        <v>0</v>
      </c>
      <c r="AB181" s="55">
        <f t="shared" si="25"/>
        <v>0</v>
      </c>
      <c r="AC181" s="55">
        <f t="shared" si="26"/>
        <v>0</v>
      </c>
      <c r="AD181" s="55">
        <f t="shared" si="27"/>
        <v>0</v>
      </c>
      <c r="AE181" s="55">
        <f t="shared" si="28"/>
        <v>0</v>
      </c>
      <c r="AF181" s="55">
        <f t="shared" si="29"/>
        <v>0</v>
      </c>
      <c r="AG181" s="55">
        <f t="shared" si="30"/>
        <v>0</v>
      </c>
      <c r="AH181" s="55">
        <f t="shared" si="31"/>
        <v>0</v>
      </c>
      <c r="AI181" s="34" t="s">
        <v>116</v>
      </c>
      <c r="AJ181" s="55">
        <f t="shared" si="32"/>
        <v>0</v>
      </c>
      <c r="AK181" s="55">
        <f t="shared" si="33"/>
        <v>0</v>
      </c>
      <c r="AL181" s="55">
        <f t="shared" si="34"/>
        <v>0</v>
      </c>
      <c r="AN181" s="55">
        <v>21</v>
      </c>
      <c r="AO181" s="55">
        <f>H181*0.643564356</f>
        <v>0</v>
      </c>
      <c r="AP181" s="55">
        <f>H181*(1-0.643564356)</f>
        <v>0</v>
      </c>
      <c r="AQ181" s="58" t="s">
        <v>120</v>
      </c>
      <c r="AV181" s="55">
        <f t="shared" si="35"/>
        <v>0</v>
      </c>
      <c r="AW181" s="55">
        <f t="shared" si="36"/>
        <v>0</v>
      </c>
      <c r="AX181" s="55">
        <f t="shared" si="37"/>
        <v>0</v>
      </c>
      <c r="AY181" s="58" t="s">
        <v>442</v>
      </c>
      <c r="AZ181" s="58" t="s">
        <v>443</v>
      </c>
      <c r="BA181" s="34" t="s">
        <v>128</v>
      </c>
      <c r="BB181" s="67">
        <v>100133</v>
      </c>
      <c r="BC181" s="55">
        <f t="shared" si="38"/>
        <v>0</v>
      </c>
      <c r="BD181" s="55">
        <f t="shared" si="39"/>
        <v>0</v>
      </c>
      <c r="BE181" s="55">
        <v>0</v>
      </c>
      <c r="BF181" s="55">
        <f t="shared" si="40"/>
        <v>0</v>
      </c>
      <c r="BH181" s="55">
        <f t="shared" si="41"/>
        <v>0</v>
      </c>
      <c r="BI181" s="55">
        <f t="shared" si="42"/>
        <v>0</v>
      </c>
      <c r="BJ181" s="55">
        <f t="shared" si="43"/>
        <v>0</v>
      </c>
      <c r="BK181" s="55"/>
      <c r="BL181" s="55">
        <v>2222</v>
      </c>
      <c r="BW181" s="55">
        <v>21</v>
      </c>
    </row>
    <row r="182" spans="1:75" ht="13.5" customHeight="1">
      <c r="A182" s="1" t="s">
        <v>447</v>
      </c>
      <c r="B182" s="2" t="s">
        <v>116</v>
      </c>
      <c r="C182" s="2" t="s">
        <v>448</v>
      </c>
      <c r="D182" s="147" t="s">
        <v>449</v>
      </c>
      <c r="E182" s="148"/>
      <c r="F182" s="2" t="s">
        <v>123</v>
      </c>
      <c r="G182" s="55">
        <f>'Stavební rozpočet-vyplnit'!G182</f>
        <v>35</v>
      </c>
      <c r="H182" s="55">
        <f>'Stavební rozpočet-vyplnit'!H182</f>
        <v>0</v>
      </c>
      <c r="I182" s="55">
        <f t="shared" si="22"/>
        <v>0</v>
      </c>
      <c r="J182" s="55">
        <f>'Stavební rozpočet-vyplnit'!J182</f>
        <v>0</v>
      </c>
      <c r="K182" s="55">
        <f t="shared" si="23"/>
        <v>0</v>
      </c>
      <c r="L182" s="57" t="s">
        <v>124</v>
      </c>
      <c r="Z182" s="55">
        <f t="shared" si="24"/>
        <v>0</v>
      </c>
      <c r="AB182" s="55">
        <f t="shared" si="25"/>
        <v>0</v>
      </c>
      <c r="AC182" s="55">
        <f t="shared" si="26"/>
        <v>0</v>
      </c>
      <c r="AD182" s="55">
        <f t="shared" si="27"/>
        <v>0</v>
      </c>
      <c r="AE182" s="55">
        <f t="shared" si="28"/>
        <v>0</v>
      </c>
      <c r="AF182" s="55">
        <f t="shared" si="29"/>
        <v>0</v>
      </c>
      <c r="AG182" s="55">
        <f t="shared" si="30"/>
        <v>0</v>
      </c>
      <c r="AH182" s="55">
        <f t="shared" si="31"/>
        <v>0</v>
      </c>
      <c r="AI182" s="34" t="s">
        <v>116</v>
      </c>
      <c r="AJ182" s="55">
        <f t="shared" si="32"/>
        <v>0</v>
      </c>
      <c r="AK182" s="55">
        <f t="shared" si="33"/>
        <v>0</v>
      </c>
      <c r="AL182" s="55">
        <f t="shared" si="34"/>
        <v>0</v>
      </c>
      <c r="AN182" s="55">
        <v>21</v>
      </c>
      <c r="AO182" s="55">
        <f>H182*0.848101266</f>
        <v>0</v>
      </c>
      <c r="AP182" s="55">
        <f>H182*(1-0.848101266)</f>
        <v>0</v>
      </c>
      <c r="AQ182" s="58" t="s">
        <v>120</v>
      </c>
      <c r="AV182" s="55">
        <f t="shared" si="35"/>
        <v>0</v>
      </c>
      <c r="AW182" s="55">
        <f t="shared" si="36"/>
        <v>0</v>
      </c>
      <c r="AX182" s="55">
        <f t="shared" si="37"/>
        <v>0</v>
      </c>
      <c r="AY182" s="58" t="s">
        <v>442</v>
      </c>
      <c r="AZ182" s="58" t="s">
        <v>443</v>
      </c>
      <c r="BA182" s="34" t="s">
        <v>128</v>
      </c>
      <c r="BB182" s="67">
        <v>100133</v>
      </c>
      <c r="BC182" s="55">
        <f t="shared" si="38"/>
        <v>0</v>
      </c>
      <c r="BD182" s="55">
        <f t="shared" si="39"/>
        <v>0</v>
      </c>
      <c r="BE182" s="55">
        <v>0</v>
      </c>
      <c r="BF182" s="55">
        <f t="shared" si="40"/>
        <v>0</v>
      </c>
      <c r="BH182" s="55">
        <f t="shared" si="41"/>
        <v>0</v>
      </c>
      <c r="BI182" s="55">
        <f t="shared" si="42"/>
        <v>0</v>
      </c>
      <c r="BJ182" s="55">
        <f t="shared" si="43"/>
        <v>0</v>
      </c>
      <c r="BK182" s="55"/>
      <c r="BL182" s="55">
        <v>2222</v>
      </c>
      <c r="BW182" s="55">
        <v>21</v>
      </c>
    </row>
    <row r="183" spans="1:75" ht="13.5" customHeight="1">
      <c r="A183" s="1" t="s">
        <v>450</v>
      </c>
      <c r="B183" s="2" t="s">
        <v>116</v>
      </c>
      <c r="C183" s="2" t="s">
        <v>451</v>
      </c>
      <c r="D183" s="147" t="s">
        <v>452</v>
      </c>
      <c r="E183" s="148"/>
      <c r="F183" s="2" t="s">
        <v>123</v>
      </c>
      <c r="G183" s="55">
        <f>'Stavební rozpočet-vyplnit'!G183</f>
        <v>20</v>
      </c>
      <c r="H183" s="55">
        <f>'Stavební rozpočet-vyplnit'!H183</f>
        <v>0</v>
      </c>
      <c r="I183" s="55">
        <f t="shared" si="22"/>
        <v>0</v>
      </c>
      <c r="J183" s="55">
        <f>'Stavební rozpočet-vyplnit'!J183</f>
        <v>0</v>
      </c>
      <c r="K183" s="55">
        <f t="shared" si="23"/>
        <v>0</v>
      </c>
      <c r="L183" s="57" t="s">
        <v>124</v>
      </c>
      <c r="Z183" s="55">
        <f t="shared" si="24"/>
        <v>0</v>
      </c>
      <c r="AB183" s="55">
        <f t="shared" si="25"/>
        <v>0</v>
      </c>
      <c r="AC183" s="55">
        <f t="shared" si="26"/>
        <v>0</v>
      </c>
      <c r="AD183" s="55">
        <f t="shared" si="27"/>
        <v>0</v>
      </c>
      <c r="AE183" s="55">
        <f t="shared" si="28"/>
        <v>0</v>
      </c>
      <c r="AF183" s="55">
        <f t="shared" si="29"/>
        <v>0</v>
      </c>
      <c r="AG183" s="55">
        <f t="shared" si="30"/>
        <v>0</v>
      </c>
      <c r="AH183" s="55">
        <f t="shared" si="31"/>
        <v>0</v>
      </c>
      <c r="AI183" s="34" t="s">
        <v>116</v>
      </c>
      <c r="AJ183" s="55">
        <f t="shared" si="32"/>
        <v>0</v>
      </c>
      <c r="AK183" s="55">
        <f t="shared" si="33"/>
        <v>0</v>
      </c>
      <c r="AL183" s="55">
        <f t="shared" si="34"/>
        <v>0</v>
      </c>
      <c r="AN183" s="55">
        <v>21</v>
      </c>
      <c r="AO183" s="55">
        <f>H183*0.866666667</f>
        <v>0</v>
      </c>
      <c r="AP183" s="55">
        <f>H183*(1-0.866666667)</f>
        <v>0</v>
      </c>
      <c r="AQ183" s="58" t="s">
        <v>120</v>
      </c>
      <c r="AV183" s="55">
        <f t="shared" si="35"/>
        <v>0</v>
      </c>
      <c r="AW183" s="55">
        <f t="shared" si="36"/>
        <v>0</v>
      </c>
      <c r="AX183" s="55">
        <f t="shared" si="37"/>
        <v>0</v>
      </c>
      <c r="AY183" s="58" t="s">
        <v>442</v>
      </c>
      <c r="AZ183" s="58" t="s">
        <v>443</v>
      </c>
      <c r="BA183" s="34" t="s">
        <v>128</v>
      </c>
      <c r="BB183" s="67">
        <v>100133</v>
      </c>
      <c r="BC183" s="55">
        <f t="shared" si="38"/>
        <v>0</v>
      </c>
      <c r="BD183" s="55">
        <f t="shared" si="39"/>
        <v>0</v>
      </c>
      <c r="BE183" s="55">
        <v>0</v>
      </c>
      <c r="BF183" s="55">
        <f t="shared" si="40"/>
        <v>0</v>
      </c>
      <c r="BH183" s="55">
        <f t="shared" si="41"/>
        <v>0</v>
      </c>
      <c r="BI183" s="55">
        <f t="shared" si="42"/>
        <v>0</v>
      </c>
      <c r="BJ183" s="55">
        <f t="shared" si="43"/>
        <v>0</v>
      </c>
      <c r="BK183" s="55"/>
      <c r="BL183" s="55">
        <v>2222</v>
      </c>
      <c r="BW183" s="55">
        <v>21</v>
      </c>
    </row>
    <row r="184" spans="1:75" ht="13.5" customHeight="1">
      <c r="A184" s="1" t="s">
        <v>453</v>
      </c>
      <c r="B184" s="2" t="s">
        <v>116</v>
      </c>
      <c r="C184" s="2" t="s">
        <v>454</v>
      </c>
      <c r="D184" s="147" t="s">
        <v>455</v>
      </c>
      <c r="E184" s="148"/>
      <c r="F184" s="2" t="s">
        <v>123</v>
      </c>
      <c r="G184" s="55">
        <f>'Stavební rozpočet-vyplnit'!G184</f>
        <v>15</v>
      </c>
      <c r="H184" s="55">
        <f>'Stavební rozpočet-vyplnit'!H184</f>
        <v>0</v>
      </c>
      <c r="I184" s="55">
        <f t="shared" si="22"/>
        <v>0</v>
      </c>
      <c r="J184" s="55">
        <f>'Stavební rozpočet-vyplnit'!J184</f>
        <v>0</v>
      </c>
      <c r="K184" s="55">
        <f t="shared" si="23"/>
        <v>0</v>
      </c>
      <c r="L184" s="57" t="s">
        <v>124</v>
      </c>
      <c r="Z184" s="55">
        <f t="shared" si="24"/>
        <v>0</v>
      </c>
      <c r="AB184" s="55">
        <f t="shared" si="25"/>
        <v>0</v>
      </c>
      <c r="AC184" s="55">
        <f t="shared" si="26"/>
        <v>0</v>
      </c>
      <c r="AD184" s="55">
        <f t="shared" si="27"/>
        <v>0</v>
      </c>
      <c r="AE184" s="55">
        <f t="shared" si="28"/>
        <v>0</v>
      </c>
      <c r="AF184" s="55">
        <f t="shared" si="29"/>
        <v>0</v>
      </c>
      <c r="AG184" s="55">
        <f t="shared" si="30"/>
        <v>0</v>
      </c>
      <c r="AH184" s="55">
        <f t="shared" si="31"/>
        <v>0</v>
      </c>
      <c r="AI184" s="34" t="s">
        <v>116</v>
      </c>
      <c r="AJ184" s="55">
        <f t="shared" si="32"/>
        <v>0</v>
      </c>
      <c r="AK184" s="55">
        <f t="shared" si="33"/>
        <v>0</v>
      </c>
      <c r="AL184" s="55">
        <f t="shared" si="34"/>
        <v>0</v>
      </c>
      <c r="AN184" s="55">
        <v>21</v>
      </c>
      <c r="AO184" s="55">
        <f>H184*0.872340426</f>
        <v>0</v>
      </c>
      <c r="AP184" s="55">
        <f>H184*(1-0.872340426)</f>
        <v>0</v>
      </c>
      <c r="AQ184" s="58" t="s">
        <v>120</v>
      </c>
      <c r="AV184" s="55">
        <f t="shared" si="35"/>
        <v>0</v>
      </c>
      <c r="AW184" s="55">
        <f t="shared" si="36"/>
        <v>0</v>
      </c>
      <c r="AX184" s="55">
        <f t="shared" si="37"/>
        <v>0</v>
      </c>
      <c r="AY184" s="58" t="s">
        <v>442</v>
      </c>
      <c r="AZ184" s="58" t="s">
        <v>443</v>
      </c>
      <c r="BA184" s="34" t="s">
        <v>128</v>
      </c>
      <c r="BB184" s="67">
        <v>100133</v>
      </c>
      <c r="BC184" s="55">
        <f t="shared" si="38"/>
        <v>0</v>
      </c>
      <c r="BD184" s="55">
        <f t="shared" si="39"/>
        <v>0</v>
      </c>
      <c r="BE184" s="55">
        <v>0</v>
      </c>
      <c r="BF184" s="55">
        <f t="shared" si="40"/>
        <v>0</v>
      </c>
      <c r="BH184" s="55">
        <f t="shared" si="41"/>
        <v>0</v>
      </c>
      <c r="BI184" s="55">
        <f t="shared" si="42"/>
        <v>0</v>
      </c>
      <c r="BJ184" s="55">
        <f t="shared" si="43"/>
        <v>0</v>
      </c>
      <c r="BK184" s="55"/>
      <c r="BL184" s="55">
        <v>2222</v>
      </c>
      <c r="BW184" s="55">
        <v>21</v>
      </c>
    </row>
    <row r="185" spans="1:75" ht="13.5" customHeight="1">
      <c r="A185" s="1" t="s">
        <v>456</v>
      </c>
      <c r="B185" s="2" t="s">
        <v>116</v>
      </c>
      <c r="C185" s="2" t="s">
        <v>457</v>
      </c>
      <c r="D185" s="147" t="s">
        <v>458</v>
      </c>
      <c r="E185" s="148"/>
      <c r="F185" s="2" t="s">
        <v>123</v>
      </c>
      <c r="G185" s="55">
        <f>'Stavební rozpočet-vyplnit'!G185</f>
        <v>5</v>
      </c>
      <c r="H185" s="55">
        <f>'Stavební rozpočet-vyplnit'!H185</f>
        <v>0</v>
      </c>
      <c r="I185" s="55">
        <f t="shared" si="22"/>
        <v>0</v>
      </c>
      <c r="J185" s="55">
        <f>'Stavební rozpočet-vyplnit'!J185</f>
        <v>0</v>
      </c>
      <c r="K185" s="55">
        <f t="shared" si="23"/>
        <v>0</v>
      </c>
      <c r="L185" s="57" t="s">
        <v>124</v>
      </c>
      <c r="Z185" s="55">
        <f t="shared" si="24"/>
        <v>0</v>
      </c>
      <c r="AB185" s="55">
        <f t="shared" si="25"/>
        <v>0</v>
      </c>
      <c r="AC185" s="55">
        <f t="shared" si="26"/>
        <v>0</v>
      </c>
      <c r="AD185" s="55">
        <f t="shared" si="27"/>
        <v>0</v>
      </c>
      <c r="AE185" s="55">
        <f t="shared" si="28"/>
        <v>0</v>
      </c>
      <c r="AF185" s="55">
        <f t="shared" si="29"/>
        <v>0</v>
      </c>
      <c r="AG185" s="55">
        <f t="shared" si="30"/>
        <v>0</v>
      </c>
      <c r="AH185" s="55">
        <f t="shared" si="31"/>
        <v>0</v>
      </c>
      <c r="AI185" s="34" t="s">
        <v>116</v>
      </c>
      <c r="AJ185" s="55">
        <f t="shared" si="32"/>
        <v>0</v>
      </c>
      <c r="AK185" s="55">
        <f t="shared" si="33"/>
        <v>0</v>
      </c>
      <c r="AL185" s="55">
        <f t="shared" si="34"/>
        <v>0</v>
      </c>
      <c r="AN185" s="55">
        <v>21</v>
      </c>
      <c r="AO185" s="55">
        <f>H185*0.881188119</f>
        <v>0</v>
      </c>
      <c r="AP185" s="55">
        <f>H185*(1-0.881188119)</f>
        <v>0</v>
      </c>
      <c r="AQ185" s="58" t="s">
        <v>120</v>
      </c>
      <c r="AV185" s="55">
        <f t="shared" si="35"/>
        <v>0</v>
      </c>
      <c r="AW185" s="55">
        <f t="shared" si="36"/>
        <v>0</v>
      </c>
      <c r="AX185" s="55">
        <f t="shared" si="37"/>
        <v>0</v>
      </c>
      <c r="AY185" s="58" t="s">
        <v>442</v>
      </c>
      <c r="AZ185" s="58" t="s">
        <v>443</v>
      </c>
      <c r="BA185" s="34" t="s">
        <v>128</v>
      </c>
      <c r="BB185" s="67">
        <v>100133</v>
      </c>
      <c r="BC185" s="55">
        <f t="shared" si="38"/>
        <v>0</v>
      </c>
      <c r="BD185" s="55">
        <f t="shared" si="39"/>
        <v>0</v>
      </c>
      <c r="BE185" s="55">
        <v>0</v>
      </c>
      <c r="BF185" s="55">
        <f t="shared" si="40"/>
        <v>0</v>
      </c>
      <c r="BH185" s="55">
        <f t="shared" si="41"/>
        <v>0</v>
      </c>
      <c r="BI185" s="55">
        <f t="shared" si="42"/>
        <v>0</v>
      </c>
      <c r="BJ185" s="55">
        <f t="shared" si="43"/>
        <v>0</v>
      </c>
      <c r="BK185" s="55"/>
      <c r="BL185" s="55">
        <v>2222</v>
      </c>
      <c r="BW185" s="55">
        <v>21</v>
      </c>
    </row>
    <row r="186" spans="1:75" ht="13.5" customHeight="1">
      <c r="A186" s="1" t="s">
        <v>459</v>
      </c>
      <c r="B186" s="2" t="s">
        <v>116</v>
      </c>
      <c r="C186" s="2" t="s">
        <v>460</v>
      </c>
      <c r="D186" s="147" t="s">
        <v>461</v>
      </c>
      <c r="E186" s="148"/>
      <c r="F186" s="2" t="s">
        <v>123</v>
      </c>
      <c r="G186" s="55">
        <f>'Stavební rozpočet-vyplnit'!G186</f>
        <v>27</v>
      </c>
      <c r="H186" s="55">
        <f>'Stavební rozpočet-vyplnit'!H186</f>
        <v>0</v>
      </c>
      <c r="I186" s="55">
        <f t="shared" si="22"/>
        <v>0</v>
      </c>
      <c r="J186" s="55">
        <f>'Stavební rozpočet-vyplnit'!J186</f>
        <v>0</v>
      </c>
      <c r="K186" s="55">
        <f t="shared" si="23"/>
        <v>0</v>
      </c>
      <c r="L186" s="57" t="s">
        <v>124</v>
      </c>
      <c r="Z186" s="55">
        <f t="shared" si="24"/>
        <v>0</v>
      </c>
      <c r="AB186" s="55">
        <f t="shared" si="25"/>
        <v>0</v>
      </c>
      <c r="AC186" s="55">
        <f t="shared" si="26"/>
        <v>0</v>
      </c>
      <c r="AD186" s="55">
        <f t="shared" si="27"/>
        <v>0</v>
      </c>
      <c r="AE186" s="55">
        <f t="shared" si="28"/>
        <v>0</v>
      </c>
      <c r="AF186" s="55">
        <f t="shared" si="29"/>
        <v>0</v>
      </c>
      <c r="AG186" s="55">
        <f t="shared" si="30"/>
        <v>0</v>
      </c>
      <c r="AH186" s="55">
        <f t="shared" si="31"/>
        <v>0</v>
      </c>
      <c r="AI186" s="34" t="s">
        <v>116</v>
      </c>
      <c r="AJ186" s="55">
        <f t="shared" si="32"/>
        <v>0</v>
      </c>
      <c r="AK186" s="55">
        <f t="shared" si="33"/>
        <v>0</v>
      </c>
      <c r="AL186" s="55">
        <f t="shared" si="34"/>
        <v>0</v>
      </c>
      <c r="AN186" s="55">
        <v>21</v>
      </c>
      <c r="AO186" s="55">
        <f>H186*0.669724771</f>
        <v>0</v>
      </c>
      <c r="AP186" s="55">
        <f>H186*(1-0.669724771)</f>
        <v>0</v>
      </c>
      <c r="AQ186" s="58" t="s">
        <v>120</v>
      </c>
      <c r="AV186" s="55">
        <f t="shared" si="35"/>
        <v>0</v>
      </c>
      <c r="AW186" s="55">
        <f t="shared" si="36"/>
        <v>0</v>
      </c>
      <c r="AX186" s="55">
        <f t="shared" si="37"/>
        <v>0</v>
      </c>
      <c r="AY186" s="58" t="s">
        <v>442</v>
      </c>
      <c r="AZ186" s="58" t="s">
        <v>443</v>
      </c>
      <c r="BA186" s="34" t="s">
        <v>128</v>
      </c>
      <c r="BB186" s="67">
        <v>100133</v>
      </c>
      <c r="BC186" s="55">
        <f t="shared" si="38"/>
        <v>0</v>
      </c>
      <c r="BD186" s="55">
        <f t="shared" si="39"/>
        <v>0</v>
      </c>
      <c r="BE186" s="55">
        <v>0</v>
      </c>
      <c r="BF186" s="55">
        <f t="shared" si="40"/>
        <v>0</v>
      </c>
      <c r="BH186" s="55">
        <f t="shared" si="41"/>
        <v>0</v>
      </c>
      <c r="BI186" s="55">
        <f t="shared" si="42"/>
        <v>0</v>
      </c>
      <c r="BJ186" s="55">
        <f t="shared" si="43"/>
        <v>0</v>
      </c>
      <c r="BK186" s="55"/>
      <c r="BL186" s="55">
        <v>2222</v>
      </c>
      <c r="BW186" s="55">
        <v>21</v>
      </c>
    </row>
    <row r="187" spans="1:75" ht="13.5" customHeight="1">
      <c r="A187" s="1" t="s">
        <v>462</v>
      </c>
      <c r="B187" s="2" t="s">
        <v>116</v>
      </c>
      <c r="C187" s="2" t="s">
        <v>463</v>
      </c>
      <c r="D187" s="147" t="s">
        <v>464</v>
      </c>
      <c r="E187" s="148"/>
      <c r="F187" s="2" t="s">
        <v>123</v>
      </c>
      <c r="G187" s="55">
        <f>'Stavební rozpočet-vyplnit'!G187</f>
        <v>3</v>
      </c>
      <c r="H187" s="55">
        <f>'Stavební rozpočet-vyplnit'!H187</f>
        <v>0</v>
      </c>
      <c r="I187" s="55">
        <f t="shared" si="22"/>
        <v>0</v>
      </c>
      <c r="J187" s="55">
        <f>'Stavební rozpočet-vyplnit'!J187</f>
        <v>0</v>
      </c>
      <c r="K187" s="55">
        <f t="shared" si="23"/>
        <v>0</v>
      </c>
      <c r="L187" s="57" t="s">
        <v>124</v>
      </c>
      <c r="Z187" s="55">
        <f t="shared" si="24"/>
        <v>0</v>
      </c>
      <c r="AB187" s="55">
        <f t="shared" si="25"/>
        <v>0</v>
      </c>
      <c r="AC187" s="55">
        <f t="shared" si="26"/>
        <v>0</v>
      </c>
      <c r="AD187" s="55">
        <f t="shared" si="27"/>
        <v>0</v>
      </c>
      <c r="AE187" s="55">
        <f t="shared" si="28"/>
        <v>0</v>
      </c>
      <c r="AF187" s="55">
        <f t="shared" si="29"/>
        <v>0</v>
      </c>
      <c r="AG187" s="55">
        <f t="shared" si="30"/>
        <v>0</v>
      </c>
      <c r="AH187" s="55">
        <f t="shared" si="31"/>
        <v>0</v>
      </c>
      <c r="AI187" s="34" t="s">
        <v>116</v>
      </c>
      <c r="AJ187" s="55">
        <f t="shared" si="32"/>
        <v>0</v>
      </c>
      <c r="AK187" s="55">
        <f t="shared" si="33"/>
        <v>0</v>
      </c>
      <c r="AL187" s="55">
        <f t="shared" si="34"/>
        <v>0</v>
      </c>
      <c r="AN187" s="55">
        <v>21</v>
      </c>
      <c r="AO187" s="55">
        <f>H187*0.656565657</f>
        <v>0</v>
      </c>
      <c r="AP187" s="55">
        <f>H187*(1-0.656565657)</f>
        <v>0</v>
      </c>
      <c r="AQ187" s="58" t="s">
        <v>120</v>
      </c>
      <c r="AV187" s="55">
        <f t="shared" si="35"/>
        <v>0</v>
      </c>
      <c r="AW187" s="55">
        <f t="shared" si="36"/>
        <v>0</v>
      </c>
      <c r="AX187" s="55">
        <f t="shared" si="37"/>
        <v>0</v>
      </c>
      <c r="AY187" s="58" t="s">
        <v>442</v>
      </c>
      <c r="AZ187" s="58" t="s">
        <v>443</v>
      </c>
      <c r="BA187" s="34" t="s">
        <v>128</v>
      </c>
      <c r="BB187" s="67">
        <v>100133</v>
      </c>
      <c r="BC187" s="55">
        <f t="shared" si="38"/>
        <v>0</v>
      </c>
      <c r="BD187" s="55">
        <f t="shared" si="39"/>
        <v>0</v>
      </c>
      <c r="BE187" s="55">
        <v>0</v>
      </c>
      <c r="BF187" s="55">
        <f t="shared" si="40"/>
        <v>0</v>
      </c>
      <c r="BH187" s="55">
        <f t="shared" si="41"/>
        <v>0</v>
      </c>
      <c r="BI187" s="55">
        <f t="shared" si="42"/>
        <v>0</v>
      </c>
      <c r="BJ187" s="55">
        <f t="shared" si="43"/>
        <v>0</v>
      </c>
      <c r="BK187" s="55"/>
      <c r="BL187" s="55">
        <v>2222</v>
      </c>
      <c r="BW187" s="55">
        <v>21</v>
      </c>
    </row>
    <row r="188" spans="1:75" ht="13.5" customHeight="1">
      <c r="A188" s="1" t="s">
        <v>465</v>
      </c>
      <c r="B188" s="2" t="s">
        <v>116</v>
      </c>
      <c r="C188" s="2" t="s">
        <v>466</v>
      </c>
      <c r="D188" s="147" t="s">
        <v>467</v>
      </c>
      <c r="E188" s="148"/>
      <c r="F188" s="2" t="s">
        <v>123</v>
      </c>
      <c r="G188" s="55">
        <f>'Stavební rozpočet-vyplnit'!G188</f>
        <v>57</v>
      </c>
      <c r="H188" s="55">
        <f>'Stavební rozpočet-vyplnit'!H188</f>
        <v>0</v>
      </c>
      <c r="I188" s="55">
        <f t="shared" si="22"/>
        <v>0</v>
      </c>
      <c r="J188" s="55">
        <f>'Stavební rozpočet-vyplnit'!J188</f>
        <v>0</v>
      </c>
      <c r="K188" s="55">
        <f t="shared" si="23"/>
        <v>0</v>
      </c>
      <c r="L188" s="57" t="s">
        <v>124</v>
      </c>
      <c r="Z188" s="55">
        <f t="shared" si="24"/>
        <v>0</v>
      </c>
      <c r="AB188" s="55">
        <f t="shared" si="25"/>
        <v>0</v>
      </c>
      <c r="AC188" s="55">
        <f t="shared" si="26"/>
        <v>0</v>
      </c>
      <c r="AD188" s="55">
        <f t="shared" si="27"/>
        <v>0</v>
      </c>
      <c r="AE188" s="55">
        <f t="shared" si="28"/>
        <v>0</v>
      </c>
      <c r="AF188" s="55">
        <f t="shared" si="29"/>
        <v>0</v>
      </c>
      <c r="AG188" s="55">
        <f t="shared" si="30"/>
        <v>0</v>
      </c>
      <c r="AH188" s="55">
        <f t="shared" si="31"/>
        <v>0</v>
      </c>
      <c r="AI188" s="34" t="s">
        <v>116</v>
      </c>
      <c r="AJ188" s="55">
        <f t="shared" si="32"/>
        <v>0</v>
      </c>
      <c r="AK188" s="55">
        <f t="shared" si="33"/>
        <v>0</v>
      </c>
      <c r="AL188" s="55">
        <f t="shared" si="34"/>
        <v>0</v>
      </c>
      <c r="AN188" s="55">
        <v>21</v>
      </c>
      <c r="AO188" s="55">
        <f>H188*0</f>
        <v>0</v>
      </c>
      <c r="AP188" s="55">
        <f>H188*(1-0)</f>
        <v>0</v>
      </c>
      <c r="AQ188" s="58" t="s">
        <v>120</v>
      </c>
      <c r="AV188" s="55">
        <f t="shared" si="35"/>
        <v>0</v>
      </c>
      <c r="AW188" s="55">
        <f t="shared" si="36"/>
        <v>0</v>
      </c>
      <c r="AX188" s="55">
        <f t="shared" si="37"/>
        <v>0</v>
      </c>
      <c r="AY188" s="58" t="s">
        <v>442</v>
      </c>
      <c r="AZ188" s="58" t="s">
        <v>443</v>
      </c>
      <c r="BA188" s="34" t="s">
        <v>128</v>
      </c>
      <c r="BB188" s="67">
        <v>100133</v>
      </c>
      <c r="BC188" s="55">
        <f t="shared" si="38"/>
        <v>0</v>
      </c>
      <c r="BD188" s="55">
        <f t="shared" si="39"/>
        <v>0</v>
      </c>
      <c r="BE188" s="55">
        <v>0</v>
      </c>
      <c r="BF188" s="55">
        <f t="shared" si="40"/>
        <v>0</v>
      </c>
      <c r="BH188" s="55">
        <f t="shared" si="41"/>
        <v>0</v>
      </c>
      <c r="BI188" s="55">
        <f t="shared" si="42"/>
        <v>0</v>
      </c>
      <c r="BJ188" s="55">
        <f t="shared" si="43"/>
        <v>0</v>
      </c>
      <c r="BK188" s="55"/>
      <c r="BL188" s="55">
        <v>2222</v>
      </c>
      <c r="BW188" s="55">
        <v>21</v>
      </c>
    </row>
    <row r="189" spans="1:75" ht="13.5" customHeight="1">
      <c r="A189" s="1" t="s">
        <v>468</v>
      </c>
      <c r="B189" s="2" t="s">
        <v>116</v>
      </c>
      <c r="C189" s="2" t="s">
        <v>469</v>
      </c>
      <c r="D189" s="147" t="s">
        <v>470</v>
      </c>
      <c r="E189" s="148"/>
      <c r="F189" s="2" t="s">
        <v>123</v>
      </c>
      <c r="G189" s="55">
        <f>'Stavební rozpočet-vyplnit'!G189</f>
        <v>57</v>
      </c>
      <c r="H189" s="55">
        <f>'Stavební rozpočet-vyplnit'!H189</f>
        <v>0</v>
      </c>
      <c r="I189" s="55">
        <f t="shared" si="22"/>
        <v>0</v>
      </c>
      <c r="J189" s="55">
        <f>'Stavební rozpočet-vyplnit'!J189</f>
        <v>0</v>
      </c>
      <c r="K189" s="55">
        <f t="shared" si="23"/>
        <v>0</v>
      </c>
      <c r="L189" s="57" t="s">
        <v>124</v>
      </c>
      <c r="Z189" s="55">
        <f t="shared" si="24"/>
        <v>0</v>
      </c>
      <c r="AB189" s="55">
        <f t="shared" si="25"/>
        <v>0</v>
      </c>
      <c r="AC189" s="55">
        <f t="shared" si="26"/>
        <v>0</v>
      </c>
      <c r="AD189" s="55">
        <f t="shared" si="27"/>
        <v>0</v>
      </c>
      <c r="AE189" s="55">
        <f t="shared" si="28"/>
        <v>0</v>
      </c>
      <c r="AF189" s="55">
        <f t="shared" si="29"/>
        <v>0</v>
      </c>
      <c r="AG189" s="55">
        <f t="shared" si="30"/>
        <v>0</v>
      </c>
      <c r="AH189" s="55">
        <f t="shared" si="31"/>
        <v>0</v>
      </c>
      <c r="AI189" s="34" t="s">
        <v>116</v>
      </c>
      <c r="AJ189" s="55">
        <f t="shared" si="32"/>
        <v>0</v>
      </c>
      <c r="AK189" s="55">
        <f t="shared" si="33"/>
        <v>0</v>
      </c>
      <c r="AL189" s="55">
        <f t="shared" si="34"/>
        <v>0</v>
      </c>
      <c r="AN189" s="55">
        <v>21</v>
      </c>
      <c r="AO189" s="55">
        <f>H189*0</f>
        <v>0</v>
      </c>
      <c r="AP189" s="55">
        <f>H189*(1-0)</f>
        <v>0</v>
      </c>
      <c r="AQ189" s="58" t="s">
        <v>120</v>
      </c>
      <c r="AV189" s="55">
        <f t="shared" si="35"/>
        <v>0</v>
      </c>
      <c r="AW189" s="55">
        <f t="shared" si="36"/>
        <v>0</v>
      </c>
      <c r="AX189" s="55">
        <f t="shared" si="37"/>
        <v>0</v>
      </c>
      <c r="AY189" s="58" t="s">
        <v>442</v>
      </c>
      <c r="AZ189" s="58" t="s">
        <v>443</v>
      </c>
      <c r="BA189" s="34" t="s">
        <v>128</v>
      </c>
      <c r="BB189" s="67">
        <v>100133</v>
      </c>
      <c r="BC189" s="55">
        <f t="shared" si="38"/>
        <v>0</v>
      </c>
      <c r="BD189" s="55">
        <f t="shared" si="39"/>
        <v>0</v>
      </c>
      <c r="BE189" s="55">
        <v>0</v>
      </c>
      <c r="BF189" s="55">
        <f t="shared" si="40"/>
        <v>0</v>
      </c>
      <c r="BH189" s="55">
        <f t="shared" si="41"/>
        <v>0</v>
      </c>
      <c r="BI189" s="55">
        <f t="shared" si="42"/>
        <v>0</v>
      </c>
      <c r="BJ189" s="55">
        <f t="shared" si="43"/>
        <v>0</v>
      </c>
      <c r="BK189" s="55"/>
      <c r="BL189" s="55">
        <v>2222</v>
      </c>
      <c r="BW189" s="55">
        <v>21</v>
      </c>
    </row>
    <row r="190" spans="1:75" ht="13.5" customHeight="1">
      <c r="A190" s="1" t="s">
        <v>471</v>
      </c>
      <c r="B190" s="2" t="s">
        <v>116</v>
      </c>
      <c r="C190" s="2" t="s">
        <v>472</v>
      </c>
      <c r="D190" s="147" t="s">
        <v>473</v>
      </c>
      <c r="E190" s="148"/>
      <c r="F190" s="2" t="s">
        <v>123</v>
      </c>
      <c r="G190" s="55">
        <f>'Stavební rozpočet-vyplnit'!G190</f>
        <v>57</v>
      </c>
      <c r="H190" s="55">
        <f>'Stavební rozpočet-vyplnit'!H190</f>
        <v>0</v>
      </c>
      <c r="I190" s="55">
        <f t="shared" si="22"/>
        <v>0</v>
      </c>
      <c r="J190" s="55">
        <f>'Stavební rozpočet-vyplnit'!J190</f>
        <v>0</v>
      </c>
      <c r="K190" s="55">
        <f t="shared" si="23"/>
        <v>0</v>
      </c>
      <c r="L190" s="57" t="s">
        <v>124</v>
      </c>
      <c r="Z190" s="55">
        <f t="shared" si="24"/>
        <v>0</v>
      </c>
      <c r="AB190" s="55">
        <f t="shared" si="25"/>
        <v>0</v>
      </c>
      <c r="AC190" s="55">
        <f t="shared" si="26"/>
        <v>0</v>
      </c>
      <c r="AD190" s="55">
        <f t="shared" si="27"/>
        <v>0</v>
      </c>
      <c r="AE190" s="55">
        <f t="shared" si="28"/>
        <v>0</v>
      </c>
      <c r="AF190" s="55">
        <f t="shared" si="29"/>
        <v>0</v>
      </c>
      <c r="AG190" s="55">
        <f t="shared" si="30"/>
        <v>0</v>
      </c>
      <c r="AH190" s="55">
        <f t="shared" si="31"/>
        <v>0</v>
      </c>
      <c r="AI190" s="34" t="s">
        <v>116</v>
      </c>
      <c r="AJ190" s="55">
        <f t="shared" si="32"/>
        <v>0</v>
      </c>
      <c r="AK190" s="55">
        <f t="shared" si="33"/>
        <v>0</v>
      </c>
      <c r="AL190" s="55">
        <f t="shared" si="34"/>
        <v>0</v>
      </c>
      <c r="AN190" s="55">
        <v>21</v>
      </c>
      <c r="AO190" s="55">
        <f>H190*0</f>
        <v>0</v>
      </c>
      <c r="AP190" s="55">
        <f>H190*(1-0)</f>
        <v>0</v>
      </c>
      <c r="AQ190" s="58" t="s">
        <v>120</v>
      </c>
      <c r="AV190" s="55">
        <f t="shared" si="35"/>
        <v>0</v>
      </c>
      <c r="AW190" s="55">
        <f t="shared" si="36"/>
        <v>0</v>
      </c>
      <c r="AX190" s="55">
        <f t="shared" si="37"/>
        <v>0</v>
      </c>
      <c r="AY190" s="58" t="s">
        <v>442</v>
      </c>
      <c r="AZ190" s="58" t="s">
        <v>443</v>
      </c>
      <c r="BA190" s="34" t="s">
        <v>128</v>
      </c>
      <c r="BB190" s="67">
        <v>100133</v>
      </c>
      <c r="BC190" s="55">
        <f t="shared" si="38"/>
        <v>0</v>
      </c>
      <c r="BD190" s="55">
        <f t="shared" si="39"/>
        <v>0</v>
      </c>
      <c r="BE190" s="55">
        <v>0</v>
      </c>
      <c r="BF190" s="55">
        <f t="shared" si="40"/>
        <v>0</v>
      </c>
      <c r="BH190" s="55">
        <f t="shared" si="41"/>
        <v>0</v>
      </c>
      <c r="BI190" s="55">
        <f t="shared" si="42"/>
        <v>0</v>
      </c>
      <c r="BJ190" s="55">
        <f t="shared" si="43"/>
        <v>0</v>
      </c>
      <c r="BK190" s="55"/>
      <c r="BL190" s="55">
        <v>2222</v>
      </c>
      <c r="BW190" s="55">
        <v>21</v>
      </c>
    </row>
    <row r="191" spans="1:75" ht="13.5" customHeight="1">
      <c r="A191" s="1" t="s">
        <v>474</v>
      </c>
      <c r="B191" s="2" t="s">
        <v>116</v>
      </c>
      <c r="C191" s="2" t="s">
        <v>475</v>
      </c>
      <c r="D191" s="147" t="s">
        <v>476</v>
      </c>
      <c r="E191" s="148"/>
      <c r="F191" s="2" t="s">
        <v>360</v>
      </c>
      <c r="G191" s="55">
        <f>'Stavební rozpočet-vyplnit'!G191</f>
        <v>16</v>
      </c>
      <c r="H191" s="55">
        <f>'Stavební rozpočet-vyplnit'!H191</f>
        <v>0</v>
      </c>
      <c r="I191" s="55">
        <f t="shared" si="22"/>
        <v>0</v>
      </c>
      <c r="J191" s="55">
        <f>'Stavební rozpočet-vyplnit'!J191</f>
        <v>0</v>
      </c>
      <c r="K191" s="55">
        <f t="shared" si="23"/>
        <v>0</v>
      </c>
      <c r="L191" s="57" t="s">
        <v>124</v>
      </c>
      <c r="Z191" s="55">
        <f t="shared" si="24"/>
        <v>0</v>
      </c>
      <c r="AB191" s="55">
        <f t="shared" si="25"/>
        <v>0</v>
      </c>
      <c r="AC191" s="55">
        <f t="shared" si="26"/>
        <v>0</v>
      </c>
      <c r="AD191" s="55">
        <f t="shared" si="27"/>
        <v>0</v>
      </c>
      <c r="AE191" s="55">
        <f t="shared" si="28"/>
        <v>0</v>
      </c>
      <c r="AF191" s="55">
        <f t="shared" si="29"/>
        <v>0</v>
      </c>
      <c r="AG191" s="55">
        <f t="shared" si="30"/>
        <v>0</v>
      </c>
      <c r="AH191" s="55">
        <f t="shared" si="31"/>
        <v>0</v>
      </c>
      <c r="AI191" s="34" t="s">
        <v>116</v>
      </c>
      <c r="AJ191" s="55">
        <f t="shared" si="32"/>
        <v>0</v>
      </c>
      <c r="AK191" s="55">
        <f t="shared" si="33"/>
        <v>0</v>
      </c>
      <c r="AL191" s="55">
        <f t="shared" si="34"/>
        <v>0</v>
      </c>
      <c r="AN191" s="55">
        <v>21</v>
      </c>
      <c r="AO191" s="55">
        <f>H191*0</f>
        <v>0</v>
      </c>
      <c r="AP191" s="55">
        <f>H191*(1-0)</f>
        <v>0</v>
      </c>
      <c r="AQ191" s="58" t="s">
        <v>120</v>
      </c>
      <c r="AV191" s="55">
        <f t="shared" si="35"/>
        <v>0</v>
      </c>
      <c r="AW191" s="55">
        <f t="shared" si="36"/>
        <v>0</v>
      </c>
      <c r="AX191" s="55">
        <f t="shared" si="37"/>
        <v>0</v>
      </c>
      <c r="AY191" s="58" t="s">
        <v>442</v>
      </c>
      <c r="AZ191" s="58" t="s">
        <v>443</v>
      </c>
      <c r="BA191" s="34" t="s">
        <v>128</v>
      </c>
      <c r="BB191" s="67">
        <v>100133</v>
      </c>
      <c r="BC191" s="55">
        <f t="shared" si="38"/>
        <v>0</v>
      </c>
      <c r="BD191" s="55">
        <f t="shared" si="39"/>
        <v>0</v>
      </c>
      <c r="BE191" s="55">
        <v>0</v>
      </c>
      <c r="BF191" s="55">
        <f t="shared" si="40"/>
        <v>0</v>
      </c>
      <c r="BH191" s="55">
        <f t="shared" si="41"/>
        <v>0</v>
      </c>
      <c r="BI191" s="55">
        <f t="shared" si="42"/>
        <v>0</v>
      </c>
      <c r="BJ191" s="55">
        <f t="shared" si="43"/>
        <v>0</v>
      </c>
      <c r="BK191" s="55"/>
      <c r="BL191" s="55">
        <v>2222</v>
      </c>
      <c r="BW191" s="55">
        <v>21</v>
      </c>
    </row>
    <row r="192" spans="1:12" ht="27" customHeight="1">
      <c r="A192" s="59"/>
      <c r="D192" s="218" t="s">
        <v>477</v>
      </c>
      <c r="E192" s="219"/>
      <c r="F192" s="219"/>
      <c r="G192" s="219"/>
      <c r="H192" s="219"/>
      <c r="I192" s="219"/>
      <c r="J192" s="219"/>
      <c r="K192" s="219"/>
      <c r="L192" s="221"/>
    </row>
    <row r="193" spans="1:75" ht="13.5" customHeight="1">
      <c r="A193" s="1" t="s">
        <v>478</v>
      </c>
      <c r="B193" s="2" t="s">
        <v>116</v>
      </c>
      <c r="C193" s="2" t="s">
        <v>479</v>
      </c>
      <c r="D193" s="147" t="s">
        <v>480</v>
      </c>
      <c r="E193" s="148"/>
      <c r="F193" s="2" t="s">
        <v>360</v>
      </c>
      <c r="G193" s="55">
        <f>'Stavební rozpočet-vyplnit'!G193</f>
        <v>12</v>
      </c>
      <c r="H193" s="55">
        <f>'Stavební rozpočet-vyplnit'!H193</f>
        <v>0</v>
      </c>
      <c r="I193" s="55">
        <f aca="true" t="shared" si="44" ref="I193:I211">G193*H193</f>
        <v>0</v>
      </c>
      <c r="J193" s="55">
        <f>'Stavební rozpočet-vyplnit'!J193</f>
        <v>0</v>
      </c>
      <c r="K193" s="55">
        <f aca="true" t="shared" si="45" ref="K193:K211">G193*J193</f>
        <v>0</v>
      </c>
      <c r="L193" s="57" t="s">
        <v>124</v>
      </c>
      <c r="Z193" s="55">
        <f aca="true" t="shared" si="46" ref="Z193:Z211">IF(AQ193="5",BJ193,0)</f>
        <v>0</v>
      </c>
      <c r="AB193" s="55">
        <f aca="true" t="shared" si="47" ref="AB193:AB211">IF(AQ193="1",BH193,0)</f>
        <v>0</v>
      </c>
      <c r="AC193" s="55">
        <f aca="true" t="shared" si="48" ref="AC193:AC211">IF(AQ193="1",BI193,0)</f>
        <v>0</v>
      </c>
      <c r="AD193" s="55">
        <f aca="true" t="shared" si="49" ref="AD193:AD211">IF(AQ193="7",BH193,0)</f>
        <v>0</v>
      </c>
      <c r="AE193" s="55">
        <f aca="true" t="shared" si="50" ref="AE193:AE211">IF(AQ193="7",BI193,0)</f>
        <v>0</v>
      </c>
      <c r="AF193" s="55">
        <f aca="true" t="shared" si="51" ref="AF193:AF211">IF(AQ193="2",BH193,0)</f>
        <v>0</v>
      </c>
      <c r="AG193" s="55">
        <f aca="true" t="shared" si="52" ref="AG193:AG211">IF(AQ193="2",BI193,0)</f>
        <v>0</v>
      </c>
      <c r="AH193" s="55">
        <f aca="true" t="shared" si="53" ref="AH193:AH211">IF(AQ193="0",BJ193,0)</f>
        <v>0</v>
      </c>
      <c r="AI193" s="34" t="s">
        <v>116</v>
      </c>
      <c r="AJ193" s="55">
        <f aca="true" t="shared" si="54" ref="AJ193:AJ211">IF(AN193=0,I193,0)</f>
        <v>0</v>
      </c>
      <c r="AK193" s="55">
        <f aca="true" t="shared" si="55" ref="AK193:AK211">IF(AN193=12,I193,0)</f>
        <v>0</v>
      </c>
      <c r="AL193" s="55">
        <f aca="true" t="shared" si="56" ref="AL193:AL211">IF(AN193=21,I193,0)</f>
        <v>0</v>
      </c>
      <c r="AN193" s="55">
        <v>21</v>
      </c>
      <c r="AO193" s="55">
        <f>H193*0</f>
        <v>0</v>
      </c>
      <c r="AP193" s="55">
        <f>H193*(1-0)</f>
        <v>0</v>
      </c>
      <c r="AQ193" s="58" t="s">
        <v>120</v>
      </c>
      <c r="AV193" s="55">
        <f aca="true" t="shared" si="57" ref="AV193:AV211">AW193+AX193</f>
        <v>0</v>
      </c>
      <c r="AW193" s="55">
        <f aca="true" t="shared" si="58" ref="AW193:AW211">G193*AO193</f>
        <v>0</v>
      </c>
      <c r="AX193" s="55">
        <f aca="true" t="shared" si="59" ref="AX193:AX211">G193*AP193</f>
        <v>0</v>
      </c>
      <c r="AY193" s="58" t="s">
        <v>442</v>
      </c>
      <c r="AZ193" s="58" t="s">
        <v>443</v>
      </c>
      <c r="BA193" s="34" t="s">
        <v>128</v>
      </c>
      <c r="BB193" s="67">
        <v>100133</v>
      </c>
      <c r="BC193" s="55">
        <f aca="true" t="shared" si="60" ref="BC193:BC211">AW193+AX193</f>
        <v>0</v>
      </c>
      <c r="BD193" s="55">
        <f aca="true" t="shared" si="61" ref="BD193:BD211">H193/(100-BE193)*100</f>
        <v>0</v>
      </c>
      <c r="BE193" s="55">
        <v>0</v>
      </c>
      <c r="BF193" s="55">
        <f aca="true" t="shared" si="62" ref="BF193:BF211">K193</f>
        <v>0</v>
      </c>
      <c r="BH193" s="55">
        <f aca="true" t="shared" si="63" ref="BH193:BH211">G193*AO193</f>
        <v>0</v>
      </c>
      <c r="BI193" s="55">
        <f aca="true" t="shared" si="64" ref="BI193:BI211">G193*AP193</f>
        <v>0</v>
      </c>
      <c r="BJ193" s="55">
        <f aca="true" t="shared" si="65" ref="BJ193:BJ211">G193*H193</f>
        <v>0</v>
      </c>
      <c r="BK193" s="55"/>
      <c r="BL193" s="55">
        <v>2222</v>
      </c>
      <c r="BW193" s="55">
        <v>21</v>
      </c>
    </row>
    <row r="194" spans="1:75" ht="13.5" customHeight="1">
      <c r="A194" s="1" t="s">
        <v>481</v>
      </c>
      <c r="B194" s="2" t="s">
        <v>116</v>
      </c>
      <c r="C194" s="2" t="s">
        <v>482</v>
      </c>
      <c r="D194" s="147" t="s">
        <v>483</v>
      </c>
      <c r="E194" s="148"/>
      <c r="F194" s="2" t="s">
        <v>360</v>
      </c>
      <c r="G194" s="55">
        <f>'Stavební rozpočet-vyplnit'!G194</f>
        <v>8</v>
      </c>
      <c r="H194" s="55">
        <f>'Stavební rozpočet-vyplnit'!H194</f>
        <v>0</v>
      </c>
      <c r="I194" s="55">
        <f t="shared" si="44"/>
        <v>0</v>
      </c>
      <c r="J194" s="55">
        <f>'Stavební rozpočet-vyplnit'!J194</f>
        <v>0</v>
      </c>
      <c r="K194" s="55">
        <f t="shared" si="45"/>
        <v>0</v>
      </c>
      <c r="L194" s="57" t="s">
        <v>124</v>
      </c>
      <c r="Z194" s="55">
        <f t="shared" si="46"/>
        <v>0</v>
      </c>
      <c r="AB194" s="55">
        <f t="shared" si="47"/>
        <v>0</v>
      </c>
      <c r="AC194" s="55">
        <f t="shared" si="48"/>
        <v>0</v>
      </c>
      <c r="AD194" s="55">
        <f t="shared" si="49"/>
        <v>0</v>
      </c>
      <c r="AE194" s="55">
        <f t="shared" si="50"/>
        <v>0</v>
      </c>
      <c r="AF194" s="55">
        <f t="shared" si="51"/>
        <v>0</v>
      </c>
      <c r="AG194" s="55">
        <f t="shared" si="52"/>
        <v>0</v>
      </c>
      <c r="AH194" s="55">
        <f t="shared" si="53"/>
        <v>0</v>
      </c>
      <c r="AI194" s="34" t="s">
        <v>116</v>
      </c>
      <c r="AJ194" s="55">
        <f t="shared" si="54"/>
        <v>0</v>
      </c>
      <c r="AK194" s="55">
        <f t="shared" si="55"/>
        <v>0</v>
      </c>
      <c r="AL194" s="55">
        <f t="shared" si="56"/>
        <v>0</v>
      </c>
      <c r="AN194" s="55">
        <v>21</v>
      </c>
      <c r="AO194" s="55">
        <f>H194*0</f>
        <v>0</v>
      </c>
      <c r="AP194" s="55">
        <f>H194*(1-0)</f>
        <v>0</v>
      </c>
      <c r="AQ194" s="58" t="s">
        <v>120</v>
      </c>
      <c r="AV194" s="55">
        <f t="shared" si="57"/>
        <v>0</v>
      </c>
      <c r="AW194" s="55">
        <f t="shared" si="58"/>
        <v>0</v>
      </c>
      <c r="AX194" s="55">
        <f t="shared" si="59"/>
        <v>0</v>
      </c>
      <c r="AY194" s="58" t="s">
        <v>442</v>
      </c>
      <c r="AZ194" s="58" t="s">
        <v>443</v>
      </c>
      <c r="BA194" s="34" t="s">
        <v>128</v>
      </c>
      <c r="BB194" s="67">
        <v>100133</v>
      </c>
      <c r="BC194" s="55">
        <f t="shared" si="60"/>
        <v>0</v>
      </c>
      <c r="BD194" s="55">
        <f t="shared" si="61"/>
        <v>0</v>
      </c>
      <c r="BE194" s="55">
        <v>0</v>
      </c>
      <c r="BF194" s="55">
        <f t="shared" si="62"/>
        <v>0</v>
      </c>
      <c r="BH194" s="55">
        <f t="shared" si="63"/>
        <v>0</v>
      </c>
      <c r="BI194" s="55">
        <f t="shared" si="64"/>
        <v>0</v>
      </c>
      <c r="BJ194" s="55">
        <f t="shared" si="65"/>
        <v>0</v>
      </c>
      <c r="BK194" s="55"/>
      <c r="BL194" s="55">
        <v>2222</v>
      </c>
      <c r="BW194" s="55">
        <v>21</v>
      </c>
    </row>
    <row r="195" spans="1:75" ht="13.5" customHeight="1">
      <c r="A195" s="1" t="s">
        <v>484</v>
      </c>
      <c r="B195" s="2" t="s">
        <v>116</v>
      </c>
      <c r="C195" s="2" t="s">
        <v>485</v>
      </c>
      <c r="D195" s="147" t="s">
        <v>486</v>
      </c>
      <c r="E195" s="148"/>
      <c r="F195" s="2" t="s">
        <v>123</v>
      </c>
      <c r="G195" s="55">
        <f>'Stavební rozpočet-vyplnit'!G195</f>
        <v>2</v>
      </c>
      <c r="H195" s="55">
        <f>'Stavební rozpočet-vyplnit'!H195</f>
        <v>0</v>
      </c>
      <c r="I195" s="55">
        <f t="shared" si="44"/>
        <v>0</v>
      </c>
      <c r="J195" s="55">
        <f>'Stavební rozpočet-vyplnit'!J195</f>
        <v>0</v>
      </c>
      <c r="K195" s="55">
        <f t="shared" si="45"/>
        <v>0</v>
      </c>
      <c r="L195" s="57" t="s">
        <v>124</v>
      </c>
      <c r="Z195" s="55">
        <f t="shared" si="46"/>
        <v>0</v>
      </c>
      <c r="AB195" s="55">
        <f t="shared" si="47"/>
        <v>0</v>
      </c>
      <c r="AC195" s="55">
        <f t="shared" si="48"/>
        <v>0</v>
      </c>
      <c r="AD195" s="55">
        <f t="shared" si="49"/>
        <v>0</v>
      </c>
      <c r="AE195" s="55">
        <f t="shared" si="50"/>
        <v>0</v>
      </c>
      <c r="AF195" s="55">
        <f t="shared" si="51"/>
        <v>0</v>
      </c>
      <c r="AG195" s="55">
        <f t="shared" si="52"/>
        <v>0</v>
      </c>
      <c r="AH195" s="55">
        <f t="shared" si="53"/>
        <v>0</v>
      </c>
      <c r="AI195" s="34" t="s">
        <v>116</v>
      </c>
      <c r="AJ195" s="55">
        <f t="shared" si="54"/>
        <v>0</v>
      </c>
      <c r="AK195" s="55">
        <f t="shared" si="55"/>
        <v>0</v>
      </c>
      <c r="AL195" s="55">
        <f t="shared" si="56"/>
        <v>0</v>
      </c>
      <c r="AN195" s="55">
        <v>21</v>
      </c>
      <c r="AO195" s="55">
        <f>H195*0.93818002</f>
        <v>0</v>
      </c>
      <c r="AP195" s="55">
        <f>H195*(1-0.93818002)</f>
        <v>0</v>
      </c>
      <c r="AQ195" s="58" t="s">
        <v>120</v>
      </c>
      <c r="AV195" s="55">
        <f t="shared" si="57"/>
        <v>0</v>
      </c>
      <c r="AW195" s="55">
        <f t="shared" si="58"/>
        <v>0</v>
      </c>
      <c r="AX195" s="55">
        <f t="shared" si="59"/>
        <v>0</v>
      </c>
      <c r="AY195" s="58" t="s">
        <v>442</v>
      </c>
      <c r="AZ195" s="58" t="s">
        <v>443</v>
      </c>
      <c r="BA195" s="34" t="s">
        <v>128</v>
      </c>
      <c r="BB195" s="67">
        <v>100133</v>
      </c>
      <c r="BC195" s="55">
        <f t="shared" si="60"/>
        <v>0</v>
      </c>
      <c r="BD195" s="55">
        <f t="shared" si="61"/>
        <v>0</v>
      </c>
      <c r="BE195" s="55">
        <v>0</v>
      </c>
      <c r="BF195" s="55">
        <f t="shared" si="62"/>
        <v>0</v>
      </c>
      <c r="BH195" s="55">
        <f t="shared" si="63"/>
        <v>0</v>
      </c>
      <c r="BI195" s="55">
        <f t="shared" si="64"/>
        <v>0</v>
      </c>
      <c r="BJ195" s="55">
        <f t="shared" si="65"/>
        <v>0</v>
      </c>
      <c r="BK195" s="55"/>
      <c r="BL195" s="55">
        <v>2222</v>
      </c>
      <c r="BW195" s="55">
        <v>21</v>
      </c>
    </row>
    <row r="196" spans="1:75" ht="13.5" customHeight="1">
      <c r="A196" s="1" t="s">
        <v>487</v>
      </c>
      <c r="B196" s="2" t="s">
        <v>116</v>
      </c>
      <c r="C196" s="2" t="s">
        <v>488</v>
      </c>
      <c r="D196" s="147" t="s">
        <v>489</v>
      </c>
      <c r="E196" s="148"/>
      <c r="F196" s="2" t="s">
        <v>123</v>
      </c>
      <c r="G196" s="55">
        <f>'Stavební rozpočet-vyplnit'!G196</f>
        <v>2</v>
      </c>
      <c r="H196" s="55">
        <f>'Stavební rozpočet-vyplnit'!H196</f>
        <v>0</v>
      </c>
      <c r="I196" s="55">
        <f t="shared" si="44"/>
        <v>0</v>
      </c>
      <c r="J196" s="55">
        <f>'Stavební rozpočet-vyplnit'!J196</f>
        <v>0</v>
      </c>
      <c r="K196" s="55">
        <f t="shared" si="45"/>
        <v>0</v>
      </c>
      <c r="L196" s="57" t="s">
        <v>124</v>
      </c>
      <c r="Z196" s="55">
        <f t="shared" si="46"/>
        <v>0</v>
      </c>
      <c r="AB196" s="55">
        <f t="shared" si="47"/>
        <v>0</v>
      </c>
      <c r="AC196" s="55">
        <f t="shared" si="48"/>
        <v>0</v>
      </c>
      <c r="AD196" s="55">
        <f t="shared" si="49"/>
        <v>0</v>
      </c>
      <c r="AE196" s="55">
        <f t="shared" si="50"/>
        <v>0</v>
      </c>
      <c r="AF196" s="55">
        <f t="shared" si="51"/>
        <v>0</v>
      </c>
      <c r="AG196" s="55">
        <f t="shared" si="52"/>
        <v>0</v>
      </c>
      <c r="AH196" s="55">
        <f t="shared" si="53"/>
        <v>0</v>
      </c>
      <c r="AI196" s="34" t="s">
        <v>116</v>
      </c>
      <c r="AJ196" s="55">
        <f t="shared" si="54"/>
        <v>0</v>
      </c>
      <c r="AK196" s="55">
        <f t="shared" si="55"/>
        <v>0</v>
      </c>
      <c r="AL196" s="55">
        <f t="shared" si="56"/>
        <v>0</v>
      </c>
      <c r="AN196" s="55">
        <v>21</v>
      </c>
      <c r="AO196" s="55">
        <f>H196*0.786019971</f>
        <v>0</v>
      </c>
      <c r="AP196" s="55">
        <f>H196*(1-0.786019971)</f>
        <v>0</v>
      </c>
      <c r="AQ196" s="58" t="s">
        <v>120</v>
      </c>
      <c r="AV196" s="55">
        <f t="shared" si="57"/>
        <v>0</v>
      </c>
      <c r="AW196" s="55">
        <f t="shared" si="58"/>
        <v>0</v>
      </c>
      <c r="AX196" s="55">
        <f t="shared" si="59"/>
        <v>0</v>
      </c>
      <c r="AY196" s="58" t="s">
        <v>442</v>
      </c>
      <c r="AZ196" s="58" t="s">
        <v>443</v>
      </c>
      <c r="BA196" s="34" t="s">
        <v>128</v>
      </c>
      <c r="BB196" s="67">
        <v>100133</v>
      </c>
      <c r="BC196" s="55">
        <f t="shared" si="60"/>
        <v>0</v>
      </c>
      <c r="BD196" s="55">
        <f t="shared" si="61"/>
        <v>0</v>
      </c>
      <c r="BE196" s="55">
        <v>0</v>
      </c>
      <c r="BF196" s="55">
        <f t="shared" si="62"/>
        <v>0</v>
      </c>
      <c r="BH196" s="55">
        <f t="shared" si="63"/>
        <v>0</v>
      </c>
      <c r="BI196" s="55">
        <f t="shared" si="64"/>
        <v>0</v>
      </c>
      <c r="BJ196" s="55">
        <f t="shared" si="65"/>
        <v>0</v>
      </c>
      <c r="BK196" s="55"/>
      <c r="BL196" s="55">
        <v>2222</v>
      </c>
      <c r="BW196" s="55">
        <v>21</v>
      </c>
    </row>
    <row r="197" spans="1:75" ht="13.5" customHeight="1">
      <c r="A197" s="1" t="s">
        <v>490</v>
      </c>
      <c r="B197" s="2" t="s">
        <v>116</v>
      </c>
      <c r="C197" s="2" t="s">
        <v>491</v>
      </c>
      <c r="D197" s="147" t="s">
        <v>492</v>
      </c>
      <c r="E197" s="148"/>
      <c r="F197" s="2" t="s">
        <v>123</v>
      </c>
      <c r="G197" s="55">
        <f>'Stavební rozpočet-vyplnit'!G197</f>
        <v>2</v>
      </c>
      <c r="H197" s="55">
        <f>'Stavební rozpočet-vyplnit'!H197</f>
        <v>0</v>
      </c>
      <c r="I197" s="55">
        <f t="shared" si="44"/>
        <v>0</v>
      </c>
      <c r="J197" s="55">
        <f>'Stavební rozpočet-vyplnit'!J197</f>
        <v>0</v>
      </c>
      <c r="K197" s="55">
        <f t="shared" si="45"/>
        <v>0</v>
      </c>
      <c r="L197" s="57" t="s">
        <v>124</v>
      </c>
      <c r="Z197" s="55">
        <f t="shared" si="46"/>
        <v>0</v>
      </c>
      <c r="AB197" s="55">
        <f t="shared" si="47"/>
        <v>0</v>
      </c>
      <c r="AC197" s="55">
        <f t="shared" si="48"/>
        <v>0</v>
      </c>
      <c r="AD197" s="55">
        <f t="shared" si="49"/>
        <v>0</v>
      </c>
      <c r="AE197" s="55">
        <f t="shared" si="50"/>
        <v>0</v>
      </c>
      <c r="AF197" s="55">
        <f t="shared" si="51"/>
        <v>0</v>
      </c>
      <c r="AG197" s="55">
        <f t="shared" si="52"/>
        <v>0</v>
      </c>
      <c r="AH197" s="55">
        <f t="shared" si="53"/>
        <v>0</v>
      </c>
      <c r="AI197" s="34" t="s">
        <v>116</v>
      </c>
      <c r="AJ197" s="55">
        <f t="shared" si="54"/>
        <v>0</v>
      </c>
      <c r="AK197" s="55">
        <f t="shared" si="55"/>
        <v>0</v>
      </c>
      <c r="AL197" s="55">
        <f t="shared" si="56"/>
        <v>0</v>
      </c>
      <c r="AN197" s="55">
        <v>21</v>
      </c>
      <c r="AO197" s="55">
        <f>H197*0.692532343</f>
        <v>0</v>
      </c>
      <c r="AP197" s="55">
        <f>H197*(1-0.692532343)</f>
        <v>0</v>
      </c>
      <c r="AQ197" s="58" t="s">
        <v>120</v>
      </c>
      <c r="AV197" s="55">
        <f t="shared" si="57"/>
        <v>0</v>
      </c>
      <c r="AW197" s="55">
        <f t="shared" si="58"/>
        <v>0</v>
      </c>
      <c r="AX197" s="55">
        <f t="shared" si="59"/>
        <v>0</v>
      </c>
      <c r="AY197" s="58" t="s">
        <v>442</v>
      </c>
      <c r="AZ197" s="58" t="s">
        <v>443</v>
      </c>
      <c r="BA197" s="34" t="s">
        <v>128</v>
      </c>
      <c r="BB197" s="67">
        <v>100133</v>
      </c>
      <c r="BC197" s="55">
        <f t="shared" si="60"/>
        <v>0</v>
      </c>
      <c r="BD197" s="55">
        <f t="shared" si="61"/>
        <v>0</v>
      </c>
      <c r="BE197" s="55">
        <v>0</v>
      </c>
      <c r="BF197" s="55">
        <f t="shared" si="62"/>
        <v>0</v>
      </c>
      <c r="BH197" s="55">
        <f t="shared" si="63"/>
        <v>0</v>
      </c>
      <c r="BI197" s="55">
        <f t="shared" si="64"/>
        <v>0</v>
      </c>
      <c r="BJ197" s="55">
        <f t="shared" si="65"/>
        <v>0</v>
      </c>
      <c r="BK197" s="55"/>
      <c r="BL197" s="55">
        <v>2222</v>
      </c>
      <c r="BW197" s="55">
        <v>21</v>
      </c>
    </row>
    <row r="198" spans="1:75" ht="13.5" customHeight="1">
      <c r="A198" s="1" t="s">
        <v>493</v>
      </c>
      <c r="B198" s="2" t="s">
        <v>116</v>
      </c>
      <c r="C198" s="2" t="s">
        <v>494</v>
      </c>
      <c r="D198" s="147" t="s">
        <v>495</v>
      </c>
      <c r="E198" s="148"/>
      <c r="F198" s="2" t="s">
        <v>123</v>
      </c>
      <c r="G198" s="55">
        <f>'Stavební rozpočet-vyplnit'!G198</f>
        <v>4</v>
      </c>
      <c r="H198" s="55">
        <f>'Stavební rozpočet-vyplnit'!H198</f>
        <v>0</v>
      </c>
      <c r="I198" s="55">
        <f t="shared" si="44"/>
        <v>0</v>
      </c>
      <c r="J198" s="55">
        <f>'Stavební rozpočet-vyplnit'!J198</f>
        <v>0</v>
      </c>
      <c r="K198" s="55">
        <f t="shared" si="45"/>
        <v>0</v>
      </c>
      <c r="L198" s="57" t="s">
        <v>124</v>
      </c>
      <c r="Z198" s="55">
        <f t="shared" si="46"/>
        <v>0</v>
      </c>
      <c r="AB198" s="55">
        <f t="shared" si="47"/>
        <v>0</v>
      </c>
      <c r="AC198" s="55">
        <f t="shared" si="48"/>
        <v>0</v>
      </c>
      <c r="AD198" s="55">
        <f t="shared" si="49"/>
        <v>0</v>
      </c>
      <c r="AE198" s="55">
        <f t="shared" si="50"/>
        <v>0</v>
      </c>
      <c r="AF198" s="55">
        <f t="shared" si="51"/>
        <v>0</v>
      </c>
      <c r="AG198" s="55">
        <f t="shared" si="52"/>
        <v>0</v>
      </c>
      <c r="AH198" s="55">
        <f t="shared" si="53"/>
        <v>0</v>
      </c>
      <c r="AI198" s="34" t="s">
        <v>116</v>
      </c>
      <c r="AJ198" s="55">
        <f t="shared" si="54"/>
        <v>0</v>
      </c>
      <c r="AK198" s="55">
        <f t="shared" si="55"/>
        <v>0</v>
      </c>
      <c r="AL198" s="55">
        <f t="shared" si="56"/>
        <v>0</v>
      </c>
      <c r="AN198" s="55">
        <v>21</v>
      </c>
      <c r="AO198" s="55">
        <f>H198*0.794520548</f>
        <v>0</v>
      </c>
      <c r="AP198" s="55">
        <f>H198*(1-0.794520548)</f>
        <v>0</v>
      </c>
      <c r="AQ198" s="58" t="s">
        <v>120</v>
      </c>
      <c r="AV198" s="55">
        <f t="shared" si="57"/>
        <v>0</v>
      </c>
      <c r="AW198" s="55">
        <f t="shared" si="58"/>
        <v>0</v>
      </c>
      <c r="AX198" s="55">
        <f t="shared" si="59"/>
        <v>0</v>
      </c>
      <c r="AY198" s="58" t="s">
        <v>442</v>
      </c>
      <c r="AZ198" s="58" t="s">
        <v>443</v>
      </c>
      <c r="BA198" s="34" t="s">
        <v>128</v>
      </c>
      <c r="BB198" s="67">
        <v>100133</v>
      </c>
      <c r="BC198" s="55">
        <f t="shared" si="60"/>
        <v>0</v>
      </c>
      <c r="BD198" s="55">
        <f t="shared" si="61"/>
        <v>0</v>
      </c>
      <c r="BE198" s="55">
        <v>0</v>
      </c>
      <c r="BF198" s="55">
        <f t="shared" si="62"/>
        <v>0</v>
      </c>
      <c r="BH198" s="55">
        <f t="shared" si="63"/>
        <v>0</v>
      </c>
      <c r="BI198" s="55">
        <f t="shared" si="64"/>
        <v>0</v>
      </c>
      <c r="BJ198" s="55">
        <f t="shared" si="65"/>
        <v>0</v>
      </c>
      <c r="BK198" s="55"/>
      <c r="BL198" s="55">
        <v>2222</v>
      </c>
      <c r="BW198" s="55">
        <v>21</v>
      </c>
    </row>
    <row r="199" spans="1:75" ht="13.5" customHeight="1">
      <c r="A199" s="1" t="s">
        <v>496</v>
      </c>
      <c r="B199" s="2" t="s">
        <v>116</v>
      </c>
      <c r="C199" s="2" t="s">
        <v>497</v>
      </c>
      <c r="D199" s="147" t="s">
        <v>498</v>
      </c>
      <c r="E199" s="148"/>
      <c r="F199" s="2" t="s">
        <v>123</v>
      </c>
      <c r="G199" s="55">
        <f>'Stavební rozpočet-vyplnit'!G199</f>
        <v>100</v>
      </c>
      <c r="H199" s="55">
        <f>'Stavební rozpočet-vyplnit'!H199</f>
        <v>0</v>
      </c>
      <c r="I199" s="55">
        <f t="shared" si="44"/>
        <v>0</v>
      </c>
      <c r="J199" s="55">
        <f>'Stavební rozpočet-vyplnit'!J199</f>
        <v>0</v>
      </c>
      <c r="K199" s="55">
        <f t="shared" si="45"/>
        <v>0</v>
      </c>
      <c r="L199" s="57" t="s">
        <v>124</v>
      </c>
      <c r="Z199" s="55">
        <f t="shared" si="46"/>
        <v>0</v>
      </c>
      <c r="AB199" s="55">
        <f t="shared" si="47"/>
        <v>0</v>
      </c>
      <c r="AC199" s="55">
        <f t="shared" si="48"/>
        <v>0</v>
      </c>
      <c r="AD199" s="55">
        <f t="shared" si="49"/>
        <v>0</v>
      </c>
      <c r="AE199" s="55">
        <f t="shared" si="50"/>
        <v>0</v>
      </c>
      <c r="AF199" s="55">
        <f t="shared" si="51"/>
        <v>0</v>
      </c>
      <c r="AG199" s="55">
        <f t="shared" si="52"/>
        <v>0</v>
      </c>
      <c r="AH199" s="55">
        <f t="shared" si="53"/>
        <v>0</v>
      </c>
      <c r="AI199" s="34" t="s">
        <v>116</v>
      </c>
      <c r="AJ199" s="55">
        <f t="shared" si="54"/>
        <v>0</v>
      </c>
      <c r="AK199" s="55">
        <f t="shared" si="55"/>
        <v>0</v>
      </c>
      <c r="AL199" s="55">
        <f t="shared" si="56"/>
        <v>0</v>
      </c>
      <c r="AN199" s="55">
        <v>21</v>
      </c>
      <c r="AO199" s="55">
        <f>H199*0.554764025</f>
        <v>0</v>
      </c>
      <c r="AP199" s="55">
        <f>H199*(1-0.554764025)</f>
        <v>0</v>
      </c>
      <c r="AQ199" s="58" t="s">
        <v>120</v>
      </c>
      <c r="AV199" s="55">
        <f t="shared" si="57"/>
        <v>0</v>
      </c>
      <c r="AW199" s="55">
        <f t="shared" si="58"/>
        <v>0</v>
      </c>
      <c r="AX199" s="55">
        <f t="shared" si="59"/>
        <v>0</v>
      </c>
      <c r="AY199" s="58" t="s">
        <v>442</v>
      </c>
      <c r="AZ199" s="58" t="s">
        <v>443</v>
      </c>
      <c r="BA199" s="34" t="s">
        <v>128</v>
      </c>
      <c r="BB199" s="67">
        <v>100133</v>
      </c>
      <c r="BC199" s="55">
        <f t="shared" si="60"/>
        <v>0</v>
      </c>
      <c r="BD199" s="55">
        <f t="shared" si="61"/>
        <v>0</v>
      </c>
      <c r="BE199" s="55">
        <v>0</v>
      </c>
      <c r="BF199" s="55">
        <f t="shared" si="62"/>
        <v>0</v>
      </c>
      <c r="BH199" s="55">
        <f t="shared" si="63"/>
        <v>0</v>
      </c>
      <c r="BI199" s="55">
        <f t="shared" si="64"/>
        <v>0</v>
      </c>
      <c r="BJ199" s="55">
        <f t="shared" si="65"/>
        <v>0</v>
      </c>
      <c r="BK199" s="55"/>
      <c r="BL199" s="55">
        <v>2222</v>
      </c>
      <c r="BW199" s="55">
        <v>21</v>
      </c>
    </row>
    <row r="200" spans="1:75" ht="13.5" customHeight="1">
      <c r="A200" s="1" t="s">
        <v>499</v>
      </c>
      <c r="B200" s="2" t="s">
        <v>116</v>
      </c>
      <c r="C200" s="2" t="s">
        <v>500</v>
      </c>
      <c r="D200" s="147" t="s">
        <v>501</v>
      </c>
      <c r="E200" s="148"/>
      <c r="F200" s="2" t="s">
        <v>123</v>
      </c>
      <c r="G200" s="55">
        <f>'Stavební rozpočet-vyplnit'!G200</f>
        <v>4</v>
      </c>
      <c r="H200" s="55">
        <f>'Stavební rozpočet-vyplnit'!H200</f>
        <v>0</v>
      </c>
      <c r="I200" s="55">
        <f t="shared" si="44"/>
        <v>0</v>
      </c>
      <c r="J200" s="55">
        <f>'Stavební rozpočet-vyplnit'!J200</f>
        <v>0</v>
      </c>
      <c r="K200" s="55">
        <f t="shared" si="45"/>
        <v>0</v>
      </c>
      <c r="L200" s="57" t="s">
        <v>124</v>
      </c>
      <c r="Z200" s="55">
        <f t="shared" si="46"/>
        <v>0</v>
      </c>
      <c r="AB200" s="55">
        <f t="shared" si="47"/>
        <v>0</v>
      </c>
      <c r="AC200" s="55">
        <f t="shared" si="48"/>
        <v>0</v>
      </c>
      <c r="AD200" s="55">
        <f t="shared" si="49"/>
        <v>0</v>
      </c>
      <c r="AE200" s="55">
        <f t="shared" si="50"/>
        <v>0</v>
      </c>
      <c r="AF200" s="55">
        <f t="shared" si="51"/>
        <v>0</v>
      </c>
      <c r="AG200" s="55">
        <f t="shared" si="52"/>
        <v>0</v>
      </c>
      <c r="AH200" s="55">
        <f t="shared" si="53"/>
        <v>0</v>
      </c>
      <c r="AI200" s="34" t="s">
        <v>116</v>
      </c>
      <c r="AJ200" s="55">
        <f t="shared" si="54"/>
        <v>0</v>
      </c>
      <c r="AK200" s="55">
        <f t="shared" si="55"/>
        <v>0</v>
      </c>
      <c r="AL200" s="55">
        <f t="shared" si="56"/>
        <v>0</v>
      </c>
      <c r="AN200" s="55">
        <v>21</v>
      </c>
      <c r="AO200" s="55">
        <f>H200*0.676549865</f>
        <v>0</v>
      </c>
      <c r="AP200" s="55">
        <f>H200*(1-0.676549865)</f>
        <v>0</v>
      </c>
      <c r="AQ200" s="58" t="s">
        <v>120</v>
      </c>
      <c r="AV200" s="55">
        <f t="shared" si="57"/>
        <v>0</v>
      </c>
      <c r="AW200" s="55">
        <f t="shared" si="58"/>
        <v>0</v>
      </c>
      <c r="AX200" s="55">
        <f t="shared" si="59"/>
        <v>0</v>
      </c>
      <c r="AY200" s="58" t="s">
        <v>442</v>
      </c>
      <c r="AZ200" s="58" t="s">
        <v>443</v>
      </c>
      <c r="BA200" s="34" t="s">
        <v>128</v>
      </c>
      <c r="BB200" s="67">
        <v>100133</v>
      </c>
      <c r="BC200" s="55">
        <f t="shared" si="60"/>
        <v>0</v>
      </c>
      <c r="BD200" s="55">
        <f t="shared" si="61"/>
        <v>0</v>
      </c>
      <c r="BE200" s="55">
        <v>0</v>
      </c>
      <c r="BF200" s="55">
        <f t="shared" si="62"/>
        <v>0</v>
      </c>
      <c r="BH200" s="55">
        <f t="shared" si="63"/>
        <v>0</v>
      </c>
      <c r="BI200" s="55">
        <f t="shared" si="64"/>
        <v>0</v>
      </c>
      <c r="BJ200" s="55">
        <f t="shared" si="65"/>
        <v>0</v>
      </c>
      <c r="BK200" s="55"/>
      <c r="BL200" s="55">
        <v>2222</v>
      </c>
      <c r="BW200" s="55">
        <v>21</v>
      </c>
    </row>
    <row r="201" spans="1:75" ht="13.5" customHeight="1">
      <c r="A201" s="1" t="s">
        <v>502</v>
      </c>
      <c r="B201" s="2" t="s">
        <v>116</v>
      </c>
      <c r="C201" s="2" t="s">
        <v>503</v>
      </c>
      <c r="D201" s="147" t="s">
        <v>504</v>
      </c>
      <c r="E201" s="148"/>
      <c r="F201" s="2" t="s">
        <v>123</v>
      </c>
      <c r="G201" s="55">
        <f>'Stavební rozpočet-vyplnit'!G201</f>
        <v>60</v>
      </c>
      <c r="H201" s="55">
        <f>'Stavební rozpočet-vyplnit'!H201</f>
        <v>0</v>
      </c>
      <c r="I201" s="55">
        <f t="shared" si="44"/>
        <v>0</v>
      </c>
      <c r="J201" s="55">
        <f>'Stavební rozpočet-vyplnit'!J201</f>
        <v>0</v>
      </c>
      <c r="K201" s="55">
        <f t="shared" si="45"/>
        <v>0</v>
      </c>
      <c r="L201" s="57" t="s">
        <v>124</v>
      </c>
      <c r="Z201" s="55">
        <f t="shared" si="46"/>
        <v>0</v>
      </c>
      <c r="AB201" s="55">
        <f t="shared" si="47"/>
        <v>0</v>
      </c>
      <c r="AC201" s="55">
        <f t="shared" si="48"/>
        <v>0</v>
      </c>
      <c r="AD201" s="55">
        <f t="shared" si="49"/>
        <v>0</v>
      </c>
      <c r="AE201" s="55">
        <f t="shared" si="50"/>
        <v>0</v>
      </c>
      <c r="AF201" s="55">
        <f t="shared" si="51"/>
        <v>0</v>
      </c>
      <c r="AG201" s="55">
        <f t="shared" si="52"/>
        <v>0</v>
      </c>
      <c r="AH201" s="55">
        <f t="shared" si="53"/>
        <v>0</v>
      </c>
      <c r="AI201" s="34" t="s">
        <v>116</v>
      </c>
      <c r="AJ201" s="55">
        <f t="shared" si="54"/>
        <v>0</v>
      </c>
      <c r="AK201" s="55">
        <f t="shared" si="55"/>
        <v>0</v>
      </c>
      <c r="AL201" s="55">
        <f t="shared" si="56"/>
        <v>0</v>
      </c>
      <c r="AN201" s="55">
        <v>21</v>
      </c>
      <c r="AO201" s="55">
        <f>H201*0.425837321</f>
        <v>0</v>
      </c>
      <c r="AP201" s="55">
        <f>H201*(1-0.425837321)</f>
        <v>0</v>
      </c>
      <c r="AQ201" s="58" t="s">
        <v>120</v>
      </c>
      <c r="AV201" s="55">
        <f t="shared" si="57"/>
        <v>0</v>
      </c>
      <c r="AW201" s="55">
        <f t="shared" si="58"/>
        <v>0</v>
      </c>
      <c r="AX201" s="55">
        <f t="shared" si="59"/>
        <v>0</v>
      </c>
      <c r="AY201" s="58" t="s">
        <v>442</v>
      </c>
      <c r="AZ201" s="58" t="s">
        <v>443</v>
      </c>
      <c r="BA201" s="34" t="s">
        <v>128</v>
      </c>
      <c r="BB201" s="67">
        <v>100133</v>
      </c>
      <c r="BC201" s="55">
        <f t="shared" si="60"/>
        <v>0</v>
      </c>
      <c r="BD201" s="55">
        <f t="shared" si="61"/>
        <v>0</v>
      </c>
      <c r="BE201" s="55">
        <v>0</v>
      </c>
      <c r="BF201" s="55">
        <f t="shared" si="62"/>
        <v>0</v>
      </c>
      <c r="BH201" s="55">
        <f t="shared" si="63"/>
        <v>0</v>
      </c>
      <c r="BI201" s="55">
        <f t="shared" si="64"/>
        <v>0</v>
      </c>
      <c r="BJ201" s="55">
        <f t="shared" si="65"/>
        <v>0</v>
      </c>
      <c r="BK201" s="55"/>
      <c r="BL201" s="55">
        <v>2222</v>
      </c>
      <c r="BW201" s="55">
        <v>21</v>
      </c>
    </row>
    <row r="202" spans="1:75" ht="13.5" customHeight="1">
      <c r="A202" s="1" t="s">
        <v>505</v>
      </c>
      <c r="B202" s="2" t="s">
        <v>116</v>
      </c>
      <c r="C202" s="2" t="s">
        <v>506</v>
      </c>
      <c r="D202" s="147" t="s">
        <v>507</v>
      </c>
      <c r="E202" s="148"/>
      <c r="F202" s="2" t="s">
        <v>123</v>
      </c>
      <c r="G202" s="55">
        <f>'Stavební rozpočet-vyplnit'!G202</f>
        <v>10</v>
      </c>
      <c r="H202" s="55">
        <f>'Stavební rozpočet-vyplnit'!H202</f>
        <v>0</v>
      </c>
      <c r="I202" s="55">
        <f t="shared" si="44"/>
        <v>0</v>
      </c>
      <c r="J202" s="55">
        <f>'Stavební rozpočet-vyplnit'!J202</f>
        <v>0</v>
      </c>
      <c r="K202" s="55">
        <f t="shared" si="45"/>
        <v>0</v>
      </c>
      <c r="L202" s="57" t="s">
        <v>124</v>
      </c>
      <c r="Z202" s="55">
        <f t="shared" si="46"/>
        <v>0</v>
      </c>
      <c r="AB202" s="55">
        <f t="shared" si="47"/>
        <v>0</v>
      </c>
      <c r="AC202" s="55">
        <f t="shared" si="48"/>
        <v>0</v>
      </c>
      <c r="AD202" s="55">
        <f t="shared" si="49"/>
        <v>0</v>
      </c>
      <c r="AE202" s="55">
        <f t="shared" si="50"/>
        <v>0</v>
      </c>
      <c r="AF202" s="55">
        <f t="shared" si="51"/>
        <v>0</v>
      </c>
      <c r="AG202" s="55">
        <f t="shared" si="52"/>
        <v>0</v>
      </c>
      <c r="AH202" s="55">
        <f t="shared" si="53"/>
        <v>0</v>
      </c>
      <c r="AI202" s="34" t="s">
        <v>116</v>
      </c>
      <c r="AJ202" s="55">
        <f t="shared" si="54"/>
        <v>0</v>
      </c>
      <c r="AK202" s="55">
        <f t="shared" si="55"/>
        <v>0</v>
      </c>
      <c r="AL202" s="55">
        <f t="shared" si="56"/>
        <v>0</v>
      </c>
      <c r="AN202" s="55">
        <v>21</v>
      </c>
      <c r="AO202" s="55">
        <f>H202*0.417475728</f>
        <v>0</v>
      </c>
      <c r="AP202" s="55">
        <f>H202*(1-0.417475728)</f>
        <v>0</v>
      </c>
      <c r="AQ202" s="58" t="s">
        <v>120</v>
      </c>
      <c r="AV202" s="55">
        <f t="shared" si="57"/>
        <v>0</v>
      </c>
      <c r="AW202" s="55">
        <f t="shared" si="58"/>
        <v>0</v>
      </c>
      <c r="AX202" s="55">
        <f t="shared" si="59"/>
        <v>0</v>
      </c>
      <c r="AY202" s="58" t="s">
        <v>442</v>
      </c>
      <c r="AZ202" s="58" t="s">
        <v>443</v>
      </c>
      <c r="BA202" s="34" t="s">
        <v>128</v>
      </c>
      <c r="BB202" s="67">
        <v>100133</v>
      </c>
      <c r="BC202" s="55">
        <f t="shared" si="60"/>
        <v>0</v>
      </c>
      <c r="BD202" s="55">
        <f t="shared" si="61"/>
        <v>0</v>
      </c>
      <c r="BE202" s="55">
        <v>0</v>
      </c>
      <c r="BF202" s="55">
        <f t="shared" si="62"/>
        <v>0</v>
      </c>
      <c r="BH202" s="55">
        <f t="shared" si="63"/>
        <v>0</v>
      </c>
      <c r="BI202" s="55">
        <f t="shared" si="64"/>
        <v>0</v>
      </c>
      <c r="BJ202" s="55">
        <f t="shared" si="65"/>
        <v>0</v>
      </c>
      <c r="BK202" s="55"/>
      <c r="BL202" s="55">
        <v>2222</v>
      </c>
      <c r="BW202" s="55">
        <v>21</v>
      </c>
    </row>
    <row r="203" spans="1:75" ht="13.5" customHeight="1">
      <c r="A203" s="1" t="s">
        <v>508</v>
      </c>
      <c r="B203" s="2" t="s">
        <v>116</v>
      </c>
      <c r="C203" s="2" t="s">
        <v>509</v>
      </c>
      <c r="D203" s="147" t="s">
        <v>510</v>
      </c>
      <c r="E203" s="148"/>
      <c r="F203" s="2" t="s">
        <v>123</v>
      </c>
      <c r="G203" s="55">
        <f>'Stavební rozpočet-vyplnit'!G203</f>
        <v>2</v>
      </c>
      <c r="H203" s="55">
        <f>'Stavební rozpočet-vyplnit'!H203</f>
        <v>0</v>
      </c>
      <c r="I203" s="55">
        <f t="shared" si="44"/>
        <v>0</v>
      </c>
      <c r="J203" s="55">
        <f>'Stavební rozpočet-vyplnit'!J203</f>
        <v>0</v>
      </c>
      <c r="K203" s="55">
        <f t="shared" si="45"/>
        <v>0</v>
      </c>
      <c r="L203" s="57" t="s">
        <v>124</v>
      </c>
      <c r="Z203" s="55">
        <f t="shared" si="46"/>
        <v>0</v>
      </c>
      <c r="AB203" s="55">
        <f t="shared" si="47"/>
        <v>0</v>
      </c>
      <c r="AC203" s="55">
        <f t="shared" si="48"/>
        <v>0</v>
      </c>
      <c r="AD203" s="55">
        <f t="shared" si="49"/>
        <v>0</v>
      </c>
      <c r="AE203" s="55">
        <f t="shared" si="50"/>
        <v>0</v>
      </c>
      <c r="AF203" s="55">
        <f t="shared" si="51"/>
        <v>0</v>
      </c>
      <c r="AG203" s="55">
        <f t="shared" si="52"/>
        <v>0</v>
      </c>
      <c r="AH203" s="55">
        <f t="shared" si="53"/>
        <v>0</v>
      </c>
      <c r="AI203" s="34" t="s">
        <v>116</v>
      </c>
      <c r="AJ203" s="55">
        <f t="shared" si="54"/>
        <v>0</v>
      </c>
      <c r="AK203" s="55">
        <f t="shared" si="55"/>
        <v>0</v>
      </c>
      <c r="AL203" s="55">
        <f t="shared" si="56"/>
        <v>0</v>
      </c>
      <c r="AN203" s="55">
        <v>21</v>
      </c>
      <c r="AO203" s="55">
        <f>H203*0.740811093</f>
        <v>0</v>
      </c>
      <c r="AP203" s="55">
        <f>H203*(1-0.740811093)</f>
        <v>0</v>
      </c>
      <c r="AQ203" s="58" t="s">
        <v>120</v>
      </c>
      <c r="AV203" s="55">
        <f t="shared" si="57"/>
        <v>0</v>
      </c>
      <c r="AW203" s="55">
        <f t="shared" si="58"/>
        <v>0</v>
      </c>
      <c r="AX203" s="55">
        <f t="shared" si="59"/>
        <v>0</v>
      </c>
      <c r="AY203" s="58" t="s">
        <v>442</v>
      </c>
      <c r="AZ203" s="58" t="s">
        <v>443</v>
      </c>
      <c r="BA203" s="34" t="s">
        <v>128</v>
      </c>
      <c r="BB203" s="67">
        <v>100133</v>
      </c>
      <c r="BC203" s="55">
        <f t="shared" si="60"/>
        <v>0</v>
      </c>
      <c r="BD203" s="55">
        <f t="shared" si="61"/>
        <v>0</v>
      </c>
      <c r="BE203" s="55">
        <v>0</v>
      </c>
      <c r="BF203" s="55">
        <f t="shared" si="62"/>
        <v>0</v>
      </c>
      <c r="BH203" s="55">
        <f t="shared" si="63"/>
        <v>0</v>
      </c>
      <c r="BI203" s="55">
        <f t="shared" si="64"/>
        <v>0</v>
      </c>
      <c r="BJ203" s="55">
        <f t="shared" si="65"/>
        <v>0</v>
      </c>
      <c r="BK203" s="55"/>
      <c r="BL203" s="55">
        <v>2222</v>
      </c>
      <c r="BW203" s="55">
        <v>21</v>
      </c>
    </row>
    <row r="204" spans="1:75" ht="13.5" customHeight="1">
      <c r="A204" s="1" t="s">
        <v>511</v>
      </c>
      <c r="B204" s="2" t="s">
        <v>116</v>
      </c>
      <c r="C204" s="2" t="s">
        <v>512</v>
      </c>
      <c r="D204" s="147" t="s">
        <v>513</v>
      </c>
      <c r="E204" s="148"/>
      <c r="F204" s="2" t="s">
        <v>123</v>
      </c>
      <c r="G204" s="55">
        <f>'Stavební rozpočet-vyplnit'!G204</f>
        <v>4</v>
      </c>
      <c r="H204" s="55">
        <f>'Stavební rozpočet-vyplnit'!H204</f>
        <v>0</v>
      </c>
      <c r="I204" s="55">
        <f t="shared" si="44"/>
        <v>0</v>
      </c>
      <c r="J204" s="55">
        <f>'Stavební rozpočet-vyplnit'!J204</f>
        <v>0</v>
      </c>
      <c r="K204" s="55">
        <f t="shared" si="45"/>
        <v>0</v>
      </c>
      <c r="L204" s="57" t="s">
        <v>124</v>
      </c>
      <c r="Z204" s="55">
        <f t="shared" si="46"/>
        <v>0</v>
      </c>
      <c r="AB204" s="55">
        <f t="shared" si="47"/>
        <v>0</v>
      </c>
      <c r="AC204" s="55">
        <f t="shared" si="48"/>
        <v>0</v>
      </c>
      <c r="AD204" s="55">
        <f t="shared" si="49"/>
        <v>0</v>
      </c>
      <c r="AE204" s="55">
        <f t="shared" si="50"/>
        <v>0</v>
      </c>
      <c r="AF204" s="55">
        <f t="shared" si="51"/>
        <v>0</v>
      </c>
      <c r="AG204" s="55">
        <f t="shared" si="52"/>
        <v>0</v>
      </c>
      <c r="AH204" s="55">
        <f t="shared" si="53"/>
        <v>0</v>
      </c>
      <c r="AI204" s="34" t="s">
        <v>116</v>
      </c>
      <c r="AJ204" s="55">
        <f t="shared" si="54"/>
        <v>0</v>
      </c>
      <c r="AK204" s="55">
        <f t="shared" si="55"/>
        <v>0</v>
      </c>
      <c r="AL204" s="55">
        <f t="shared" si="56"/>
        <v>0</v>
      </c>
      <c r="AN204" s="55">
        <v>21</v>
      </c>
      <c r="AO204" s="55">
        <f>H204*0.660377358</f>
        <v>0</v>
      </c>
      <c r="AP204" s="55">
        <f>H204*(1-0.660377358)</f>
        <v>0</v>
      </c>
      <c r="AQ204" s="58" t="s">
        <v>120</v>
      </c>
      <c r="AV204" s="55">
        <f t="shared" si="57"/>
        <v>0</v>
      </c>
      <c r="AW204" s="55">
        <f t="shared" si="58"/>
        <v>0</v>
      </c>
      <c r="AX204" s="55">
        <f t="shared" si="59"/>
        <v>0</v>
      </c>
      <c r="AY204" s="58" t="s">
        <v>442</v>
      </c>
      <c r="AZ204" s="58" t="s">
        <v>443</v>
      </c>
      <c r="BA204" s="34" t="s">
        <v>128</v>
      </c>
      <c r="BB204" s="67">
        <v>100133</v>
      </c>
      <c r="BC204" s="55">
        <f t="shared" si="60"/>
        <v>0</v>
      </c>
      <c r="BD204" s="55">
        <f t="shared" si="61"/>
        <v>0</v>
      </c>
      <c r="BE204" s="55">
        <v>0</v>
      </c>
      <c r="BF204" s="55">
        <f t="shared" si="62"/>
        <v>0</v>
      </c>
      <c r="BH204" s="55">
        <f t="shared" si="63"/>
        <v>0</v>
      </c>
      <c r="BI204" s="55">
        <f t="shared" si="64"/>
        <v>0</v>
      </c>
      <c r="BJ204" s="55">
        <f t="shared" si="65"/>
        <v>0</v>
      </c>
      <c r="BK204" s="55"/>
      <c r="BL204" s="55">
        <v>2222</v>
      </c>
      <c r="BW204" s="55">
        <v>21</v>
      </c>
    </row>
    <row r="205" spans="1:75" ht="13.5" customHeight="1">
      <c r="A205" s="1" t="s">
        <v>514</v>
      </c>
      <c r="B205" s="2" t="s">
        <v>116</v>
      </c>
      <c r="C205" s="2" t="s">
        <v>515</v>
      </c>
      <c r="D205" s="147" t="s">
        <v>516</v>
      </c>
      <c r="E205" s="148"/>
      <c r="F205" s="2" t="s">
        <v>123</v>
      </c>
      <c r="G205" s="55">
        <f>'Stavební rozpočet-vyplnit'!G205</f>
        <v>48</v>
      </c>
      <c r="H205" s="55">
        <f>'Stavební rozpočet-vyplnit'!H205</f>
        <v>0</v>
      </c>
      <c r="I205" s="55">
        <f t="shared" si="44"/>
        <v>0</v>
      </c>
      <c r="J205" s="55">
        <f>'Stavební rozpočet-vyplnit'!J205</f>
        <v>0</v>
      </c>
      <c r="K205" s="55">
        <f t="shared" si="45"/>
        <v>0</v>
      </c>
      <c r="L205" s="57" t="s">
        <v>124</v>
      </c>
      <c r="Z205" s="55">
        <f t="shared" si="46"/>
        <v>0</v>
      </c>
      <c r="AB205" s="55">
        <f t="shared" si="47"/>
        <v>0</v>
      </c>
      <c r="AC205" s="55">
        <f t="shared" si="48"/>
        <v>0</v>
      </c>
      <c r="AD205" s="55">
        <f t="shared" si="49"/>
        <v>0</v>
      </c>
      <c r="AE205" s="55">
        <f t="shared" si="50"/>
        <v>0</v>
      </c>
      <c r="AF205" s="55">
        <f t="shared" si="51"/>
        <v>0</v>
      </c>
      <c r="AG205" s="55">
        <f t="shared" si="52"/>
        <v>0</v>
      </c>
      <c r="AH205" s="55">
        <f t="shared" si="53"/>
        <v>0</v>
      </c>
      <c r="AI205" s="34" t="s">
        <v>116</v>
      </c>
      <c r="AJ205" s="55">
        <f t="shared" si="54"/>
        <v>0</v>
      </c>
      <c r="AK205" s="55">
        <f t="shared" si="55"/>
        <v>0</v>
      </c>
      <c r="AL205" s="55">
        <f t="shared" si="56"/>
        <v>0</v>
      </c>
      <c r="AN205" s="55">
        <v>21</v>
      </c>
      <c r="AO205" s="55">
        <f>H205*0.238095238</f>
        <v>0</v>
      </c>
      <c r="AP205" s="55">
        <f>H205*(1-0.238095238)</f>
        <v>0</v>
      </c>
      <c r="AQ205" s="58" t="s">
        <v>120</v>
      </c>
      <c r="AV205" s="55">
        <f t="shared" si="57"/>
        <v>0</v>
      </c>
      <c r="AW205" s="55">
        <f t="shared" si="58"/>
        <v>0</v>
      </c>
      <c r="AX205" s="55">
        <f t="shared" si="59"/>
        <v>0</v>
      </c>
      <c r="AY205" s="58" t="s">
        <v>442</v>
      </c>
      <c r="AZ205" s="58" t="s">
        <v>443</v>
      </c>
      <c r="BA205" s="34" t="s">
        <v>128</v>
      </c>
      <c r="BB205" s="67">
        <v>100133</v>
      </c>
      <c r="BC205" s="55">
        <f t="shared" si="60"/>
        <v>0</v>
      </c>
      <c r="BD205" s="55">
        <f t="shared" si="61"/>
        <v>0</v>
      </c>
      <c r="BE205" s="55">
        <v>0</v>
      </c>
      <c r="BF205" s="55">
        <f t="shared" si="62"/>
        <v>0</v>
      </c>
      <c r="BH205" s="55">
        <f t="shared" si="63"/>
        <v>0</v>
      </c>
      <c r="BI205" s="55">
        <f t="shared" si="64"/>
        <v>0</v>
      </c>
      <c r="BJ205" s="55">
        <f t="shared" si="65"/>
        <v>0</v>
      </c>
      <c r="BK205" s="55"/>
      <c r="BL205" s="55">
        <v>2222</v>
      </c>
      <c r="BW205" s="55">
        <v>21</v>
      </c>
    </row>
    <row r="206" spans="1:75" ht="13.5" customHeight="1">
      <c r="A206" s="1" t="s">
        <v>517</v>
      </c>
      <c r="B206" s="2" t="s">
        <v>116</v>
      </c>
      <c r="C206" s="2" t="s">
        <v>518</v>
      </c>
      <c r="D206" s="147" t="s">
        <v>519</v>
      </c>
      <c r="E206" s="148"/>
      <c r="F206" s="2" t="s">
        <v>123</v>
      </c>
      <c r="G206" s="55">
        <f>'Stavební rozpočet-vyplnit'!G206</f>
        <v>48</v>
      </c>
      <c r="H206" s="55">
        <f>'Stavební rozpočet-vyplnit'!H206</f>
        <v>0</v>
      </c>
      <c r="I206" s="55">
        <f t="shared" si="44"/>
        <v>0</v>
      </c>
      <c r="J206" s="55">
        <f>'Stavební rozpočet-vyplnit'!J206</f>
        <v>0</v>
      </c>
      <c r="K206" s="55">
        <f t="shared" si="45"/>
        <v>0</v>
      </c>
      <c r="L206" s="57" t="s">
        <v>124</v>
      </c>
      <c r="Z206" s="55">
        <f t="shared" si="46"/>
        <v>0</v>
      </c>
      <c r="AB206" s="55">
        <f t="shared" si="47"/>
        <v>0</v>
      </c>
      <c r="AC206" s="55">
        <f t="shared" si="48"/>
        <v>0</v>
      </c>
      <c r="AD206" s="55">
        <f t="shared" si="49"/>
        <v>0</v>
      </c>
      <c r="AE206" s="55">
        <f t="shared" si="50"/>
        <v>0</v>
      </c>
      <c r="AF206" s="55">
        <f t="shared" si="51"/>
        <v>0</v>
      </c>
      <c r="AG206" s="55">
        <f t="shared" si="52"/>
        <v>0</v>
      </c>
      <c r="AH206" s="55">
        <f t="shared" si="53"/>
        <v>0</v>
      </c>
      <c r="AI206" s="34" t="s">
        <v>116</v>
      </c>
      <c r="AJ206" s="55">
        <f t="shared" si="54"/>
        <v>0</v>
      </c>
      <c r="AK206" s="55">
        <f t="shared" si="55"/>
        <v>0</v>
      </c>
      <c r="AL206" s="55">
        <f t="shared" si="56"/>
        <v>0</v>
      </c>
      <c r="AN206" s="55">
        <v>21</v>
      </c>
      <c r="AO206" s="55">
        <f>H206*0</f>
        <v>0</v>
      </c>
      <c r="AP206" s="55">
        <f>H206*(1-0)</f>
        <v>0</v>
      </c>
      <c r="AQ206" s="58" t="s">
        <v>120</v>
      </c>
      <c r="AV206" s="55">
        <f t="shared" si="57"/>
        <v>0</v>
      </c>
      <c r="AW206" s="55">
        <f t="shared" si="58"/>
        <v>0</v>
      </c>
      <c r="AX206" s="55">
        <f t="shared" si="59"/>
        <v>0</v>
      </c>
      <c r="AY206" s="58" t="s">
        <v>442</v>
      </c>
      <c r="AZ206" s="58" t="s">
        <v>443</v>
      </c>
      <c r="BA206" s="34" t="s">
        <v>128</v>
      </c>
      <c r="BB206" s="67">
        <v>100133</v>
      </c>
      <c r="BC206" s="55">
        <f t="shared" si="60"/>
        <v>0</v>
      </c>
      <c r="BD206" s="55">
        <f t="shared" si="61"/>
        <v>0</v>
      </c>
      <c r="BE206" s="55">
        <v>0</v>
      </c>
      <c r="BF206" s="55">
        <f t="shared" si="62"/>
        <v>0</v>
      </c>
      <c r="BH206" s="55">
        <f t="shared" si="63"/>
        <v>0</v>
      </c>
      <c r="BI206" s="55">
        <f t="shared" si="64"/>
        <v>0</v>
      </c>
      <c r="BJ206" s="55">
        <f t="shared" si="65"/>
        <v>0</v>
      </c>
      <c r="BK206" s="55"/>
      <c r="BL206" s="55">
        <v>2222</v>
      </c>
      <c r="BW206" s="55">
        <v>21</v>
      </c>
    </row>
    <row r="207" spans="1:75" ht="13.5" customHeight="1">
      <c r="A207" s="1" t="s">
        <v>520</v>
      </c>
      <c r="B207" s="2" t="s">
        <v>116</v>
      </c>
      <c r="C207" s="2" t="s">
        <v>521</v>
      </c>
      <c r="D207" s="147" t="s">
        <v>522</v>
      </c>
      <c r="E207" s="148"/>
      <c r="F207" s="2" t="s">
        <v>123</v>
      </c>
      <c r="G207" s="55">
        <f>'Stavební rozpočet-vyplnit'!G207</f>
        <v>48</v>
      </c>
      <c r="H207" s="55">
        <f>'Stavební rozpočet-vyplnit'!H207</f>
        <v>0</v>
      </c>
      <c r="I207" s="55">
        <f t="shared" si="44"/>
        <v>0</v>
      </c>
      <c r="J207" s="55">
        <f>'Stavební rozpočet-vyplnit'!J207</f>
        <v>0</v>
      </c>
      <c r="K207" s="55">
        <f t="shared" si="45"/>
        <v>0</v>
      </c>
      <c r="L207" s="57" t="s">
        <v>124</v>
      </c>
      <c r="Z207" s="55">
        <f t="shared" si="46"/>
        <v>0</v>
      </c>
      <c r="AB207" s="55">
        <f t="shared" si="47"/>
        <v>0</v>
      </c>
      <c r="AC207" s="55">
        <f t="shared" si="48"/>
        <v>0</v>
      </c>
      <c r="AD207" s="55">
        <f t="shared" si="49"/>
        <v>0</v>
      </c>
      <c r="AE207" s="55">
        <f t="shared" si="50"/>
        <v>0</v>
      </c>
      <c r="AF207" s="55">
        <f t="shared" si="51"/>
        <v>0</v>
      </c>
      <c r="AG207" s="55">
        <f t="shared" si="52"/>
        <v>0</v>
      </c>
      <c r="AH207" s="55">
        <f t="shared" si="53"/>
        <v>0</v>
      </c>
      <c r="AI207" s="34" t="s">
        <v>116</v>
      </c>
      <c r="AJ207" s="55">
        <f t="shared" si="54"/>
        <v>0</v>
      </c>
      <c r="AK207" s="55">
        <f t="shared" si="55"/>
        <v>0</v>
      </c>
      <c r="AL207" s="55">
        <f t="shared" si="56"/>
        <v>0</v>
      </c>
      <c r="AN207" s="55">
        <v>21</v>
      </c>
      <c r="AO207" s="55">
        <f>H207*0.627906977</f>
        <v>0</v>
      </c>
      <c r="AP207" s="55">
        <f>H207*(1-0.627906977)</f>
        <v>0</v>
      </c>
      <c r="AQ207" s="58" t="s">
        <v>120</v>
      </c>
      <c r="AV207" s="55">
        <f t="shared" si="57"/>
        <v>0</v>
      </c>
      <c r="AW207" s="55">
        <f t="shared" si="58"/>
        <v>0</v>
      </c>
      <c r="AX207" s="55">
        <f t="shared" si="59"/>
        <v>0</v>
      </c>
      <c r="AY207" s="58" t="s">
        <v>442</v>
      </c>
      <c r="AZ207" s="58" t="s">
        <v>443</v>
      </c>
      <c r="BA207" s="34" t="s">
        <v>128</v>
      </c>
      <c r="BB207" s="67">
        <v>100133</v>
      </c>
      <c r="BC207" s="55">
        <f t="shared" si="60"/>
        <v>0</v>
      </c>
      <c r="BD207" s="55">
        <f t="shared" si="61"/>
        <v>0</v>
      </c>
      <c r="BE207" s="55">
        <v>0</v>
      </c>
      <c r="BF207" s="55">
        <f t="shared" si="62"/>
        <v>0</v>
      </c>
      <c r="BH207" s="55">
        <f t="shared" si="63"/>
        <v>0</v>
      </c>
      <c r="BI207" s="55">
        <f t="shared" si="64"/>
        <v>0</v>
      </c>
      <c r="BJ207" s="55">
        <f t="shared" si="65"/>
        <v>0</v>
      </c>
      <c r="BK207" s="55"/>
      <c r="BL207" s="55">
        <v>2222</v>
      </c>
      <c r="BW207" s="55">
        <v>21</v>
      </c>
    </row>
    <row r="208" spans="1:75" ht="13.5" customHeight="1">
      <c r="A208" s="1" t="s">
        <v>523</v>
      </c>
      <c r="B208" s="2" t="s">
        <v>116</v>
      </c>
      <c r="C208" s="2" t="s">
        <v>524</v>
      </c>
      <c r="D208" s="147" t="s">
        <v>525</v>
      </c>
      <c r="E208" s="148"/>
      <c r="F208" s="2" t="s">
        <v>123</v>
      </c>
      <c r="G208" s="55">
        <f>'Stavební rozpočet-vyplnit'!G208</f>
        <v>48</v>
      </c>
      <c r="H208" s="55">
        <f>'Stavební rozpočet-vyplnit'!H208</f>
        <v>0</v>
      </c>
      <c r="I208" s="55">
        <f t="shared" si="44"/>
        <v>0</v>
      </c>
      <c r="J208" s="55">
        <f>'Stavební rozpočet-vyplnit'!J208</f>
        <v>0</v>
      </c>
      <c r="K208" s="55">
        <f t="shared" si="45"/>
        <v>0</v>
      </c>
      <c r="L208" s="57" t="s">
        <v>124</v>
      </c>
      <c r="Z208" s="55">
        <f t="shared" si="46"/>
        <v>0</v>
      </c>
      <c r="AB208" s="55">
        <f t="shared" si="47"/>
        <v>0</v>
      </c>
      <c r="AC208" s="55">
        <f t="shared" si="48"/>
        <v>0</v>
      </c>
      <c r="AD208" s="55">
        <f t="shared" si="49"/>
        <v>0</v>
      </c>
      <c r="AE208" s="55">
        <f t="shared" si="50"/>
        <v>0</v>
      </c>
      <c r="AF208" s="55">
        <f t="shared" si="51"/>
        <v>0</v>
      </c>
      <c r="AG208" s="55">
        <f t="shared" si="52"/>
        <v>0</v>
      </c>
      <c r="AH208" s="55">
        <f t="shared" si="53"/>
        <v>0</v>
      </c>
      <c r="AI208" s="34" t="s">
        <v>116</v>
      </c>
      <c r="AJ208" s="55">
        <f t="shared" si="54"/>
        <v>0</v>
      </c>
      <c r="AK208" s="55">
        <f t="shared" si="55"/>
        <v>0</v>
      </c>
      <c r="AL208" s="55">
        <f t="shared" si="56"/>
        <v>0</v>
      </c>
      <c r="AN208" s="55">
        <v>21</v>
      </c>
      <c r="AO208" s="55">
        <f>H208*0.9375</f>
        <v>0</v>
      </c>
      <c r="AP208" s="55">
        <f>H208*(1-0.9375)</f>
        <v>0</v>
      </c>
      <c r="AQ208" s="58" t="s">
        <v>120</v>
      </c>
      <c r="AV208" s="55">
        <f t="shared" si="57"/>
        <v>0</v>
      </c>
      <c r="AW208" s="55">
        <f t="shared" si="58"/>
        <v>0</v>
      </c>
      <c r="AX208" s="55">
        <f t="shared" si="59"/>
        <v>0</v>
      </c>
      <c r="AY208" s="58" t="s">
        <v>442</v>
      </c>
      <c r="AZ208" s="58" t="s">
        <v>443</v>
      </c>
      <c r="BA208" s="34" t="s">
        <v>128</v>
      </c>
      <c r="BB208" s="67">
        <v>100133</v>
      </c>
      <c r="BC208" s="55">
        <f t="shared" si="60"/>
        <v>0</v>
      </c>
      <c r="BD208" s="55">
        <f t="shared" si="61"/>
        <v>0</v>
      </c>
      <c r="BE208" s="55">
        <v>0</v>
      </c>
      <c r="BF208" s="55">
        <f t="shared" si="62"/>
        <v>0</v>
      </c>
      <c r="BH208" s="55">
        <f t="shared" si="63"/>
        <v>0</v>
      </c>
      <c r="BI208" s="55">
        <f t="shared" si="64"/>
        <v>0</v>
      </c>
      <c r="BJ208" s="55">
        <f t="shared" si="65"/>
        <v>0</v>
      </c>
      <c r="BK208" s="55"/>
      <c r="BL208" s="55">
        <v>2222</v>
      </c>
      <c r="BW208" s="55">
        <v>21</v>
      </c>
    </row>
    <row r="209" spans="1:75" ht="13.5" customHeight="1">
      <c r="A209" s="1" t="s">
        <v>526</v>
      </c>
      <c r="B209" s="2" t="s">
        <v>116</v>
      </c>
      <c r="C209" s="2" t="s">
        <v>527</v>
      </c>
      <c r="D209" s="147" t="s">
        <v>528</v>
      </c>
      <c r="E209" s="148"/>
      <c r="F209" s="2" t="s">
        <v>123</v>
      </c>
      <c r="G209" s="55">
        <f>'Stavební rozpočet-vyplnit'!G209</f>
        <v>2</v>
      </c>
      <c r="H209" s="55">
        <f>'Stavební rozpočet-vyplnit'!H209</f>
        <v>0</v>
      </c>
      <c r="I209" s="55">
        <f t="shared" si="44"/>
        <v>0</v>
      </c>
      <c r="J209" s="55">
        <f>'Stavební rozpočet-vyplnit'!J209</f>
        <v>0</v>
      </c>
      <c r="K209" s="55">
        <f t="shared" si="45"/>
        <v>0</v>
      </c>
      <c r="L209" s="57" t="s">
        <v>124</v>
      </c>
      <c r="Z209" s="55">
        <f t="shared" si="46"/>
        <v>0</v>
      </c>
      <c r="AB209" s="55">
        <f t="shared" si="47"/>
        <v>0</v>
      </c>
      <c r="AC209" s="55">
        <f t="shared" si="48"/>
        <v>0</v>
      </c>
      <c r="AD209" s="55">
        <f t="shared" si="49"/>
        <v>0</v>
      </c>
      <c r="AE209" s="55">
        <f t="shared" si="50"/>
        <v>0</v>
      </c>
      <c r="AF209" s="55">
        <f t="shared" si="51"/>
        <v>0</v>
      </c>
      <c r="AG209" s="55">
        <f t="shared" si="52"/>
        <v>0</v>
      </c>
      <c r="AH209" s="55">
        <f t="shared" si="53"/>
        <v>0</v>
      </c>
      <c r="AI209" s="34" t="s">
        <v>116</v>
      </c>
      <c r="AJ209" s="55">
        <f t="shared" si="54"/>
        <v>0</v>
      </c>
      <c r="AK209" s="55">
        <f t="shared" si="55"/>
        <v>0</v>
      </c>
      <c r="AL209" s="55">
        <f t="shared" si="56"/>
        <v>0</v>
      </c>
      <c r="AN209" s="55">
        <v>21</v>
      </c>
      <c r="AO209" s="55">
        <f>H209*0.922330097</f>
        <v>0</v>
      </c>
      <c r="AP209" s="55">
        <f>H209*(1-0.922330097)</f>
        <v>0</v>
      </c>
      <c r="AQ209" s="58" t="s">
        <v>120</v>
      </c>
      <c r="AV209" s="55">
        <f t="shared" si="57"/>
        <v>0</v>
      </c>
      <c r="AW209" s="55">
        <f t="shared" si="58"/>
        <v>0</v>
      </c>
      <c r="AX209" s="55">
        <f t="shared" si="59"/>
        <v>0</v>
      </c>
      <c r="AY209" s="58" t="s">
        <v>442</v>
      </c>
      <c r="AZ209" s="58" t="s">
        <v>443</v>
      </c>
      <c r="BA209" s="34" t="s">
        <v>128</v>
      </c>
      <c r="BB209" s="67">
        <v>100133</v>
      </c>
      <c r="BC209" s="55">
        <f t="shared" si="60"/>
        <v>0</v>
      </c>
      <c r="BD209" s="55">
        <f t="shared" si="61"/>
        <v>0</v>
      </c>
      <c r="BE209" s="55">
        <v>0</v>
      </c>
      <c r="BF209" s="55">
        <f t="shared" si="62"/>
        <v>0</v>
      </c>
      <c r="BH209" s="55">
        <f t="shared" si="63"/>
        <v>0</v>
      </c>
      <c r="BI209" s="55">
        <f t="shared" si="64"/>
        <v>0</v>
      </c>
      <c r="BJ209" s="55">
        <f t="shared" si="65"/>
        <v>0</v>
      </c>
      <c r="BK209" s="55"/>
      <c r="BL209" s="55">
        <v>2222</v>
      </c>
      <c r="BW209" s="55">
        <v>21</v>
      </c>
    </row>
    <row r="210" spans="1:75" ht="27" customHeight="1">
      <c r="A210" s="1" t="s">
        <v>529</v>
      </c>
      <c r="B210" s="2" t="s">
        <v>116</v>
      </c>
      <c r="C210" s="2" t="s">
        <v>530</v>
      </c>
      <c r="D210" s="147" t="s">
        <v>531</v>
      </c>
      <c r="E210" s="148"/>
      <c r="F210" s="2" t="s">
        <v>123</v>
      </c>
      <c r="G210" s="55">
        <f>'Stavební rozpočet-vyplnit'!G210</f>
        <v>24</v>
      </c>
      <c r="H210" s="55">
        <f>'Stavební rozpočet-vyplnit'!H210</f>
        <v>0</v>
      </c>
      <c r="I210" s="55">
        <f t="shared" si="44"/>
        <v>0</v>
      </c>
      <c r="J210" s="55">
        <f>'Stavební rozpočet-vyplnit'!J210</f>
        <v>0</v>
      </c>
      <c r="K210" s="55">
        <f t="shared" si="45"/>
        <v>0</v>
      </c>
      <c r="L210" s="57" t="s">
        <v>124</v>
      </c>
      <c r="Z210" s="55">
        <f t="shared" si="46"/>
        <v>0</v>
      </c>
      <c r="AB210" s="55">
        <f t="shared" si="47"/>
        <v>0</v>
      </c>
      <c r="AC210" s="55">
        <f t="shared" si="48"/>
        <v>0</v>
      </c>
      <c r="AD210" s="55">
        <f t="shared" si="49"/>
        <v>0</v>
      </c>
      <c r="AE210" s="55">
        <f t="shared" si="50"/>
        <v>0</v>
      </c>
      <c r="AF210" s="55">
        <f t="shared" si="51"/>
        <v>0</v>
      </c>
      <c r="AG210" s="55">
        <f t="shared" si="52"/>
        <v>0</v>
      </c>
      <c r="AH210" s="55">
        <f t="shared" si="53"/>
        <v>0</v>
      </c>
      <c r="AI210" s="34" t="s">
        <v>116</v>
      </c>
      <c r="AJ210" s="55">
        <f t="shared" si="54"/>
        <v>0</v>
      </c>
      <c r="AK210" s="55">
        <f t="shared" si="55"/>
        <v>0</v>
      </c>
      <c r="AL210" s="55">
        <f t="shared" si="56"/>
        <v>0</v>
      </c>
      <c r="AN210" s="55">
        <v>21</v>
      </c>
      <c r="AO210" s="55">
        <f>H210*0</f>
        <v>0</v>
      </c>
      <c r="AP210" s="55">
        <f>H210*(1-0)</f>
        <v>0</v>
      </c>
      <c r="AQ210" s="58" t="s">
        <v>120</v>
      </c>
      <c r="AV210" s="55">
        <f t="shared" si="57"/>
        <v>0</v>
      </c>
      <c r="AW210" s="55">
        <f t="shared" si="58"/>
        <v>0</v>
      </c>
      <c r="AX210" s="55">
        <f t="shared" si="59"/>
        <v>0</v>
      </c>
      <c r="AY210" s="58" t="s">
        <v>442</v>
      </c>
      <c r="AZ210" s="58" t="s">
        <v>443</v>
      </c>
      <c r="BA210" s="34" t="s">
        <v>128</v>
      </c>
      <c r="BB210" s="67">
        <v>100133</v>
      </c>
      <c r="BC210" s="55">
        <f t="shared" si="60"/>
        <v>0</v>
      </c>
      <c r="BD210" s="55">
        <f t="shared" si="61"/>
        <v>0</v>
      </c>
      <c r="BE210" s="55">
        <v>0</v>
      </c>
      <c r="BF210" s="55">
        <f t="shared" si="62"/>
        <v>0</v>
      </c>
      <c r="BH210" s="55">
        <f t="shared" si="63"/>
        <v>0</v>
      </c>
      <c r="BI210" s="55">
        <f t="shared" si="64"/>
        <v>0</v>
      </c>
      <c r="BJ210" s="55">
        <f t="shared" si="65"/>
        <v>0</v>
      </c>
      <c r="BK210" s="55"/>
      <c r="BL210" s="55">
        <v>2222</v>
      </c>
      <c r="BW210" s="55">
        <v>21</v>
      </c>
    </row>
    <row r="211" spans="1:75" ht="13.5" customHeight="1">
      <c r="A211" s="1" t="s">
        <v>532</v>
      </c>
      <c r="B211" s="2" t="s">
        <v>116</v>
      </c>
      <c r="C211" s="2" t="s">
        <v>533</v>
      </c>
      <c r="D211" s="147" t="s">
        <v>534</v>
      </c>
      <c r="E211" s="148"/>
      <c r="F211" s="2" t="s">
        <v>174</v>
      </c>
      <c r="G211" s="55">
        <f>'Stavební rozpočet-vyplnit'!G211</f>
        <v>150</v>
      </c>
      <c r="H211" s="55">
        <f>'Stavební rozpočet-vyplnit'!H211</f>
        <v>0</v>
      </c>
      <c r="I211" s="55">
        <f t="shared" si="44"/>
        <v>0</v>
      </c>
      <c r="J211" s="55">
        <f>'Stavební rozpočet-vyplnit'!J211</f>
        <v>0</v>
      </c>
      <c r="K211" s="55">
        <f t="shared" si="45"/>
        <v>0</v>
      </c>
      <c r="L211" s="57" t="s">
        <v>124</v>
      </c>
      <c r="Z211" s="55">
        <f t="shared" si="46"/>
        <v>0</v>
      </c>
      <c r="AB211" s="55">
        <f t="shared" si="47"/>
        <v>0</v>
      </c>
      <c r="AC211" s="55">
        <f t="shared" si="48"/>
        <v>0</v>
      </c>
      <c r="AD211" s="55">
        <f t="shared" si="49"/>
        <v>0</v>
      </c>
      <c r="AE211" s="55">
        <f t="shared" si="50"/>
        <v>0</v>
      </c>
      <c r="AF211" s="55">
        <f t="shared" si="51"/>
        <v>0</v>
      </c>
      <c r="AG211" s="55">
        <f t="shared" si="52"/>
        <v>0</v>
      </c>
      <c r="AH211" s="55">
        <f t="shared" si="53"/>
        <v>0</v>
      </c>
      <c r="AI211" s="34" t="s">
        <v>116</v>
      </c>
      <c r="AJ211" s="55">
        <f t="shared" si="54"/>
        <v>0</v>
      </c>
      <c r="AK211" s="55">
        <f t="shared" si="55"/>
        <v>0</v>
      </c>
      <c r="AL211" s="55">
        <f t="shared" si="56"/>
        <v>0</v>
      </c>
      <c r="AN211" s="55">
        <v>21</v>
      </c>
      <c r="AO211" s="55">
        <f>H211*0.715909091</f>
        <v>0</v>
      </c>
      <c r="AP211" s="55">
        <f>H211*(1-0.715909091)</f>
        <v>0</v>
      </c>
      <c r="AQ211" s="58" t="s">
        <v>120</v>
      </c>
      <c r="AV211" s="55">
        <f t="shared" si="57"/>
        <v>0</v>
      </c>
      <c r="AW211" s="55">
        <f t="shared" si="58"/>
        <v>0</v>
      </c>
      <c r="AX211" s="55">
        <f t="shared" si="59"/>
        <v>0</v>
      </c>
      <c r="AY211" s="58" t="s">
        <v>442</v>
      </c>
      <c r="AZ211" s="58" t="s">
        <v>443</v>
      </c>
      <c r="BA211" s="34" t="s">
        <v>128</v>
      </c>
      <c r="BB211" s="67">
        <v>100133</v>
      </c>
      <c r="BC211" s="55">
        <f t="shared" si="60"/>
        <v>0</v>
      </c>
      <c r="BD211" s="55">
        <f t="shared" si="61"/>
        <v>0</v>
      </c>
      <c r="BE211" s="55">
        <v>0</v>
      </c>
      <c r="BF211" s="55">
        <f t="shared" si="62"/>
        <v>0</v>
      </c>
      <c r="BH211" s="55">
        <f t="shared" si="63"/>
        <v>0</v>
      </c>
      <c r="BI211" s="55">
        <f t="shared" si="64"/>
        <v>0</v>
      </c>
      <c r="BJ211" s="55">
        <f t="shared" si="65"/>
        <v>0</v>
      </c>
      <c r="BK211" s="55"/>
      <c r="BL211" s="55">
        <v>2222</v>
      </c>
      <c r="BW211" s="55">
        <v>21</v>
      </c>
    </row>
    <row r="212" spans="1:12" ht="13.5" customHeight="1">
      <c r="A212" s="59"/>
      <c r="D212" s="218" t="s">
        <v>129</v>
      </c>
      <c r="E212" s="219"/>
      <c r="F212" s="219"/>
      <c r="G212" s="219"/>
      <c r="H212" s="219"/>
      <c r="I212" s="219"/>
      <c r="J212" s="219"/>
      <c r="K212" s="219"/>
      <c r="L212" s="221"/>
    </row>
    <row r="213" spans="1:75" ht="13.5" customHeight="1">
      <c r="A213" s="1" t="s">
        <v>535</v>
      </c>
      <c r="B213" s="2" t="s">
        <v>116</v>
      </c>
      <c r="C213" s="2" t="s">
        <v>536</v>
      </c>
      <c r="D213" s="147" t="s">
        <v>537</v>
      </c>
      <c r="E213" s="148"/>
      <c r="F213" s="2" t="s">
        <v>123</v>
      </c>
      <c r="G213" s="55">
        <f>'Stavební rozpočet-vyplnit'!G213</f>
        <v>2</v>
      </c>
      <c r="H213" s="55">
        <f>'Stavební rozpočet-vyplnit'!H213</f>
        <v>0</v>
      </c>
      <c r="I213" s="55">
        <f>G213*H213</f>
        <v>0</v>
      </c>
      <c r="J213" s="55">
        <f>'Stavební rozpočet-vyplnit'!J213</f>
        <v>0</v>
      </c>
      <c r="K213" s="55">
        <f>G213*J213</f>
        <v>0</v>
      </c>
      <c r="L213" s="57" t="s">
        <v>124</v>
      </c>
      <c r="Z213" s="55">
        <f>IF(AQ213="5",BJ213,0)</f>
        <v>0</v>
      </c>
      <c r="AB213" s="55">
        <f>IF(AQ213="1",BH213,0)</f>
        <v>0</v>
      </c>
      <c r="AC213" s="55">
        <f>IF(AQ213="1",BI213,0)</f>
        <v>0</v>
      </c>
      <c r="AD213" s="55">
        <f>IF(AQ213="7",BH213,0)</f>
        <v>0</v>
      </c>
      <c r="AE213" s="55">
        <f>IF(AQ213="7",BI213,0)</f>
        <v>0</v>
      </c>
      <c r="AF213" s="55">
        <f>IF(AQ213="2",BH213,0)</f>
        <v>0</v>
      </c>
      <c r="AG213" s="55">
        <f>IF(AQ213="2",BI213,0)</f>
        <v>0</v>
      </c>
      <c r="AH213" s="55">
        <f>IF(AQ213="0",BJ213,0)</f>
        <v>0</v>
      </c>
      <c r="AI213" s="34" t="s">
        <v>116</v>
      </c>
      <c r="AJ213" s="55">
        <f>IF(AN213=0,I213,0)</f>
        <v>0</v>
      </c>
      <c r="AK213" s="55">
        <f>IF(AN213=12,I213,0)</f>
        <v>0</v>
      </c>
      <c r="AL213" s="55">
        <f>IF(AN213=21,I213,0)</f>
        <v>0</v>
      </c>
      <c r="AN213" s="55">
        <v>21</v>
      </c>
      <c r="AO213" s="55">
        <f>H213*0.949761526</f>
        <v>0</v>
      </c>
      <c r="AP213" s="55">
        <f>H213*(1-0.949761526)</f>
        <v>0</v>
      </c>
      <c r="AQ213" s="58" t="s">
        <v>120</v>
      </c>
      <c r="AV213" s="55">
        <f>AW213+AX213</f>
        <v>0</v>
      </c>
      <c r="AW213" s="55">
        <f>G213*AO213</f>
        <v>0</v>
      </c>
      <c r="AX213" s="55">
        <f>G213*AP213</f>
        <v>0</v>
      </c>
      <c r="AY213" s="58" t="s">
        <v>442</v>
      </c>
      <c r="AZ213" s="58" t="s">
        <v>443</v>
      </c>
      <c r="BA213" s="34" t="s">
        <v>128</v>
      </c>
      <c r="BB213" s="67">
        <v>100133</v>
      </c>
      <c r="BC213" s="55">
        <f>AW213+AX213</f>
        <v>0</v>
      </c>
      <c r="BD213" s="55">
        <f>H213/(100-BE213)*100</f>
        <v>0</v>
      </c>
      <c r="BE213" s="55">
        <v>0</v>
      </c>
      <c r="BF213" s="55">
        <f>K213</f>
        <v>0</v>
      </c>
      <c r="BH213" s="55">
        <f>G213*AO213</f>
        <v>0</v>
      </c>
      <c r="BI213" s="55">
        <f>G213*AP213</f>
        <v>0</v>
      </c>
      <c r="BJ213" s="55">
        <f>G213*H213</f>
        <v>0</v>
      </c>
      <c r="BK213" s="55"/>
      <c r="BL213" s="55">
        <v>2222</v>
      </c>
      <c r="BW213" s="55">
        <v>21</v>
      </c>
    </row>
    <row r="214" spans="1:12" ht="13.5" customHeight="1">
      <c r="A214" s="59"/>
      <c r="D214" s="218" t="s">
        <v>129</v>
      </c>
      <c r="E214" s="219"/>
      <c r="F214" s="219"/>
      <c r="G214" s="219"/>
      <c r="H214" s="219"/>
      <c r="I214" s="219"/>
      <c r="J214" s="219"/>
      <c r="K214" s="219"/>
      <c r="L214" s="221"/>
    </row>
    <row r="215" spans="1:75" ht="13.5" customHeight="1">
      <c r="A215" s="1" t="s">
        <v>538</v>
      </c>
      <c r="B215" s="2" t="s">
        <v>116</v>
      </c>
      <c r="C215" s="2" t="s">
        <v>539</v>
      </c>
      <c r="D215" s="147" t="s">
        <v>540</v>
      </c>
      <c r="E215" s="148"/>
      <c r="F215" s="2" t="s">
        <v>123</v>
      </c>
      <c r="G215" s="55">
        <f>'Stavební rozpočet-vyplnit'!G215</f>
        <v>1</v>
      </c>
      <c r="H215" s="55">
        <f>'Stavební rozpočet-vyplnit'!H215</f>
        <v>0</v>
      </c>
      <c r="I215" s="55">
        <f>G215*H215</f>
        <v>0</v>
      </c>
      <c r="J215" s="55">
        <f>'Stavební rozpočet-vyplnit'!J215</f>
        <v>0</v>
      </c>
      <c r="K215" s="55">
        <f>G215*J215</f>
        <v>0</v>
      </c>
      <c r="L215" s="57" t="s">
        <v>124</v>
      </c>
      <c r="Z215" s="55">
        <f>IF(AQ215="5",BJ215,0)</f>
        <v>0</v>
      </c>
      <c r="AB215" s="55">
        <f>IF(AQ215="1",BH215,0)</f>
        <v>0</v>
      </c>
      <c r="AC215" s="55">
        <f>IF(AQ215="1",BI215,0)</f>
        <v>0</v>
      </c>
      <c r="AD215" s="55">
        <f>IF(AQ215="7",BH215,0)</f>
        <v>0</v>
      </c>
      <c r="AE215" s="55">
        <f>IF(AQ215="7",BI215,0)</f>
        <v>0</v>
      </c>
      <c r="AF215" s="55">
        <f>IF(AQ215="2",BH215,0)</f>
        <v>0</v>
      </c>
      <c r="AG215" s="55">
        <f>IF(AQ215="2",BI215,0)</f>
        <v>0</v>
      </c>
      <c r="AH215" s="55">
        <f>IF(AQ215="0",BJ215,0)</f>
        <v>0</v>
      </c>
      <c r="AI215" s="34" t="s">
        <v>116</v>
      </c>
      <c r="AJ215" s="55">
        <f>IF(AN215=0,I215,0)</f>
        <v>0</v>
      </c>
      <c r="AK215" s="55">
        <f>IF(AN215=12,I215,0)</f>
        <v>0</v>
      </c>
      <c r="AL215" s="55">
        <f>IF(AN215=21,I215,0)</f>
        <v>0</v>
      </c>
      <c r="AN215" s="55">
        <v>21</v>
      </c>
      <c r="AO215" s="55">
        <f>H215*0.890385933</f>
        <v>0</v>
      </c>
      <c r="AP215" s="55">
        <f>H215*(1-0.890385933)</f>
        <v>0</v>
      </c>
      <c r="AQ215" s="58" t="s">
        <v>120</v>
      </c>
      <c r="AV215" s="55">
        <f>AW215+AX215</f>
        <v>0</v>
      </c>
      <c r="AW215" s="55">
        <f>G215*AO215</f>
        <v>0</v>
      </c>
      <c r="AX215" s="55">
        <f>G215*AP215</f>
        <v>0</v>
      </c>
      <c r="AY215" s="58" t="s">
        <v>442</v>
      </c>
      <c r="AZ215" s="58" t="s">
        <v>443</v>
      </c>
      <c r="BA215" s="34" t="s">
        <v>128</v>
      </c>
      <c r="BB215" s="67">
        <v>100133</v>
      </c>
      <c r="BC215" s="55">
        <f>AW215+AX215</f>
        <v>0</v>
      </c>
      <c r="BD215" s="55">
        <f>H215/(100-BE215)*100</f>
        <v>0</v>
      </c>
      <c r="BE215" s="55">
        <v>0</v>
      </c>
      <c r="BF215" s="55">
        <f>K215</f>
        <v>0</v>
      </c>
      <c r="BH215" s="55">
        <f>G215*AO215</f>
        <v>0</v>
      </c>
      <c r="BI215" s="55">
        <f>G215*AP215</f>
        <v>0</v>
      </c>
      <c r="BJ215" s="55">
        <f>G215*H215</f>
        <v>0</v>
      </c>
      <c r="BK215" s="55"/>
      <c r="BL215" s="55">
        <v>2222</v>
      </c>
      <c r="BW215" s="55">
        <v>21</v>
      </c>
    </row>
    <row r="216" spans="1:12" ht="13.5" customHeight="1">
      <c r="A216" s="59"/>
      <c r="D216" s="218" t="s">
        <v>129</v>
      </c>
      <c r="E216" s="219"/>
      <c r="F216" s="219"/>
      <c r="G216" s="219"/>
      <c r="H216" s="219"/>
      <c r="I216" s="219"/>
      <c r="J216" s="219"/>
      <c r="K216" s="219"/>
      <c r="L216" s="221"/>
    </row>
    <row r="217" spans="1:75" ht="27" customHeight="1">
      <c r="A217" s="1" t="s">
        <v>541</v>
      </c>
      <c r="B217" s="2" t="s">
        <v>116</v>
      </c>
      <c r="C217" s="2" t="s">
        <v>542</v>
      </c>
      <c r="D217" s="147" t="s">
        <v>543</v>
      </c>
      <c r="E217" s="148"/>
      <c r="F217" s="2" t="s">
        <v>123</v>
      </c>
      <c r="G217" s="55">
        <f>'Stavební rozpočet-vyplnit'!G217</f>
        <v>2</v>
      </c>
      <c r="H217" s="55">
        <f>'Stavební rozpočet-vyplnit'!H217</f>
        <v>0</v>
      </c>
      <c r="I217" s="55">
        <f>G217*H217</f>
        <v>0</v>
      </c>
      <c r="J217" s="55">
        <f>'Stavební rozpočet-vyplnit'!J217</f>
        <v>0</v>
      </c>
      <c r="K217" s="55">
        <f>G217*J217</f>
        <v>0</v>
      </c>
      <c r="L217" s="57" t="s">
        <v>124</v>
      </c>
      <c r="Z217" s="55">
        <f>IF(AQ217="5",BJ217,0)</f>
        <v>0</v>
      </c>
      <c r="AB217" s="55">
        <f>IF(AQ217="1",BH217,0)</f>
        <v>0</v>
      </c>
      <c r="AC217" s="55">
        <f>IF(AQ217="1",BI217,0)</f>
        <v>0</v>
      </c>
      <c r="AD217" s="55">
        <f>IF(AQ217="7",BH217,0)</f>
        <v>0</v>
      </c>
      <c r="AE217" s="55">
        <f>IF(AQ217="7",BI217,0)</f>
        <v>0</v>
      </c>
      <c r="AF217" s="55">
        <f>IF(AQ217="2",BH217,0)</f>
        <v>0</v>
      </c>
      <c r="AG217" s="55">
        <f>IF(AQ217="2",BI217,0)</f>
        <v>0</v>
      </c>
      <c r="AH217" s="55">
        <f>IF(AQ217="0",BJ217,0)</f>
        <v>0</v>
      </c>
      <c r="AI217" s="34" t="s">
        <v>116</v>
      </c>
      <c r="AJ217" s="55">
        <f>IF(AN217=0,I217,0)</f>
        <v>0</v>
      </c>
      <c r="AK217" s="55">
        <f>IF(AN217=12,I217,0)</f>
        <v>0</v>
      </c>
      <c r="AL217" s="55">
        <f>IF(AN217=21,I217,0)</f>
        <v>0</v>
      </c>
      <c r="AN217" s="55">
        <v>21</v>
      </c>
      <c r="AO217" s="55">
        <f>H217*0.953810624</f>
        <v>0</v>
      </c>
      <c r="AP217" s="55">
        <f>H217*(1-0.953810624)</f>
        <v>0</v>
      </c>
      <c r="AQ217" s="58" t="s">
        <v>120</v>
      </c>
      <c r="AV217" s="55">
        <f>AW217+AX217</f>
        <v>0</v>
      </c>
      <c r="AW217" s="55">
        <f>G217*AO217</f>
        <v>0</v>
      </c>
      <c r="AX217" s="55">
        <f>G217*AP217</f>
        <v>0</v>
      </c>
      <c r="AY217" s="58" t="s">
        <v>442</v>
      </c>
      <c r="AZ217" s="58" t="s">
        <v>443</v>
      </c>
      <c r="BA217" s="34" t="s">
        <v>128</v>
      </c>
      <c r="BB217" s="67">
        <v>100133</v>
      </c>
      <c r="BC217" s="55">
        <f>AW217+AX217</f>
        <v>0</v>
      </c>
      <c r="BD217" s="55">
        <f>H217/(100-BE217)*100</f>
        <v>0</v>
      </c>
      <c r="BE217" s="55">
        <v>0</v>
      </c>
      <c r="BF217" s="55">
        <f>K217</f>
        <v>0</v>
      </c>
      <c r="BH217" s="55">
        <f>G217*AO217</f>
        <v>0</v>
      </c>
      <c r="BI217" s="55">
        <f>G217*AP217</f>
        <v>0</v>
      </c>
      <c r="BJ217" s="55">
        <f>G217*H217</f>
        <v>0</v>
      </c>
      <c r="BK217" s="55"/>
      <c r="BL217" s="55">
        <v>2222</v>
      </c>
      <c r="BW217" s="55">
        <v>21</v>
      </c>
    </row>
    <row r="218" spans="1:12" ht="13.5" customHeight="1">
      <c r="A218" s="59"/>
      <c r="D218" s="218" t="s">
        <v>129</v>
      </c>
      <c r="E218" s="219"/>
      <c r="F218" s="219"/>
      <c r="G218" s="219"/>
      <c r="H218" s="219"/>
      <c r="I218" s="219"/>
      <c r="J218" s="219"/>
      <c r="K218" s="219"/>
      <c r="L218" s="221"/>
    </row>
    <row r="219" spans="1:75" ht="13.5" customHeight="1">
      <c r="A219" s="1" t="s">
        <v>544</v>
      </c>
      <c r="B219" s="2" t="s">
        <v>116</v>
      </c>
      <c r="C219" s="2" t="s">
        <v>545</v>
      </c>
      <c r="D219" s="147" t="s">
        <v>546</v>
      </c>
      <c r="E219" s="148"/>
      <c r="F219" s="2" t="s">
        <v>123</v>
      </c>
      <c r="G219" s="55">
        <f>'Stavební rozpočet-vyplnit'!G219</f>
        <v>2</v>
      </c>
      <c r="H219" s="55">
        <f>'Stavební rozpočet-vyplnit'!H219</f>
        <v>0</v>
      </c>
      <c r="I219" s="55">
        <f>G219*H219</f>
        <v>0</v>
      </c>
      <c r="J219" s="55">
        <f>'Stavební rozpočet-vyplnit'!J219</f>
        <v>0</v>
      </c>
      <c r="K219" s="55">
        <f>G219*J219</f>
        <v>0</v>
      </c>
      <c r="L219" s="57" t="s">
        <v>124</v>
      </c>
      <c r="Z219" s="55">
        <f>IF(AQ219="5",BJ219,0)</f>
        <v>0</v>
      </c>
      <c r="AB219" s="55">
        <f>IF(AQ219="1",BH219,0)</f>
        <v>0</v>
      </c>
      <c r="AC219" s="55">
        <f>IF(AQ219="1",BI219,0)</f>
        <v>0</v>
      </c>
      <c r="AD219" s="55">
        <f>IF(AQ219="7",BH219,0)</f>
        <v>0</v>
      </c>
      <c r="AE219" s="55">
        <f>IF(AQ219="7",BI219,0)</f>
        <v>0</v>
      </c>
      <c r="AF219" s="55">
        <f>IF(AQ219="2",BH219,0)</f>
        <v>0</v>
      </c>
      <c r="AG219" s="55">
        <f>IF(AQ219="2",BI219,0)</f>
        <v>0</v>
      </c>
      <c r="AH219" s="55">
        <f>IF(AQ219="0",BJ219,0)</f>
        <v>0</v>
      </c>
      <c r="AI219" s="34" t="s">
        <v>116</v>
      </c>
      <c r="AJ219" s="55">
        <f>IF(AN219=0,I219,0)</f>
        <v>0</v>
      </c>
      <c r="AK219" s="55">
        <f>IF(AN219=12,I219,0)</f>
        <v>0</v>
      </c>
      <c r="AL219" s="55">
        <f>IF(AN219=21,I219,0)</f>
        <v>0</v>
      </c>
      <c r="AN219" s="55">
        <v>21</v>
      </c>
      <c r="AO219" s="55">
        <f>H219*0.904418012</f>
        <v>0</v>
      </c>
      <c r="AP219" s="55">
        <f>H219*(1-0.904418012)</f>
        <v>0</v>
      </c>
      <c r="AQ219" s="58" t="s">
        <v>120</v>
      </c>
      <c r="AV219" s="55">
        <f>AW219+AX219</f>
        <v>0</v>
      </c>
      <c r="AW219" s="55">
        <f>G219*AO219</f>
        <v>0</v>
      </c>
      <c r="AX219" s="55">
        <f>G219*AP219</f>
        <v>0</v>
      </c>
      <c r="AY219" s="58" t="s">
        <v>442</v>
      </c>
      <c r="AZ219" s="58" t="s">
        <v>443</v>
      </c>
      <c r="BA219" s="34" t="s">
        <v>128</v>
      </c>
      <c r="BB219" s="67">
        <v>100133</v>
      </c>
      <c r="BC219" s="55">
        <f>AW219+AX219</f>
        <v>0</v>
      </c>
      <c r="BD219" s="55">
        <f>H219/(100-BE219)*100</f>
        <v>0</v>
      </c>
      <c r="BE219" s="55">
        <v>0</v>
      </c>
      <c r="BF219" s="55">
        <f>K219</f>
        <v>0</v>
      </c>
      <c r="BH219" s="55">
        <f>G219*AO219</f>
        <v>0</v>
      </c>
      <c r="BI219" s="55">
        <f>G219*AP219</f>
        <v>0</v>
      </c>
      <c r="BJ219" s="55">
        <f>G219*H219</f>
        <v>0</v>
      </c>
      <c r="BK219" s="55"/>
      <c r="BL219" s="55">
        <v>2222</v>
      </c>
      <c r="BW219" s="55">
        <v>21</v>
      </c>
    </row>
    <row r="220" spans="1:12" ht="13.5" customHeight="1">
      <c r="A220" s="59"/>
      <c r="D220" s="218" t="s">
        <v>129</v>
      </c>
      <c r="E220" s="219"/>
      <c r="F220" s="219"/>
      <c r="G220" s="219"/>
      <c r="H220" s="219"/>
      <c r="I220" s="219"/>
      <c r="J220" s="219"/>
      <c r="K220" s="219"/>
      <c r="L220" s="221"/>
    </row>
    <row r="221" spans="1:75" ht="27" customHeight="1">
      <c r="A221" s="1" t="s">
        <v>547</v>
      </c>
      <c r="B221" s="2" t="s">
        <v>116</v>
      </c>
      <c r="C221" s="2" t="s">
        <v>548</v>
      </c>
      <c r="D221" s="147" t="s">
        <v>549</v>
      </c>
      <c r="E221" s="148"/>
      <c r="F221" s="2" t="s">
        <v>123</v>
      </c>
      <c r="G221" s="55">
        <f>'Stavební rozpočet-vyplnit'!G221</f>
        <v>1</v>
      </c>
      <c r="H221" s="55">
        <f>'Stavební rozpočet-vyplnit'!H221</f>
        <v>0</v>
      </c>
      <c r="I221" s="55">
        <f>G221*H221</f>
        <v>0</v>
      </c>
      <c r="J221" s="55">
        <f>'Stavební rozpočet-vyplnit'!J221</f>
        <v>0</v>
      </c>
      <c r="K221" s="55">
        <f>G221*J221</f>
        <v>0</v>
      </c>
      <c r="L221" s="57" t="s">
        <v>124</v>
      </c>
      <c r="Z221" s="55">
        <f>IF(AQ221="5",BJ221,0)</f>
        <v>0</v>
      </c>
      <c r="AB221" s="55">
        <f>IF(AQ221="1",BH221,0)</f>
        <v>0</v>
      </c>
      <c r="AC221" s="55">
        <f>IF(AQ221="1",BI221,0)</f>
        <v>0</v>
      </c>
      <c r="AD221" s="55">
        <f>IF(AQ221="7",BH221,0)</f>
        <v>0</v>
      </c>
      <c r="AE221" s="55">
        <f>IF(AQ221="7",BI221,0)</f>
        <v>0</v>
      </c>
      <c r="AF221" s="55">
        <f>IF(AQ221="2",BH221,0)</f>
        <v>0</v>
      </c>
      <c r="AG221" s="55">
        <f>IF(AQ221="2",BI221,0)</f>
        <v>0</v>
      </c>
      <c r="AH221" s="55">
        <f>IF(AQ221="0",BJ221,0)</f>
        <v>0</v>
      </c>
      <c r="AI221" s="34" t="s">
        <v>116</v>
      </c>
      <c r="AJ221" s="55">
        <f>IF(AN221=0,I221,0)</f>
        <v>0</v>
      </c>
      <c r="AK221" s="55">
        <f>IF(AN221=12,I221,0)</f>
        <v>0</v>
      </c>
      <c r="AL221" s="55">
        <f>IF(AN221=21,I221,0)</f>
        <v>0</v>
      </c>
      <c r="AN221" s="55">
        <v>21</v>
      </c>
      <c r="AO221" s="55">
        <f>H221*0.89375</f>
        <v>0</v>
      </c>
      <c r="AP221" s="55">
        <f>H221*(1-0.89375)</f>
        <v>0</v>
      </c>
      <c r="AQ221" s="58" t="s">
        <v>120</v>
      </c>
      <c r="AV221" s="55">
        <f>AW221+AX221</f>
        <v>0</v>
      </c>
      <c r="AW221" s="55">
        <f>G221*AO221</f>
        <v>0</v>
      </c>
      <c r="AX221" s="55">
        <f>G221*AP221</f>
        <v>0</v>
      </c>
      <c r="AY221" s="58" t="s">
        <v>442</v>
      </c>
      <c r="AZ221" s="58" t="s">
        <v>443</v>
      </c>
      <c r="BA221" s="34" t="s">
        <v>128</v>
      </c>
      <c r="BB221" s="67">
        <v>100133</v>
      </c>
      <c r="BC221" s="55">
        <f>AW221+AX221</f>
        <v>0</v>
      </c>
      <c r="BD221" s="55">
        <f>H221/(100-BE221)*100</f>
        <v>0</v>
      </c>
      <c r="BE221" s="55">
        <v>0</v>
      </c>
      <c r="BF221" s="55">
        <f>K221</f>
        <v>0</v>
      </c>
      <c r="BH221" s="55">
        <f>G221*AO221</f>
        <v>0</v>
      </c>
      <c r="BI221" s="55">
        <f>G221*AP221</f>
        <v>0</v>
      </c>
      <c r="BJ221" s="55">
        <f>G221*H221</f>
        <v>0</v>
      </c>
      <c r="BK221" s="55"/>
      <c r="BL221" s="55">
        <v>2222</v>
      </c>
      <c r="BW221" s="55">
        <v>21</v>
      </c>
    </row>
    <row r="222" spans="1:12" ht="27" customHeight="1">
      <c r="A222" s="59"/>
      <c r="D222" s="218" t="s">
        <v>550</v>
      </c>
      <c r="E222" s="219"/>
      <c r="F222" s="219"/>
      <c r="G222" s="219"/>
      <c r="H222" s="219"/>
      <c r="I222" s="219"/>
      <c r="J222" s="219"/>
      <c r="K222" s="219"/>
      <c r="L222" s="221"/>
    </row>
    <row r="223" spans="1:75" ht="27" customHeight="1">
      <c r="A223" s="1" t="s">
        <v>551</v>
      </c>
      <c r="B223" s="2" t="s">
        <v>116</v>
      </c>
      <c r="C223" s="2" t="s">
        <v>552</v>
      </c>
      <c r="D223" s="147" t="s">
        <v>553</v>
      </c>
      <c r="E223" s="148"/>
      <c r="F223" s="2" t="s">
        <v>123</v>
      </c>
      <c r="G223" s="55">
        <f>'Stavební rozpočet-vyplnit'!G223</f>
        <v>1</v>
      </c>
      <c r="H223" s="55">
        <f>'Stavební rozpočet-vyplnit'!H223</f>
        <v>0</v>
      </c>
      <c r="I223" s="55">
        <f>G223*H223</f>
        <v>0</v>
      </c>
      <c r="J223" s="55">
        <f>'Stavební rozpočet-vyplnit'!J223</f>
        <v>0</v>
      </c>
      <c r="K223" s="55">
        <f>G223*J223</f>
        <v>0</v>
      </c>
      <c r="L223" s="57" t="s">
        <v>124</v>
      </c>
      <c r="Z223" s="55">
        <f>IF(AQ223="5",BJ223,0)</f>
        <v>0</v>
      </c>
      <c r="AB223" s="55">
        <f>IF(AQ223="1",BH223,0)</f>
        <v>0</v>
      </c>
      <c r="AC223" s="55">
        <f>IF(AQ223="1",BI223,0)</f>
        <v>0</v>
      </c>
      <c r="AD223" s="55">
        <f>IF(AQ223="7",BH223,0)</f>
        <v>0</v>
      </c>
      <c r="AE223" s="55">
        <f>IF(AQ223="7",BI223,0)</f>
        <v>0</v>
      </c>
      <c r="AF223" s="55">
        <f>IF(AQ223="2",BH223,0)</f>
        <v>0</v>
      </c>
      <c r="AG223" s="55">
        <f>IF(AQ223="2",BI223,0)</f>
        <v>0</v>
      </c>
      <c r="AH223" s="55">
        <f>IF(AQ223="0",BJ223,0)</f>
        <v>0</v>
      </c>
      <c r="AI223" s="34" t="s">
        <v>116</v>
      </c>
      <c r="AJ223" s="55">
        <f>IF(AN223=0,I223,0)</f>
        <v>0</v>
      </c>
      <c r="AK223" s="55">
        <f>IF(AN223=12,I223,0)</f>
        <v>0</v>
      </c>
      <c r="AL223" s="55">
        <f>IF(AN223=21,I223,0)</f>
        <v>0</v>
      </c>
      <c r="AN223" s="55">
        <v>21</v>
      </c>
      <c r="AO223" s="55">
        <f>H223*0.962569247</f>
        <v>0</v>
      </c>
      <c r="AP223" s="55">
        <f>H223*(1-0.962569247)</f>
        <v>0</v>
      </c>
      <c r="AQ223" s="58" t="s">
        <v>120</v>
      </c>
      <c r="AV223" s="55">
        <f>AW223+AX223</f>
        <v>0</v>
      </c>
      <c r="AW223" s="55">
        <f>G223*AO223</f>
        <v>0</v>
      </c>
      <c r="AX223" s="55">
        <f>G223*AP223</f>
        <v>0</v>
      </c>
      <c r="AY223" s="58" t="s">
        <v>442</v>
      </c>
      <c r="AZ223" s="58" t="s">
        <v>443</v>
      </c>
      <c r="BA223" s="34" t="s">
        <v>128</v>
      </c>
      <c r="BB223" s="67">
        <v>100133</v>
      </c>
      <c r="BC223" s="55">
        <f>AW223+AX223</f>
        <v>0</v>
      </c>
      <c r="BD223" s="55">
        <f>H223/(100-BE223)*100</f>
        <v>0</v>
      </c>
      <c r="BE223" s="55">
        <v>0</v>
      </c>
      <c r="BF223" s="55">
        <f>K223</f>
        <v>0</v>
      </c>
      <c r="BH223" s="55">
        <f>G223*AO223</f>
        <v>0</v>
      </c>
      <c r="BI223" s="55">
        <f>G223*AP223</f>
        <v>0</v>
      </c>
      <c r="BJ223" s="55">
        <f>G223*H223</f>
        <v>0</v>
      </c>
      <c r="BK223" s="55"/>
      <c r="BL223" s="55">
        <v>2222</v>
      </c>
      <c r="BW223" s="55">
        <v>21</v>
      </c>
    </row>
    <row r="224" spans="1:12" ht="13.5" customHeight="1">
      <c r="A224" s="59"/>
      <c r="D224" s="218" t="s">
        <v>129</v>
      </c>
      <c r="E224" s="219"/>
      <c r="F224" s="219"/>
      <c r="G224" s="219"/>
      <c r="H224" s="219"/>
      <c r="I224" s="219"/>
      <c r="J224" s="219"/>
      <c r="K224" s="219"/>
      <c r="L224" s="221"/>
    </row>
    <row r="225" spans="1:75" ht="13.5" customHeight="1">
      <c r="A225" s="1" t="s">
        <v>554</v>
      </c>
      <c r="B225" s="2" t="s">
        <v>116</v>
      </c>
      <c r="C225" s="2" t="s">
        <v>555</v>
      </c>
      <c r="D225" s="147" t="s">
        <v>556</v>
      </c>
      <c r="E225" s="148"/>
      <c r="F225" s="2" t="s">
        <v>123</v>
      </c>
      <c r="G225" s="55">
        <f>'Stavební rozpočet-vyplnit'!G225</f>
        <v>3</v>
      </c>
      <c r="H225" s="55">
        <f>'Stavební rozpočet-vyplnit'!H225</f>
        <v>0</v>
      </c>
      <c r="I225" s="55">
        <f>G225*H225</f>
        <v>0</v>
      </c>
      <c r="J225" s="55">
        <f>'Stavební rozpočet-vyplnit'!J225</f>
        <v>0</v>
      </c>
      <c r="K225" s="55">
        <f>G225*J225</f>
        <v>0</v>
      </c>
      <c r="L225" s="57" t="s">
        <v>124</v>
      </c>
      <c r="Z225" s="55">
        <f>IF(AQ225="5",BJ225,0)</f>
        <v>0</v>
      </c>
      <c r="AB225" s="55">
        <f>IF(AQ225="1",BH225,0)</f>
        <v>0</v>
      </c>
      <c r="AC225" s="55">
        <f>IF(AQ225="1",BI225,0)</f>
        <v>0</v>
      </c>
      <c r="AD225" s="55">
        <f>IF(AQ225="7",BH225,0)</f>
        <v>0</v>
      </c>
      <c r="AE225" s="55">
        <f>IF(AQ225="7",BI225,0)</f>
        <v>0</v>
      </c>
      <c r="AF225" s="55">
        <f>IF(AQ225="2",BH225,0)</f>
        <v>0</v>
      </c>
      <c r="AG225" s="55">
        <f>IF(AQ225="2",BI225,0)</f>
        <v>0</v>
      </c>
      <c r="AH225" s="55">
        <f>IF(AQ225="0",BJ225,0)</f>
        <v>0</v>
      </c>
      <c r="AI225" s="34" t="s">
        <v>116</v>
      </c>
      <c r="AJ225" s="55">
        <f>IF(AN225=0,I225,0)</f>
        <v>0</v>
      </c>
      <c r="AK225" s="55">
        <f>IF(AN225=12,I225,0)</f>
        <v>0</v>
      </c>
      <c r="AL225" s="55">
        <f>IF(AN225=21,I225,0)</f>
        <v>0</v>
      </c>
      <c r="AN225" s="55">
        <v>21</v>
      </c>
      <c r="AO225" s="55">
        <f>H225*0.851282051</f>
        <v>0</v>
      </c>
      <c r="AP225" s="55">
        <f>H225*(1-0.851282051)</f>
        <v>0</v>
      </c>
      <c r="AQ225" s="58" t="s">
        <v>120</v>
      </c>
      <c r="AV225" s="55">
        <f>AW225+AX225</f>
        <v>0</v>
      </c>
      <c r="AW225" s="55">
        <f>G225*AO225</f>
        <v>0</v>
      </c>
      <c r="AX225" s="55">
        <f>G225*AP225</f>
        <v>0</v>
      </c>
      <c r="AY225" s="58" t="s">
        <v>442</v>
      </c>
      <c r="AZ225" s="58" t="s">
        <v>443</v>
      </c>
      <c r="BA225" s="34" t="s">
        <v>128</v>
      </c>
      <c r="BB225" s="67">
        <v>100133</v>
      </c>
      <c r="BC225" s="55">
        <f>AW225+AX225</f>
        <v>0</v>
      </c>
      <c r="BD225" s="55">
        <f>H225/(100-BE225)*100</f>
        <v>0</v>
      </c>
      <c r="BE225" s="55">
        <v>0</v>
      </c>
      <c r="BF225" s="55">
        <f>K225</f>
        <v>0</v>
      </c>
      <c r="BH225" s="55">
        <f>G225*AO225</f>
        <v>0</v>
      </c>
      <c r="BI225" s="55">
        <f>G225*AP225</f>
        <v>0</v>
      </c>
      <c r="BJ225" s="55">
        <f>G225*H225</f>
        <v>0</v>
      </c>
      <c r="BK225" s="55"/>
      <c r="BL225" s="55">
        <v>2222</v>
      </c>
      <c r="BW225" s="55">
        <v>21</v>
      </c>
    </row>
    <row r="226" spans="1:12" ht="13.5" customHeight="1">
      <c r="A226" s="59"/>
      <c r="D226" s="218" t="s">
        <v>129</v>
      </c>
      <c r="E226" s="219"/>
      <c r="F226" s="219"/>
      <c r="G226" s="219"/>
      <c r="H226" s="219"/>
      <c r="I226" s="219"/>
      <c r="J226" s="219"/>
      <c r="K226" s="219"/>
      <c r="L226" s="221"/>
    </row>
    <row r="227" spans="1:75" ht="13.5" customHeight="1">
      <c r="A227" s="1" t="s">
        <v>557</v>
      </c>
      <c r="B227" s="2" t="s">
        <v>116</v>
      </c>
      <c r="C227" s="2" t="s">
        <v>558</v>
      </c>
      <c r="D227" s="147" t="s">
        <v>559</v>
      </c>
      <c r="E227" s="148"/>
      <c r="F227" s="2" t="s">
        <v>123</v>
      </c>
      <c r="G227" s="55">
        <f>'Stavební rozpočet-vyplnit'!G227</f>
        <v>1</v>
      </c>
      <c r="H227" s="55">
        <f>'Stavební rozpočet-vyplnit'!H227</f>
        <v>0</v>
      </c>
      <c r="I227" s="55">
        <f>G227*H227</f>
        <v>0</v>
      </c>
      <c r="J227" s="55">
        <f>'Stavební rozpočet-vyplnit'!J227</f>
        <v>0</v>
      </c>
      <c r="K227" s="55">
        <f>G227*J227</f>
        <v>0</v>
      </c>
      <c r="L227" s="57" t="s">
        <v>124</v>
      </c>
      <c r="Z227" s="55">
        <f>IF(AQ227="5",BJ227,0)</f>
        <v>0</v>
      </c>
      <c r="AB227" s="55">
        <f>IF(AQ227="1",BH227,0)</f>
        <v>0</v>
      </c>
      <c r="AC227" s="55">
        <f>IF(AQ227="1",BI227,0)</f>
        <v>0</v>
      </c>
      <c r="AD227" s="55">
        <f>IF(AQ227="7",BH227,0)</f>
        <v>0</v>
      </c>
      <c r="AE227" s="55">
        <f>IF(AQ227="7",BI227,0)</f>
        <v>0</v>
      </c>
      <c r="AF227" s="55">
        <f>IF(AQ227="2",BH227,0)</f>
        <v>0</v>
      </c>
      <c r="AG227" s="55">
        <f>IF(AQ227="2",BI227,0)</f>
        <v>0</v>
      </c>
      <c r="AH227" s="55">
        <f>IF(AQ227="0",BJ227,0)</f>
        <v>0</v>
      </c>
      <c r="AI227" s="34" t="s">
        <v>116</v>
      </c>
      <c r="AJ227" s="55">
        <f>IF(AN227=0,I227,0)</f>
        <v>0</v>
      </c>
      <c r="AK227" s="55">
        <f>IF(AN227=12,I227,0)</f>
        <v>0</v>
      </c>
      <c r="AL227" s="55">
        <f>IF(AN227=21,I227,0)</f>
        <v>0</v>
      </c>
      <c r="AN227" s="55">
        <v>21</v>
      </c>
      <c r="AO227" s="55">
        <f>H227*0.344863732</f>
        <v>0</v>
      </c>
      <c r="AP227" s="55">
        <f>H227*(1-0.344863732)</f>
        <v>0</v>
      </c>
      <c r="AQ227" s="58" t="s">
        <v>120</v>
      </c>
      <c r="AV227" s="55">
        <f>AW227+AX227</f>
        <v>0</v>
      </c>
      <c r="AW227" s="55">
        <f>G227*AO227</f>
        <v>0</v>
      </c>
      <c r="AX227" s="55">
        <f>G227*AP227</f>
        <v>0</v>
      </c>
      <c r="AY227" s="58" t="s">
        <v>442</v>
      </c>
      <c r="AZ227" s="58" t="s">
        <v>443</v>
      </c>
      <c r="BA227" s="34" t="s">
        <v>128</v>
      </c>
      <c r="BB227" s="67">
        <v>100133</v>
      </c>
      <c r="BC227" s="55">
        <f>AW227+AX227</f>
        <v>0</v>
      </c>
      <c r="BD227" s="55">
        <f>H227/(100-BE227)*100</f>
        <v>0</v>
      </c>
      <c r="BE227" s="55">
        <v>0</v>
      </c>
      <c r="BF227" s="55">
        <f>K227</f>
        <v>0</v>
      </c>
      <c r="BH227" s="55">
        <f>G227*AO227</f>
        <v>0</v>
      </c>
      <c r="BI227" s="55">
        <f>G227*AP227</f>
        <v>0</v>
      </c>
      <c r="BJ227" s="55">
        <f>G227*H227</f>
        <v>0</v>
      </c>
      <c r="BK227" s="55"/>
      <c r="BL227" s="55">
        <v>2222</v>
      </c>
      <c r="BW227" s="55">
        <v>21</v>
      </c>
    </row>
    <row r="228" spans="1:12" ht="13.5" customHeight="1">
      <c r="A228" s="59"/>
      <c r="D228" s="218" t="s">
        <v>560</v>
      </c>
      <c r="E228" s="219"/>
      <c r="F228" s="219"/>
      <c r="G228" s="219"/>
      <c r="H228" s="219"/>
      <c r="I228" s="219"/>
      <c r="J228" s="219"/>
      <c r="K228" s="219"/>
      <c r="L228" s="221"/>
    </row>
    <row r="229" spans="1:75" ht="13.5" customHeight="1">
      <c r="A229" s="1" t="s">
        <v>561</v>
      </c>
      <c r="B229" s="2" t="s">
        <v>116</v>
      </c>
      <c r="C229" s="2" t="s">
        <v>562</v>
      </c>
      <c r="D229" s="147" t="s">
        <v>563</v>
      </c>
      <c r="E229" s="148"/>
      <c r="F229" s="2" t="s">
        <v>174</v>
      </c>
      <c r="G229" s="55">
        <f>'Stavební rozpočet-vyplnit'!G229</f>
        <v>30</v>
      </c>
      <c r="H229" s="55">
        <f>'Stavební rozpočet-vyplnit'!H229</f>
        <v>0</v>
      </c>
      <c r="I229" s="55">
        <f>G229*H229</f>
        <v>0</v>
      </c>
      <c r="J229" s="55">
        <f>'Stavební rozpočet-vyplnit'!J229</f>
        <v>0</v>
      </c>
      <c r="K229" s="55">
        <f>G229*J229</f>
        <v>0</v>
      </c>
      <c r="L229" s="57" t="s">
        <v>124</v>
      </c>
      <c r="Z229" s="55">
        <f>IF(AQ229="5",BJ229,0)</f>
        <v>0</v>
      </c>
      <c r="AB229" s="55">
        <f>IF(AQ229="1",BH229,0)</f>
        <v>0</v>
      </c>
      <c r="AC229" s="55">
        <f>IF(AQ229="1",BI229,0)</f>
        <v>0</v>
      </c>
      <c r="AD229" s="55">
        <f>IF(AQ229="7",BH229,0)</f>
        <v>0</v>
      </c>
      <c r="AE229" s="55">
        <f>IF(AQ229="7",BI229,0)</f>
        <v>0</v>
      </c>
      <c r="AF229" s="55">
        <f>IF(AQ229="2",BH229,0)</f>
        <v>0</v>
      </c>
      <c r="AG229" s="55">
        <f>IF(AQ229="2",BI229,0)</f>
        <v>0</v>
      </c>
      <c r="AH229" s="55">
        <f>IF(AQ229="0",BJ229,0)</f>
        <v>0</v>
      </c>
      <c r="AI229" s="34" t="s">
        <v>116</v>
      </c>
      <c r="AJ229" s="55">
        <f>IF(AN229=0,I229,0)</f>
        <v>0</v>
      </c>
      <c r="AK229" s="55">
        <f>IF(AN229=12,I229,0)</f>
        <v>0</v>
      </c>
      <c r="AL229" s="55">
        <f>IF(AN229=21,I229,0)</f>
        <v>0</v>
      </c>
      <c r="AN229" s="55">
        <v>21</v>
      </c>
      <c r="AO229" s="55">
        <f>H229*0.543973941</f>
        <v>0</v>
      </c>
      <c r="AP229" s="55">
        <f>H229*(1-0.543973941)</f>
        <v>0</v>
      </c>
      <c r="AQ229" s="58" t="s">
        <v>120</v>
      </c>
      <c r="AV229" s="55">
        <f>AW229+AX229</f>
        <v>0</v>
      </c>
      <c r="AW229" s="55">
        <f>G229*AO229</f>
        <v>0</v>
      </c>
      <c r="AX229" s="55">
        <f>G229*AP229</f>
        <v>0</v>
      </c>
      <c r="AY229" s="58" t="s">
        <v>442</v>
      </c>
      <c r="AZ229" s="58" t="s">
        <v>443</v>
      </c>
      <c r="BA229" s="34" t="s">
        <v>128</v>
      </c>
      <c r="BB229" s="67">
        <v>100133</v>
      </c>
      <c r="BC229" s="55">
        <f>AW229+AX229</f>
        <v>0</v>
      </c>
      <c r="BD229" s="55">
        <f>H229/(100-BE229)*100</f>
        <v>0</v>
      </c>
      <c r="BE229" s="55">
        <v>0</v>
      </c>
      <c r="BF229" s="55">
        <f>K229</f>
        <v>0</v>
      </c>
      <c r="BH229" s="55">
        <f>G229*AO229</f>
        <v>0</v>
      </c>
      <c r="BI229" s="55">
        <f>G229*AP229</f>
        <v>0</v>
      </c>
      <c r="BJ229" s="55">
        <f>G229*H229</f>
        <v>0</v>
      </c>
      <c r="BK229" s="55"/>
      <c r="BL229" s="55">
        <v>2222</v>
      </c>
      <c r="BW229" s="55">
        <v>21</v>
      </c>
    </row>
    <row r="230" spans="1:12" ht="13.5" customHeight="1">
      <c r="A230" s="59"/>
      <c r="D230" s="218" t="s">
        <v>560</v>
      </c>
      <c r="E230" s="219"/>
      <c r="F230" s="219"/>
      <c r="G230" s="219"/>
      <c r="H230" s="219"/>
      <c r="I230" s="219"/>
      <c r="J230" s="219"/>
      <c r="K230" s="219"/>
      <c r="L230" s="221"/>
    </row>
    <row r="231" spans="1:75" ht="13.5" customHeight="1">
      <c r="A231" s="1" t="s">
        <v>564</v>
      </c>
      <c r="B231" s="2" t="s">
        <v>116</v>
      </c>
      <c r="C231" s="2" t="s">
        <v>565</v>
      </c>
      <c r="D231" s="147" t="s">
        <v>566</v>
      </c>
      <c r="E231" s="148"/>
      <c r="F231" s="2" t="s">
        <v>174</v>
      </c>
      <c r="G231" s="55">
        <f>'Stavební rozpočet-vyplnit'!G231</f>
        <v>30</v>
      </c>
      <c r="H231" s="55">
        <f>'Stavební rozpočet-vyplnit'!H231</f>
        <v>0</v>
      </c>
      <c r="I231" s="55">
        <f>G231*H231</f>
        <v>0</v>
      </c>
      <c r="J231" s="55">
        <f>'Stavební rozpočet-vyplnit'!J231</f>
        <v>0</v>
      </c>
      <c r="K231" s="55">
        <f>G231*J231</f>
        <v>0</v>
      </c>
      <c r="L231" s="57" t="s">
        <v>124</v>
      </c>
      <c r="Z231" s="55">
        <f>IF(AQ231="5",BJ231,0)</f>
        <v>0</v>
      </c>
      <c r="AB231" s="55">
        <f>IF(AQ231="1",BH231,0)</f>
        <v>0</v>
      </c>
      <c r="AC231" s="55">
        <f>IF(AQ231="1",BI231,0)</f>
        <v>0</v>
      </c>
      <c r="AD231" s="55">
        <f>IF(AQ231="7",BH231,0)</f>
        <v>0</v>
      </c>
      <c r="AE231" s="55">
        <f>IF(AQ231="7",BI231,0)</f>
        <v>0</v>
      </c>
      <c r="AF231" s="55">
        <f>IF(AQ231="2",BH231,0)</f>
        <v>0</v>
      </c>
      <c r="AG231" s="55">
        <f>IF(AQ231="2",BI231,0)</f>
        <v>0</v>
      </c>
      <c r="AH231" s="55">
        <f>IF(AQ231="0",BJ231,0)</f>
        <v>0</v>
      </c>
      <c r="AI231" s="34" t="s">
        <v>116</v>
      </c>
      <c r="AJ231" s="55">
        <f>IF(AN231=0,I231,0)</f>
        <v>0</v>
      </c>
      <c r="AK231" s="55">
        <f>IF(AN231=12,I231,0)</f>
        <v>0</v>
      </c>
      <c r="AL231" s="55">
        <f>IF(AN231=21,I231,0)</f>
        <v>0</v>
      </c>
      <c r="AN231" s="55">
        <v>21</v>
      </c>
      <c r="AO231" s="55">
        <f>H231*0.175824176</f>
        <v>0</v>
      </c>
      <c r="AP231" s="55">
        <f>H231*(1-0.175824176)</f>
        <v>0</v>
      </c>
      <c r="AQ231" s="58" t="s">
        <v>120</v>
      </c>
      <c r="AV231" s="55">
        <f>AW231+AX231</f>
        <v>0</v>
      </c>
      <c r="AW231" s="55">
        <f>G231*AO231</f>
        <v>0</v>
      </c>
      <c r="AX231" s="55">
        <f>G231*AP231</f>
        <v>0</v>
      </c>
      <c r="AY231" s="58" t="s">
        <v>442</v>
      </c>
      <c r="AZ231" s="58" t="s">
        <v>443</v>
      </c>
      <c r="BA231" s="34" t="s">
        <v>128</v>
      </c>
      <c r="BB231" s="67">
        <v>100133</v>
      </c>
      <c r="BC231" s="55">
        <f>AW231+AX231</f>
        <v>0</v>
      </c>
      <c r="BD231" s="55">
        <f>H231/(100-BE231)*100</f>
        <v>0</v>
      </c>
      <c r="BE231" s="55">
        <v>0</v>
      </c>
      <c r="BF231" s="55">
        <f>K231</f>
        <v>0</v>
      </c>
      <c r="BH231" s="55">
        <f>G231*AO231</f>
        <v>0</v>
      </c>
      <c r="BI231" s="55">
        <f>G231*AP231</f>
        <v>0</v>
      </c>
      <c r="BJ231" s="55">
        <f>G231*H231</f>
        <v>0</v>
      </c>
      <c r="BK231" s="55"/>
      <c r="BL231" s="55">
        <v>2222</v>
      </c>
      <c r="BW231" s="55">
        <v>21</v>
      </c>
    </row>
    <row r="232" spans="1:12" ht="13.5" customHeight="1">
      <c r="A232" s="59"/>
      <c r="D232" s="218" t="s">
        <v>560</v>
      </c>
      <c r="E232" s="219"/>
      <c r="F232" s="219"/>
      <c r="G232" s="219"/>
      <c r="H232" s="219"/>
      <c r="I232" s="219"/>
      <c r="J232" s="219"/>
      <c r="K232" s="219"/>
      <c r="L232" s="221"/>
    </row>
    <row r="233" spans="1:75" ht="13.5" customHeight="1">
      <c r="A233" s="1" t="s">
        <v>567</v>
      </c>
      <c r="B233" s="2" t="s">
        <v>116</v>
      </c>
      <c r="C233" s="2" t="s">
        <v>568</v>
      </c>
      <c r="D233" s="147" t="s">
        <v>569</v>
      </c>
      <c r="E233" s="148"/>
      <c r="F233" s="2" t="s">
        <v>174</v>
      </c>
      <c r="G233" s="55">
        <f>'Stavební rozpočet-vyplnit'!G233</f>
        <v>26</v>
      </c>
      <c r="H233" s="55">
        <f>'Stavební rozpočet-vyplnit'!H233</f>
        <v>0</v>
      </c>
      <c r="I233" s="55">
        <f>G233*H233</f>
        <v>0</v>
      </c>
      <c r="J233" s="55">
        <f>'Stavební rozpočet-vyplnit'!J233</f>
        <v>0</v>
      </c>
      <c r="K233" s="55">
        <f>G233*J233</f>
        <v>0</v>
      </c>
      <c r="L233" s="57" t="s">
        <v>124</v>
      </c>
      <c r="Z233" s="55">
        <f>IF(AQ233="5",BJ233,0)</f>
        <v>0</v>
      </c>
      <c r="AB233" s="55">
        <f>IF(AQ233="1",BH233,0)</f>
        <v>0</v>
      </c>
      <c r="AC233" s="55">
        <f>IF(AQ233="1",BI233,0)</f>
        <v>0</v>
      </c>
      <c r="AD233" s="55">
        <f>IF(AQ233="7",BH233,0)</f>
        <v>0</v>
      </c>
      <c r="AE233" s="55">
        <f>IF(AQ233="7",BI233,0)</f>
        <v>0</v>
      </c>
      <c r="AF233" s="55">
        <f>IF(AQ233="2",BH233,0)</f>
        <v>0</v>
      </c>
      <c r="AG233" s="55">
        <f>IF(AQ233="2",BI233,0)</f>
        <v>0</v>
      </c>
      <c r="AH233" s="55">
        <f>IF(AQ233="0",BJ233,0)</f>
        <v>0</v>
      </c>
      <c r="AI233" s="34" t="s">
        <v>116</v>
      </c>
      <c r="AJ233" s="55">
        <f>IF(AN233=0,I233,0)</f>
        <v>0</v>
      </c>
      <c r="AK233" s="55">
        <f>IF(AN233=12,I233,0)</f>
        <v>0</v>
      </c>
      <c r="AL233" s="55">
        <f>IF(AN233=21,I233,0)</f>
        <v>0</v>
      </c>
      <c r="AN233" s="55">
        <v>21</v>
      </c>
      <c r="AO233" s="55">
        <f>H233*0</f>
        <v>0</v>
      </c>
      <c r="AP233" s="55">
        <f>H233*(1-0)</f>
        <v>0</v>
      </c>
      <c r="AQ233" s="58" t="s">
        <v>120</v>
      </c>
      <c r="AV233" s="55">
        <f>AW233+AX233</f>
        <v>0</v>
      </c>
      <c r="AW233" s="55">
        <f>G233*AO233</f>
        <v>0</v>
      </c>
      <c r="AX233" s="55">
        <f>G233*AP233</f>
        <v>0</v>
      </c>
      <c r="AY233" s="58" t="s">
        <v>442</v>
      </c>
      <c r="AZ233" s="58" t="s">
        <v>443</v>
      </c>
      <c r="BA233" s="34" t="s">
        <v>128</v>
      </c>
      <c r="BB233" s="67">
        <v>100133</v>
      </c>
      <c r="BC233" s="55">
        <f>AW233+AX233</f>
        <v>0</v>
      </c>
      <c r="BD233" s="55">
        <f>H233/(100-BE233)*100</f>
        <v>0</v>
      </c>
      <c r="BE233" s="55">
        <v>0</v>
      </c>
      <c r="BF233" s="55">
        <f>K233</f>
        <v>0</v>
      </c>
      <c r="BH233" s="55">
        <f>G233*AO233</f>
        <v>0</v>
      </c>
      <c r="BI233" s="55">
        <f>G233*AP233</f>
        <v>0</v>
      </c>
      <c r="BJ233" s="55">
        <f>G233*H233</f>
        <v>0</v>
      </c>
      <c r="BK233" s="55"/>
      <c r="BL233" s="55">
        <v>2222</v>
      </c>
      <c r="BW233" s="55">
        <v>21</v>
      </c>
    </row>
    <row r="234" spans="1:12" ht="13.5" customHeight="1">
      <c r="A234" s="59"/>
      <c r="D234" s="218" t="s">
        <v>570</v>
      </c>
      <c r="E234" s="219"/>
      <c r="F234" s="219"/>
      <c r="G234" s="219"/>
      <c r="H234" s="219"/>
      <c r="I234" s="219"/>
      <c r="J234" s="219"/>
      <c r="K234" s="219"/>
      <c r="L234" s="221"/>
    </row>
    <row r="235" spans="1:75" ht="13.5" customHeight="1">
      <c r="A235" s="1" t="s">
        <v>571</v>
      </c>
      <c r="B235" s="2" t="s">
        <v>116</v>
      </c>
      <c r="C235" s="2" t="s">
        <v>572</v>
      </c>
      <c r="D235" s="147" t="s">
        <v>573</v>
      </c>
      <c r="E235" s="148"/>
      <c r="F235" s="2" t="s">
        <v>123</v>
      </c>
      <c r="G235" s="55">
        <f>'Stavební rozpočet-vyplnit'!G235</f>
        <v>1</v>
      </c>
      <c r="H235" s="55">
        <f>'Stavební rozpočet-vyplnit'!H235</f>
        <v>0</v>
      </c>
      <c r="I235" s="55">
        <f>G235*H235</f>
        <v>0</v>
      </c>
      <c r="J235" s="55">
        <f>'Stavební rozpočet-vyplnit'!J235</f>
        <v>0</v>
      </c>
      <c r="K235" s="55">
        <f>G235*J235</f>
        <v>0</v>
      </c>
      <c r="L235" s="57" t="s">
        <v>124</v>
      </c>
      <c r="Z235" s="55">
        <f>IF(AQ235="5",BJ235,0)</f>
        <v>0</v>
      </c>
      <c r="AB235" s="55">
        <f>IF(AQ235="1",BH235,0)</f>
        <v>0</v>
      </c>
      <c r="AC235" s="55">
        <f>IF(AQ235="1",BI235,0)</f>
        <v>0</v>
      </c>
      <c r="AD235" s="55">
        <f>IF(AQ235="7",BH235,0)</f>
        <v>0</v>
      </c>
      <c r="AE235" s="55">
        <f>IF(AQ235="7",BI235,0)</f>
        <v>0</v>
      </c>
      <c r="AF235" s="55">
        <f>IF(AQ235="2",BH235,0)</f>
        <v>0</v>
      </c>
      <c r="AG235" s="55">
        <f>IF(AQ235="2",BI235,0)</f>
        <v>0</v>
      </c>
      <c r="AH235" s="55">
        <f>IF(AQ235="0",BJ235,0)</f>
        <v>0</v>
      </c>
      <c r="AI235" s="34" t="s">
        <v>116</v>
      </c>
      <c r="AJ235" s="55">
        <f>IF(AN235=0,I235,0)</f>
        <v>0</v>
      </c>
      <c r="AK235" s="55">
        <f>IF(AN235=12,I235,0)</f>
        <v>0</v>
      </c>
      <c r="AL235" s="55">
        <f>IF(AN235=21,I235,0)</f>
        <v>0</v>
      </c>
      <c r="AN235" s="55">
        <v>21</v>
      </c>
      <c r="AO235" s="55">
        <f>H235*0</f>
        <v>0</v>
      </c>
      <c r="AP235" s="55">
        <f>H235*(1-0)</f>
        <v>0</v>
      </c>
      <c r="AQ235" s="58" t="s">
        <v>120</v>
      </c>
      <c r="AV235" s="55">
        <f>AW235+AX235</f>
        <v>0</v>
      </c>
      <c r="AW235" s="55">
        <f>G235*AO235</f>
        <v>0</v>
      </c>
      <c r="AX235" s="55">
        <f>G235*AP235</f>
        <v>0</v>
      </c>
      <c r="AY235" s="58" t="s">
        <v>442</v>
      </c>
      <c r="AZ235" s="58" t="s">
        <v>443</v>
      </c>
      <c r="BA235" s="34" t="s">
        <v>128</v>
      </c>
      <c r="BB235" s="67">
        <v>100133</v>
      </c>
      <c r="BC235" s="55">
        <f>AW235+AX235</f>
        <v>0</v>
      </c>
      <c r="BD235" s="55">
        <f>H235/(100-BE235)*100</f>
        <v>0</v>
      </c>
      <c r="BE235" s="55">
        <v>0</v>
      </c>
      <c r="BF235" s="55">
        <f>K235</f>
        <v>0</v>
      </c>
      <c r="BH235" s="55">
        <f>G235*AO235</f>
        <v>0</v>
      </c>
      <c r="BI235" s="55">
        <f>G235*AP235</f>
        <v>0</v>
      </c>
      <c r="BJ235" s="55">
        <f>G235*H235</f>
        <v>0</v>
      </c>
      <c r="BK235" s="55"/>
      <c r="BL235" s="55">
        <v>2222</v>
      </c>
      <c r="BW235" s="55">
        <v>21</v>
      </c>
    </row>
    <row r="236" spans="1:12" ht="13.5" customHeight="1">
      <c r="A236" s="59"/>
      <c r="D236" s="218" t="s">
        <v>570</v>
      </c>
      <c r="E236" s="219"/>
      <c r="F236" s="219"/>
      <c r="G236" s="219"/>
      <c r="H236" s="219"/>
      <c r="I236" s="219"/>
      <c r="J236" s="219"/>
      <c r="K236" s="219"/>
      <c r="L236" s="221"/>
    </row>
    <row r="237" spans="1:75" ht="27" customHeight="1">
      <c r="A237" s="1" t="s">
        <v>574</v>
      </c>
      <c r="B237" s="2" t="s">
        <v>116</v>
      </c>
      <c r="C237" s="2" t="s">
        <v>575</v>
      </c>
      <c r="D237" s="147" t="s">
        <v>576</v>
      </c>
      <c r="E237" s="148"/>
      <c r="F237" s="2" t="s">
        <v>123</v>
      </c>
      <c r="G237" s="55">
        <f>'Stavební rozpočet-vyplnit'!G237</f>
        <v>1</v>
      </c>
      <c r="H237" s="55">
        <f>'Stavební rozpočet-vyplnit'!H237</f>
        <v>0</v>
      </c>
      <c r="I237" s="55">
        <f>G237*H237</f>
        <v>0</v>
      </c>
      <c r="J237" s="55">
        <f>'Stavební rozpočet-vyplnit'!J237</f>
        <v>0</v>
      </c>
      <c r="K237" s="55">
        <f>G237*J237</f>
        <v>0</v>
      </c>
      <c r="L237" s="57" t="s">
        <v>577</v>
      </c>
      <c r="Z237" s="55">
        <f>IF(AQ237="5",BJ237,0)</f>
        <v>0</v>
      </c>
      <c r="AB237" s="55">
        <f>IF(AQ237="1",BH237,0)</f>
        <v>0</v>
      </c>
      <c r="AC237" s="55">
        <f>IF(AQ237="1",BI237,0)</f>
        <v>0</v>
      </c>
      <c r="AD237" s="55">
        <f>IF(AQ237="7",BH237,0)</f>
        <v>0</v>
      </c>
      <c r="AE237" s="55">
        <f>IF(AQ237="7",BI237,0)</f>
        <v>0</v>
      </c>
      <c r="AF237" s="55">
        <f>IF(AQ237="2",BH237,0)</f>
        <v>0</v>
      </c>
      <c r="AG237" s="55">
        <f>IF(AQ237="2",BI237,0)</f>
        <v>0</v>
      </c>
      <c r="AH237" s="55">
        <f>IF(AQ237="0",BJ237,0)</f>
        <v>0</v>
      </c>
      <c r="AI237" s="34" t="s">
        <v>116</v>
      </c>
      <c r="AJ237" s="55">
        <f>IF(AN237=0,I237,0)</f>
        <v>0</v>
      </c>
      <c r="AK237" s="55">
        <f>IF(AN237=12,I237,0)</f>
        <v>0</v>
      </c>
      <c r="AL237" s="55">
        <f>IF(AN237=21,I237,0)</f>
        <v>0</v>
      </c>
      <c r="AN237" s="55">
        <v>21</v>
      </c>
      <c r="AO237" s="55">
        <f>H237*0.927532031</f>
        <v>0</v>
      </c>
      <c r="AP237" s="55">
        <f>H237*(1-0.927532031)</f>
        <v>0</v>
      </c>
      <c r="AQ237" s="58" t="s">
        <v>120</v>
      </c>
      <c r="AV237" s="55">
        <f>AW237+AX237</f>
        <v>0</v>
      </c>
      <c r="AW237" s="55">
        <f>G237*AO237</f>
        <v>0</v>
      </c>
      <c r="AX237" s="55">
        <f>G237*AP237</f>
        <v>0</v>
      </c>
      <c r="AY237" s="58" t="s">
        <v>442</v>
      </c>
      <c r="AZ237" s="58" t="s">
        <v>443</v>
      </c>
      <c r="BA237" s="34" t="s">
        <v>128</v>
      </c>
      <c r="BB237" s="67">
        <v>100133</v>
      </c>
      <c r="BC237" s="55">
        <f>AW237+AX237</f>
        <v>0</v>
      </c>
      <c r="BD237" s="55">
        <f>H237/(100-BE237)*100</f>
        <v>0</v>
      </c>
      <c r="BE237" s="55">
        <v>0</v>
      </c>
      <c r="BF237" s="55">
        <f>K237</f>
        <v>0</v>
      </c>
      <c r="BH237" s="55">
        <f>G237*AO237</f>
        <v>0</v>
      </c>
      <c r="BI237" s="55">
        <f>G237*AP237</f>
        <v>0</v>
      </c>
      <c r="BJ237" s="55">
        <f>G237*H237</f>
        <v>0</v>
      </c>
      <c r="BK237" s="55"/>
      <c r="BL237" s="55">
        <v>2222</v>
      </c>
      <c r="BW237" s="55">
        <v>21</v>
      </c>
    </row>
    <row r="238" spans="1:12" ht="13.5" customHeight="1">
      <c r="A238" s="59"/>
      <c r="D238" s="218" t="s">
        <v>560</v>
      </c>
      <c r="E238" s="219"/>
      <c r="F238" s="219"/>
      <c r="G238" s="219"/>
      <c r="H238" s="219"/>
      <c r="I238" s="219"/>
      <c r="J238" s="219"/>
      <c r="K238" s="219"/>
      <c r="L238" s="221"/>
    </row>
    <row r="239" spans="1:75" ht="13.5" customHeight="1">
      <c r="A239" s="1" t="s">
        <v>578</v>
      </c>
      <c r="B239" s="2" t="s">
        <v>116</v>
      </c>
      <c r="C239" s="2" t="s">
        <v>579</v>
      </c>
      <c r="D239" s="147" t="s">
        <v>580</v>
      </c>
      <c r="E239" s="148"/>
      <c r="F239" s="2" t="s">
        <v>174</v>
      </c>
      <c r="G239" s="55">
        <f>'Stavební rozpočet-vyplnit'!G239</f>
        <v>300</v>
      </c>
      <c r="H239" s="55">
        <f>'Stavební rozpočet-vyplnit'!H239</f>
        <v>0</v>
      </c>
      <c r="I239" s="55">
        <f>G239*H239</f>
        <v>0</v>
      </c>
      <c r="J239" s="55">
        <f>'Stavební rozpočet-vyplnit'!J239</f>
        <v>0</v>
      </c>
      <c r="K239" s="55">
        <f>G239*J239</f>
        <v>0</v>
      </c>
      <c r="L239" s="57" t="s">
        <v>124</v>
      </c>
      <c r="Z239" s="55">
        <f>IF(AQ239="5",BJ239,0)</f>
        <v>0</v>
      </c>
      <c r="AB239" s="55">
        <f>IF(AQ239="1",BH239,0)</f>
        <v>0</v>
      </c>
      <c r="AC239" s="55">
        <f>IF(AQ239="1",BI239,0)</f>
        <v>0</v>
      </c>
      <c r="AD239" s="55">
        <f>IF(AQ239="7",BH239,0)</f>
        <v>0</v>
      </c>
      <c r="AE239" s="55">
        <f>IF(AQ239="7",BI239,0)</f>
        <v>0</v>
      </c>
      <c r="AF239" s="55">
        <f>IF(AQ239="2",BH239,0)</f>
        <v>0</v>
      </c>
      <c r="AG239" s="55">
        <f>IF(AQ239="2",BI239,0)</f>
        <v>0</v>
      </c>
      <c r="AH239" s="55">
        <f>IF(AQ239="0",BJ239,0)</f>
        <v>0</v>
      </c>
      <c r="AI239" s="34" t="s">
        <v>116</v>
      </c>
      <c r="AJ239" s="55">
        <f>IF(AN239=0,I239,0)</f>
        <v>0</v>
      </c>
      <c r="AK239" s="55">
        <f>IF(AN239=12,I239,0)</f>
        <v>0</v>
      </c>
      <c r="AL239" s="55">
        <f>IF(AN239=21,I239,0)</f>
        <v>0</v>
      </c>
      <c r="AN239" s="55">
        <v>21</v>
      </c>
      <c r="AO239" s="55">
        <f>H239*0.317073171</f>
        <v>0</v>
      </c>
      <c r="AP239" s="55">
        <f>H239*(1-0.317073171)</f>
        <v>0</v>
      </c>
      <c r="AQ239" s="58" t="s">
        <v>120</v>
      </c>
      <c r="AV239" s="55">
        <f>AW239+AX239</f>
        <v>0</v>
      </c>
      <c r="AW239" s="55">
        <f>G239*AO239</f>
        <v>0</v>
      </c>
      <c r="AX239" s="55">
        <f>G239*AP239</f>
        <v>0</v>
      </c>
      <c r="AY239" s="58" t="s">
        <v>442</v>
      </c>
      <c r="AZ239" s="58" t="s">
        <v>443</v>
      </c>
      <c r="BA239" s="34" t="s">
        <v>128</v>
      </c>
      <c r="BB239" s="67">
        <v>100133</v>
      </c>
      <c r="BC239" s="55">
        <f>AW239+AX239</f>
        <v>0</v>
      </c>
      <c r="BD239" s="55">
        <f>H239/(100-BE239)*100</f>
        <v>0</v>
      </c>
      <c r="BE239" s="55">
        <v>0</v>
      </c>
      <c r="BF239" s="55">
        <f>K239</f>
        <v>0</v>
      </c>
      <c r="BH239" s="55">
        <f>G239*AO239</f>
        <v>0</v>
      </c>
      <c r="BI239" s="55">
        <f>G239*AP239</f>
        <v>0</v>
      </c>
      <c r="BJ239" s="55">
        <f>G239*H239</f>
        <v>0</v>
      </c>
      <c r="BK239" s="55"/>
      <c r="BL239" s="55">
        <v>2222</v>
      </c>
      <c r="BW239" s="55">
        <v>21</v>
      </c>
    </row>
    <row r="240" spans="1:12" ht="13.5" customHeight="1">
      <c r="A240" s="59"/>
      <c r="D240" s="218" t="s">
        <v>129</v>
      </c>
      <c r="E240" s="219"/>
      <c r="F240" s="219"/>
      <c r="G240" s="219"/>
      <c r="H240" s="219"/>
      <c r="I240" s="219"/>
      <c r="J240" s="219"/>
      <c r="K240" s="219"/>
      <c r="L240" s="221"/>
    </row>
    <row r="241" spans="1:75" ht="13.5" customHeight="1">
      <c r="A241" s="1" t="s">
        <v>581</v>
      </c>
      <c r="B241" s="2" t="s">
        <v>116</v>
      </c>
      <c r="C241" s="2" t="s">
        <v>582</v>
      </c>
      <c r="D241" s="147" t="s">
        <v>583</v>
      </c>
      <c r="E241" s="148"/>
      <c r="F241" s="2" t="s">
        <v>174</v>
      </c>
      <c r="G241" s="55">
        <f>'Stavební rozpočet-vyplnit'!G241</f>
        <v>50</v>
      </c>
      <c r="H241" s="55">
        <f>'Stavební rozpočet-vyplnit'!H241</f>
        <v>0</v>
      </c>
      <c r="I241" s="55">
        <f>G241*H241</f>
        <v>0</v>
      </c>
      <c r="J241" s="55">
        <f>'Stavební rozpočet-vyplnit'!J241</f>
        <v>0</v>
      </c>
      <c r="K241" s="55">
        <f>G241*J241</f>
        <v>0</v>
      </c>
      <c r="L241" s="57" t="s">
        <v>124</v>
      </c>
      <c r="Z241" s="55">
        <f>IF(AQ241="5",BJ241,0)</f>
        <v>0</v>
      </c>
      <c r="AB241" s="55">
        <f>IF(AQ241="1",BH241,0)</f>
        <v>0</v>
      </c>
      <c r="AC241" s="55">
        <f>IF(AQ241="1",BI241,0)</f>
        <v>0</v>
      </c>
      <c r="AD241" s="55">
        <f>IF(AQ241="7",BH241,0)</f>
        <v>0</v>
      </c>
      <c r="AE241" s="55">
        <f>IF(AQ241="7",BI241,0)</f>
        <v>0</v>
      </c>
      <c r="AF241" s="55">
        <f>IF(AQ241="2",BH241,0)</f>
        <v>0</v>
      </c>
      <c r="AG241" s="55">
        <f>IF(AQ241="2",BI241,0)</f>
        <v>0</v>
      </c>
      <c r="AH241" s="55">
        <f>IF(AQ241="0",BJ241,0)</f>
        <v>0</v>
      </c>
      <c r="AI241" s="34" t="s">
        <v>116</v>
      </c>
      <c r="AJ241" s="55">
        <f>IF(AN241=0,I241,0)</f>
        <v>0</v>
      </c>
      <c r="AK241" s="55">
        <f>IF(AN241=12,I241,0)</f>
        <v>0</v>
      </c>
      <c r="AL241" s="55">
        <f>IF(AN241=21,I241,0)</f>
        <v>0</v>
      </c>
      <c r="AN241" s="55">
        <v>21</v>
      </c>
      <c r="AO241" s="55">
        <f>H241*0.488372093</f>
        <v>0</v>
      </c>
      <c r="AP241" s="55">
        <f>H241*(1-0.488372093)</f>
        <v>0</v>
      </c>
      <c r="AQ241" s="58" t="s">
        <v>120</v>
      </c>
      <c r="AV241" s="55">
        <f>AW241+AX241</f>
        <v>0</v>
      </c>
      <c r="AW241" s="55">
        <f>G241*AO241</f>
        <v>0</v>
      </c>
      <c r="AX241" s="55">
        <f>G241*AP241</f>
        <v>0</v>
      </c>
      <c r="AY241" s="58" t="s">
        <v>442</v>
      </c>
      <c r="AZ241" s="58" t="s">
        <v>443</v>
      </c>
      <c r="BA241" s="34" t="s">
        <v>128</v>
      </c>
      <c r="BB241" s="67">
        <v>100133</v>
      </c>
      <c r="BC241" s="55">
        <f>AW241+AX241</f>
        <v>0</v>
      </c>
      <c r="BD241" s="55">
        <f>H241/(100-BE241)*100</f>
        <v>0</v>
      </c>
      <c r="BE241" s="55">
        <v>0</v>
      </c>
      <c r="BF241" s="55">
        <f>K241</f>
        <v>0</v>
      </c>
      <c r="BH241" s="55">
        <f>G241*AO241</f>
        <v>0</v>
      </c>
      <c r="BI241" s="55">
        <f>G241*AP241</f>
        <v>0</v>
      </c>
      <c r="BJ241" s="55">
        <f>G241*H241</f>
        <v>0</v>
      </c>
      <c r="BK241" s="55"/>
      <c r="BL241" s="55">
        <v>2222</v>
      </c>
      <c r="BW241" s="55">
        <v>21</v>
      </c>
    </row>
    <row r="242" spans="1:12" ht="13.5" customHeight="1">
      <c r="A242" s="59"/>
      <c r="D242" s="218" t="s">
        <v>129</v>
      </c>
      <c r="E242" s="219"/>
      <c r="F242" s="219"/>
      <c r="G242" s="219"/>
      <c r="H242" s="219"/>
      <c r="I242" s="219"/>
      <c r="J242" s="219"/>
      <c r="K242" s="219"/>
      <c r="L242" s="221"/>
    </row>
    <row r="243" spans="1:75" ht="13.5" customHeight="1">
      <c r="A243" s="1" t="s">
        <v>584</v>
      </c>
      <c r="B243" s="2" t="s">
        <v>116</v>
      </c>
      <c r="C243" s="2" t="s">
        <v>585</v>
      </c>
      <c r="D243" s="147" t="s">
        <v>586</v>
      </c>
      <c r="E243" s="148"/>
      <c r="F243" s="2" t="s">
        <v>174</v>
      </c>
      <c r="G243" s="55">
        <f>'Stavební rozpočet-vyplnit'!G243</f>
        <v>50</v>
      </c>
      <c r="H243" s="55">
        <f>'Stavební rozpočet-vyplnit'!H243</f>
        <v>0</v>
      </c>
      <c r="I243" s="55">
        <f>G243*H243</f>
        <v>0</v>
      </c>
      <c r="J243" s="55">
        <f>'Stavební rozpočet-vyplnit'!J243</f>
        <v>0</v>
      </c>
      <c r="K243" s="55">
        <f>G243*J243</f>
        <v>0</v>
      </c>
      <c r="L243" s="57" t="s">
        <v>124</v>
      </c>
      <c r="Z243" s="55">
        <f>IF(AQ243="5",BJ243,0)</f>
        <v>0</v>
      </c>
      <c r="AB243" s="55">
        <f>IF(AQ243="1",BH243,0)</f>
        <v>0</v>
      </c>
      <c r="AC243" s="55">
        <f>IF(AQ243="1",BI243,0)</f>
        <v>0</v>
      </c>
      <c r="AD243" s="55">
        <f>IF(AQ243="7",BH243,0)</f>
        <v>0</v>
      </c>
      <c r="AE243" s="55">
        <f>IF(AQ243="7",BI243,0)</f>
        <v>0</v>
      </c>
      <c r="AF243" s="55">
        <f>IF(AQ243="2",BH243,0)</f>
        <v>0</v>
      </c>
      <c r="AG243" s="55">
        <f>IF(AQ243="2",BI243,0)</f>
        <v>0</v>
      </c>
      <c r="AH243" s="55">
        <f>IF(AQ243="0",BJ243,0)</f>
        <v>0</v>
      </c>
      <c r="AI243" s="34" t="s">
        <v>116</v>
      </c>
      <c r="AJ243" s="55">
        <f>IF(AN243=0,I243,0)</f>
        <v>0</v>
      </c>
      <c r="AK243" s="55">
        <f>IF(AN243=12,I243,0)</f>
        <v>0</v>
      </c>
      <c r="AL243" s="55">
        <f>IF(AN243=21,I243,0)</f>
        <v>0</v>
      </c>
      <c r="AN243" s="55">
        <v>21</v>
      </c>
      <c r="AO243" s="55">
        <f>H243*0.5</f>
        <v>0</v>
      </c>
      <c r="AP243" s="55">
        <f>H243*(1-0.5)</f>
        <v>0</v>
      </c>
      <c r="AQ243" s="58" t="s">
        <v>120</v>
      </c>
      <c r="AV243" s="55">
        <f>AW243+AX243</f>
        <v>0</v>
      </c>
      <c r="AW243" s="55">
        <f>G243*AO243</f>
        <v>0</v>
      </c>
      <c r="AX243" s="55">
        <f>G243*AP243</f>
        <v>0</v>
      </c>
      <c r="AY243" s="58" t="s">
        <v>442</v>
      </c>
      <c r="AZ243" s="58" t="s">
        <v>443</v>
      </c>
      <c r="BA243" s="34" t="s">
        <v>128</v>
      </c>
      <c r="BB243" s="67">
        <v>100133</v>
      </c>
      <c r="BC243" s="55">
        <f>AW243+AX243</f>
        <v>0</v>
      </c>
      <c r="BD243" s="55">
        <f>H243/(100-BE243)*100</f>
        <v>0</v>
      </c>
      <c r="BE243" s="55">
        <v>0</v>
      </c>
      <c r="BF243" s="55">
        <f>K243</f>
        <v>0</v>
      </c>
      <c r="BH243" s="55">
        <f>G243*AO243</f>
        <v>0</v>
      </c>
      <c r="BI243" s="55">
        <f>G243*AP243</f>
        <v>0</v>
      </c>
      <c r="BJ243" s="55">
        <f>G243*H243</f>
        <v>0</v>
      </c>
      <c r="BK243" s="55"/>
      <c r="BL243" s="55">
        <v>2222</v>
      </c>
      <c r="BW243" s="55">
        <v>21</v>
      </c>
    </row>
    <row r="244" spans="1:12" ht="13.5" customHeight="1">
      <c r="A244" s="59"/>
      <c r="D244" s="218" t="s">
        <v>129</v>
      </c>
      <c r="E244" s="219"/>
      <c r="F244" s="219"/>
      <c r="G244" s="219"/>
      <c r="H244" s="219"/>
      <c r="I244" s="219"/>
      <c r="J244" s="219"/>
      <c r="K244" s="219"/>
      <c r="L244" s="221"/>
    </row>
    <row r="245" spans="1:75" ht="13.5" customHeight="1">
      <c r="A245" s="1" t="s">
        <v>587</v>
      </c>
      <c r="B245" s="2" t="s">
        <v>116</v>
      </c>
      <c r="C245" s="2" t="s">
        <v>588</v>
      </c>
      <c r="D245" s="147" t="s">
        <v>589</v>
      </c>
      <c r="E245" s="148"/>
      <c r="F245" s="2" t="s">
        <v>360</v>
      </c>
      <c r="G245" s="55">
        <f>'Stavební rozpočet-vyplnit'!G245</f>
        <v>8</v>
      </c>
      <c r="H245" s="55">
        <f>'Stavební rozpočet-vyplnit'!H245</f>
        <v>0</v>
      </c>
      <c r="I245" s="55">
        <f>G245*H245</f>
        <v>0</v>
      </c>
      <c r="J245" s="55">
        <f>'Stavební rozpočet-vyplnit'!J245</f>
        <v>0</v>
      </c>
      <c r="K245" s="55">
        <f>G245*J245</f>
        <v>0</v>
      </c>
      <c r="L245" s="57" t="s">
        <v>124</v>
      </c>
      <c r="Z245" s="55">
        <f>IF(AQ245="5",BJ245,0)</f>
        <v>0</v>
      </c>
      <c r="AB245" s="55">
        <f>IF(AQ245="1",BH245,0)</f>
        <v>0</v>
      </c>
      <c r="AC245" s="55">
        <f>IF(AQ245="1",BI245,0)</f>
        <v>0</v>
      </c>
      <c r="AD245" s="55">
        <f>IF(AQ245="7",BH245,0)</f>
        <v>0</v>
      </c>
      <c r="AE245" s="55">
        <f>IF(AQ245="7",BI245,0)</f>
        <v>0</v>
      </c>
      <c r="AF245" s="55">
        <f>IF(AQ245="2",BH245,0)</f>
        <v>0</v>
      </c>
      <c r="AG245" s="55">
        <f>IF(AQ245="2",BI245,0)</f>
        <v>0</v>
      </c>
      <c r="AH245" s="55">
        <f>IF(AQ245="0",BJ245,0)</f>
        <v>0</v>
      </c>
      <c r="AI245" s="34" t="s">
        <v>116</v>
      </c>
      <c r="AJ245" s="55">
        <f>IF(AN245=0,I245,0)</f>
        <v>0</v>
      </c>
      <c r="AK245" s="55">
        <f>IF(AN245=12,I245,0)</f>
        <v>0</v>
      </c>
      <c r="AL245" s="55">
        <f>IF(AN245=21,I245,0)</f>
        <v>0</v>
      </c>
      <c r="AN245" s="55">
        <v>21</v>
      </c>
      <c r="AO245" s="55">
        <f>H245*0</f>
        <v>0</v>
      </c>
      <c r="AP245" s="55">
        <f>H245*(1-0)</f>
        <v>0</v>
      </c>
      <c r="AQ245" s="58" t="s">
        <v>120</v>
      </c>
      <c r="AV245" s="55">
        <f>AW245+AX245</f>
        <v>0</v>
      </c>
      <c r="AW245" s="55">
        <f>G245*AO245</f>
        <v>0</v>
      </c>
      <c r="AX245" s="55">
        <f>G245*AP245</f>
        <v>0</v>
      </c>
      <c r="AY245" s="58" t="s">
        <v>442</v>
      </c>
      <c r="AZ245" s="58" t="s">
        <v>443</v>
      </c>
      <c r="BA245" s="34" t="s">
        <v>128</v>
      </c>
      <c r="BB245" s="67">
        <v>100133</v>
      </c>
      <c r="BC245" s="55">
        <f>AW245+AX245</f>
        <v>0</v>
      </c>
      <c r="BD245" s="55">
        <f>H245/(100-BE245)*100</f>
        <v>0</v>
      </c>
      <c r="BE245" s="55">
        <v>0</v>
      </c>
      <c r="BF245" s="55">
        <f>K245</f>
        <v>0</v>
      </c>
      <c r="BH245" s="55">
        <f>G245*AO245</f>
        <v>0</v>
      </c>
      <c r="BI245" s="55">
        <f>G245*AP245</f>
        <v>0</v>
      </c>
      <c r="BJ245" s="55">
        <f>G245*H245</f>
        <v>0</v>
      </c>
      <c r="BK245" s="55"/>
      <c r="BL245" s="55">
        <v>2222</v>
      </c>
      <c r="BW245" s="55">
        <v>21</v>
      </c>
    </row>
    <row r="246" spans="1:75" ht="13.5" customHeight="1">
      <c r="A246" s="1" t="s">
        <v>590</v>
      </c>
      <c r="B246" s="2" t="s">
        <v>116</v>
      </c>
      <c r="C246" s="2" t="s">
        <v>591</v>
      </c>
      <c r="D246" s="147" t="s">
        <v>592</v>
      </c>
      <c r="E246" s="148"/>
      <c r="F246" s="2" t="s">
        <v>360</v>
      </c>
      <c r="G246" s="55">
        <f>'Stavební rozpočet-vyplnit'!G246</f>
        <v>12</v>
      </c>
      <c r="H246" s="55">
        <f>'Stavební rozpočet-vyplnit'!H246</f>
        <v>0</v>
      </c>
      <c r="I246" s="55">
        <f>G246*H246</f>
        <v>0</v>
      </c>
      <c r="J246" s="55">
        <f>'Stavební rozpočet-vyplnit'!J246</f>
        <v>0</v>
      </c>
      <c r="K246" s="55">
        <f>G246*J246</f>
        <v>0</v>
      </c>
      <c r="L246" s="57" t="s">
        <v>124</v>
      </c>
      <c r="Z246" s="55">
        <f>IF(AQ246="5",BJ246,0)</f>
        <v>0</v>
      </c>
      <c r="AB246" s="55">
        <f>IF(AQ246="1",BH246,0)</f>
        <v>0</v>
      </c>
      <c r="AC246" s="55">
        <f>IF(AQ246="1",BI246,0)</f>
        <v>0</v>
      </c>
      <c r="AD246" s="55">
        <f>IF(AQ246="7",BH246,0)</f>
        <v>0</v>
      </c>
      <c r="AE246" s="55">
        <f>IF(AQ246="7",BI246,0)</f>
        <v>0</v>
      </c>
      <c r="AF246" s="55">
        <f>IF(AQ246="2",BH246,0)</f>
        <v>0</v>
      </c>
      <c r="AG246" s="55">
        <f>IF(AQ246="2",BI246,0)</f>
        <v>0</v>
      </c>
      <c r="AH246" s="55">
        <f>IF(AQ246="0",BJ246,0)</f>
        <v>0</v>
      </c>
      <c r="AI246" s="34" t="s">
        <v>116</v>
      </c>
      <c r="AJ246" s="55">
        <f>IF(AN246=0,I246,0)</f>
        <v>0</v>
      </c>
      <c r="AK246" s="55">
        <f>IF(AN246=12,I246,0)</f>
        <v>0</v>
      </c>
      <c r="AL246" s="55">
        <f>IF(AN246=21,I246,0)</f>
        <v>0</v>
      </c>
      <c r="AN246" s="55">
        <v>21</v>
      </c>
      <c r="AO246" s="55">
        <f>H246*0</f>
        <v>0</v>
      </c>
      <c r="AP246" s="55">
        <f>H246*(1-0)</f>
        <v>0</v>
      </c>
      <c r="AQ246" s="58" t="s">
        <v>120</v>
      </c>
      <c r="AV246" s="55">
        <f>AW246+AX246</f>
        <v>0</v>
      </c>
      <c r="AW246" s="55">
        <f>G246*AO246</f>
        <v>0</v>
      </c>
      <c r="AX246" s="55">
        <f>G246*AP246</f>
        <v>0</v>
      </c>
      <c r="AY246" s="58" t="s">
        <v>442</v>
      </c>
      <c r="AZ246" s="58" t="s">
        <v>443</v>
      </c>
      <c r="BA246" s="34" t="s">
        <v>128</v>
      </c>
      <c r="BB246" s="67">
        <v>100133</v>
      </c>
      <c r="BC246" s="55">
        <f>AW246+AX246</f>
        <v>0</v>
      </c>
      <c r="BD246" s="55">
        <f>H246/(100-BE246)*100</f>
        <v>0</v>
      </c>
      <c r="BE246" s="55">
        <v>0</v>
      </c>
      <c r="BF246" s="55">
        <f>K246</f>
        <v>0</v>
      </c>
      <c r="BH246" s="55">
        <f>G246*AO246</f>
        <v>0</v>
      </c>
      <c r="BI246" s="55">
        <f>G246*AP246</f>
        <v>0</v>
      </c>
      <c r="BJ246" s="55">
        <f>G246*H246</f>
        <v>0</v>
      </c>
      <c r="BK246" s="55"/>
      <c r="BL246" s="55">
        <v>2222</v>
      </c>
      <c r="BW246" s="55">
        <v>21</v>
      </c>
    </row>
    <row r="247" spans="1:75" ht="13.5" customHeight="1">
      <c r="A247" s="1" t="s">
        <v>593</v>
      </c>
      <c r="B247" s="2" t="s">
        <v>116</v>
      </c>
      <c r="C247" s="2" t="s">
        <v>594</v>
      </c>
      <c r="D247" s="147" t="s">
        <v>476</v>
      </c>
      <c r="E247" s="148"/>
      <c r="F247" s="2" t="s">
        <v>360</v>
      </c>
      <c r="G247" s="55">
        <f>'Stavební rozpočet-vyplnit'!G247</f>
        <v>32</v>
      </c>
      <c r="H247" s="55">
        <f>'Stavební rozpočet-vyplnit'!H247</f>
        <v>0</v>
      </c>
      <c r="I247" s="55">
        <f>G247*H247</f>
        <v>0</v>
      </c>
      <c r="J247" s="55">
        <f>'Stavební rozpočet-vyplnit'!J247</f>
        <v>0</v>
      </c>
      <c r="K247" s="55">
        <f>G247*J247</f>
        <v>0</v>
      </c>
      <c r="L247" s="57" t="s">
        <v>124</v>
      </c>
      <c r="Z247" s="55">
        <f>IF(AQ247="5",BJ247,0)</f>
        <v>0</v>
      </c>
      <c r="AB247" s="55">
        <f>IF(AQ247="1",BH247,0)</f>
        <v>0</v>
      </c>
      <c r="AC247" s="55">
        <f>IF(AQ247="1",BI247,0)</f>
        <v>0</v>
      </c>
      <c r="AD247" s="55">
        <f>IF(AQ247="7",BH247,0)</f>
        <v>0</v>
      </c>
      <c r="AE247" s="55">
        <f>IF(AQ247="7",BI247,0)</f>
        <v>0</v>
      </c>
      <c r="AF247" s="55">
        <f>IF(AQ247="2",BH247,0)</f>
        <v>0</v>
      </c>
      <c r="AG247" s="55">
        <f>IF(AQ247="2",BI247,0)</f>
        <v>0</v>
      </c>
      <c r="AH247" s="55">
        <f>IF(AQ247="0",BJ247,0)</f>
        <v>0</v>
      </c>
      <c r="AI247" s="34" t="s">
        <v>116</v>
      </c>
      <c r="AJ247" s="55">
        <f>IF(AN247=0,I247,0)</f>
        <v>0</v>
      </c>
      <c r="AK247" s="55">
        <f>IF(AN247=12,I247,0)</f>
        <v>0</v>
      </c>
      <c r="AL247" s="55">
        <f>IF(AN247=21,I247,0)</f>
        <v>0</v>
      </c>
      <c r="AN247" s="55">
        <v>21</v>
      </c>
      <c r="AO247" s="55">
        <f>H247*0</f>
        <v>0</v>
      </c>
      <c r="AP247" s="55">
        <f>H247*(1-0)</f>
        <v>0</v>
      </c>
      <c r="AQ247" s="58" t="s">
        <v>120</v>
      </c>
      <c r="AV247" s="55">
        <f>AW247+AX247</f>
        <v>0</v>
      </c>
      <c r="AW247" s="55">
        <f>G247*AO247</f>
        <v>0</v>
      </c>
      <c r="AX247" s="55">
        <f>G247*AP247</f>
        <v>0</v>
      </c>
      <c r="AY247" s="58" t="s">
        <v>442</v>
      </c>
      <c r="AZ247" s="58" t="s">
        <v>443</v>
      </c>
      <c r="BA247" s="34" t="s">
        <v>128</v>
      </c>
      <c r="BB247" s="67">
        <v>100133</v>
      </c>
      <c r="BC247" s="55">
        <f>AW247+AX247</f>
        <v>0</v>
      </c>
      <c r="BD247" s="55">
        <f>H247/(100-BE247)*100</f>
        <v>0</v>
      </c>
      <c r="BE247" s="55">
        <v>0</v>
      </c>
      <c r="BF247" s="55">
        <f>K247</f>
        <v>0</v>
      </c>
      <c r="BH247" s="55">
        <f>G247*AO247</f>
        <v>0</v>
      </c>
      <c r="BI247" s="55">
        <f>G247*AP247</f>
        <v>0</v>
      </c>
      <c r="BJ247" s="55">
        <f>G247*H247</f>
        <v>0</v>
      </c>
      <c r="BK247" s="55"/>
      <c r="BL247" s="55">
        <v>2222</v>
      </c>
      <c r="BW247" s="55">
        <v>21</v>
      </c>
    </row>
    <row r="248" spans="1:75" ht="13.5" customHeight="1">
      <c r="A248" s="1" t="s">
        <v>595</v>
      </c>
      <c r="B248" s="2" t="s">
        <v>116</v>
      </c>
      <c r="C248" s="2" t="s">
        <v>596</v>
      </c>
      <c r="D248" s="147" t="s">
        <v>597</v>
      </c>
      <c r="E248" s="148"/>
      <c r="F248" s="2" t="s">
        <v>360</v>
      </c>
      <c r="G248" s="55">
        <f>'Stavební rozpočet-vyplnit'!G248</f>
        <v>24</v>
      </c>
      <c r="H248" s="55">
        <f>'Stavební rozpočet-vyplnit'!H248</f>
        <v>0</v>
      </c>
      <c r="I248" s="55">
        <f>G248*H248</f>
        <v>0</v>
      </c>
      <c r="J248" s="55">
        <f>'Stavební rozpočet-vyplnit'!J248</f>
        <v>0</v>
      </c>
      <c r="K248" s="55">
        <f>G248*J248</f>
        <v>0</v>
      </c>
      <c r="L248" s="57" t="s">
        <v>124</v>
      </c>
      <c r="Z248" s="55">
        <f>IF(AQ248="5",BJ248,0)</f>
        <v>0</v>
      </c>
      <c r="AB248" s="55">
        <f>IF(AQ248="1",BH248,0)</f>
        <v>0</v>
      </c>
      <c r="AC248" s="55">
        <f>IF(AQ248="1",BI248,0)</f>
        <v>0</v>
      </c>
      <c r="AD248" s="55">
        <f>IF(AQ248="7",BH248,0)</f>
        <v>0</v>
      </c>
      <c r="AE248" s="55">
        <f>IF(AQ248="7",BI248,0)</f>
        <v>0</v>
      </c>
      <c r="AF248" s="55">
        <f>IF(AQ248="2",BH248,0)</f>
        <v>0</v>
      </c>
      <c r="AG248" s="55">
        <f>IF(AQ248="2",BI248,0)</f>
        <v>0</v>
      </c>
      <c r="AH248" s="55">
        <f>IF(AQ248="0",BJ248,0)</f>
        <v>0</v>
      </c>
      <c r="AI248" s="34" t="s">
        <v>116</v>
      </c>
      <c r="AJ248" s="55">
        <f>IF(AN248=0,I248,0)</f>
        <v>0</v>
      </c>
      <c r="AK248" s="55">
        <f>IF(AN248=12,I248,0)</f>
        <v>0</v>
      </c>
      <c r="AL248" s="55">
        <f>IF(AN248=21,I248,0)</f>
        <v>0</v>
      </c>
      <c r="AN248" s="55">
        <v>21</v>
      </c>
      <c r="AO248" s="55">
        <f>H248*0</f>
        <v>0</v>
      </c>
      <c r="AP248" s="55">
        <f>H248*(1-0)</f>
        <v>0</v>
      </c>
      <c r="AQ248" s="58" t="s">
        <v>120</v>
      </c>
      <c r="AV248" s="55">
        <f>AW248+AX248</f>
        <v>0</v>
      </c>
      <c r="AW248" s="55">
        <f>G248*AO248</f>
        <v>0</v>
      </c>
      <c r="AX248" s="55">
        <f>G248*AP248</f>
        <v>0</v>
      </c>
      <c r="AY248" s="58" t="s">
        <v>442</v>
      </c>
      <c r="AZ248" s="58" t="s">
        <v>443</v>
      </c>
      <c r="BA248" s="34" t="s">
        <v>128</v>
      </c>
      <c r="BB248" s="67">
        <v>100133</v>
      </c>
      <c r="BC248" s="55">
        <f>AW248+AX248</f>
        <v>0</v>
      </c>
      <c r="BD248" s="55">
        <f>H248/(100-BE248)*100</f>
        <v>0</v>
      </c>
      <c r="BE248" s="55">
        <v>0</v>
      </c>
      <c r="BF248" s="55">
        <f>K248</f>
        <v>0</v>
      </c>
      <c r="BH248" s="55">
        <f>G248*AO248</f>
        <v>0</v>
      </c>
      <c r="BI248" s="55">
        <f>G248*AP248</f>
        <v>0</v>
      </c>
      <c r="BJ248" s="55">
        <f>G248*H248</f>
        <v>0</v>
      </c>
      <c r="BK248" s="55"/>
      <c r="BL248" s="55">
        <v>2222</v>
      </c>
      <c r="BW248" s="55">
        <v>21</v>
      </c>
    </row>
    <row r="249" spans="1:47" ht="14.4">
      <c r="A249" s="50" t="s">
        <v>4</v>
      </c>
      <c r="B249" s="51" t="s">
        <v>116</v>
      </c>
      <c r="C249" s="51" t="s">
        <v>598</v>
      </c>
      <c r="D249" s="222" t="s">
        <v>599</v>
      </c>
      <c r="E249" s="223"/>
      <c r="F249" s="52" t="s">
        <v>79</v>
      </c>
      <c r="G249" s="52" t="s">
        <v>79</v>
      </c>
      <c r="H249" s="52" t="s">
        <v>79</v>
      </c>
      <c r="I249" s="27">
        <f>SUM(I250:I288)</f>
        <v>0</v>
      </c>
      <c r="J249" s="34" t="s">
        <v>4</v>
      </c>
      <c r="K249" s="27">
        <f>SUM(K250:K288)</f>
        <v>0</v>
      </c>
      <c r="L249" s="54" t="s">
        <v>4</v>
      </c>
      <c r="AI249" s="34" t="s">
        <v>116</v>
      </c>
      <c r="AS249" s="27">
        <f>SUM(AJ250:AJ288)</f>
        <v>0</v>
      </c>
      <c r="AT249" s="27">
        <f>SUM(AK250:AK288)</f>
        <v>0</v>
      </c>
      <c r="AU249" s="27">
        <f>SUM(AL250:AL288)</f>
        <v>0</v>
      </c>
    </row>
    <row r="250" spans="1:75" ht="13.5" customHeight="1">
      <c r="A250" s="1" t="s">
        <v>600</v>
      </c>
      <c r="B250" s="2" t="s">
        <v>116</v>
      </c>
      <c r="C250" s="2" t="s">
        <v>601</v>
      </c>
      <c r="D250" s="147" t="s">
        <v>602</v>
      </c>
      <c r="E250" s="148"/>
      <c r="F250" s="2" t="s">
        <v>123</v>
      </c>
      <c r="G250" s="55">
        <f>'Stavební rozpočet-vyplnit'!G250</f>
        <v>1</v>
      </c>
      <c r="H250" s="55">
        <f>'Stavební rozpočet-vyplnit'!H250</f>
        <v>0</v>
      </c>
      <c r="I250" s="55">
        <f>G250*H250</f>
        <v>0</v>
      </c>
      <c r="J250" s="55">
        <f>'Stavební rozpočet-vyplnit'!J250</f>
        <v>0</v>
      </c>
      <c r="K250" s="55">
        <f>G250*J250</f>
        <v>0</v>
      </c>
      <c r="L250" s="57" t="s">
        <v>124</v>
      </c>
      <c r="Z250" s="55">
        <f>IF(AQ250="5",BJ250,0)</f>
        <v>0</v>
      </c>
      <c r="AB250" s="55">
        <f>IF(AQ250="1",BH250,0)</f>
        <v>0</v>
      </c>
      <c r="AC250" s="55">
        <f>IF(AQ250="1",BI250,0)</f>
        <v>0</v>
      </c>
      <c r="AD250" s="55">
        <f>IF(AQ250="7",BH250,0)</f>
        <v>0</v>
      </c>
      <c r="AE250" s="55">
        <f>IF(AQ250="7",BI250,0)</f>
        <v>0</v>
      </c>
      <c r="AF250" s="55">
        <f>IF(AQ250="2",BH250,0)</f>
        <v>0</v>
      </c>
      <c r="AG250" s="55">
        <f>IF(AQ250="2",BI250,0)</f>
        <v>0</v>
      </c>
      <c r="AH250" s="55">
        <f>IF(AQ250="0",BJ250,0)</f>
        <v>0</v>
      </c>
      <c r="AI250" s="34" t="s">
        <v>116</v>
      </c>
      <c r="AJ250" s="55">
        <f>IF(AN250=0,I250,0)</f>
        <v>0</v>
      </c>
      <c r="AK250" s="55">
        <f>IF(AN250=12,I250,0)</f>
        <v>0</v>
      </c>
      <c r="AL250" s="55">
        <f>IF(AN250=21,I250,0)</f>
        <v>0</v>
      </c>
      <c r="AN250" s="55">
        <v>21</v>
      </c>
      <c r="AO250" s="55">
        <f>H250*0.857142857</f>
        <v>0</v>
      </c>
      <c r="AP250" s="55">
        <f>H250*(1-0.857142857)</f>
        <v>0</v>
      </c>
      <c r="AQ250" s="58" t="s">
        <v>120</v>
      </c>
      <c r="AV250" s="55">
        <f>AW250+AX250</f>
        <v>0</v>
      </c>
      <c r="AW250" s="55">
        <f>G250*AO250</f>
        <v>0</v>
      </c>
      <c r="AX250" s="55">
        <f>G250*AP250</f>
        <v>0</v>
      </c>
      <c r="AY250" s="58" t="s">
        <v>603</v>
      </c>
      <c r="AZ250" s="58" t="s">
        <v>443</v>
      </c>
      <c r="BA250" s="34" t="s">
        <v>128</v>
      </c>
      <c r="BB250" s="67">
        <v>100136</v>
      </c>
      <c r="BC250" s="55">
        <f>AW250+AX250</f>
        <v>0</v>
      </c>
      <c r="BD250" s="55">
        <f>H250/(100-BE250)*100</f>
        <v>0</v>
      </c>
      <c r="BE250" s="55">
        <v>0</v>
      </c>
      <c r="BF250" s="55">
        <f>K250</f>
        <v>0</v>
      </c>
      <c r="BH250" s="55">
        <f>G250*AO250</f>
        <v>0</v>
      </c>
      <c r="BI250" s="55">
        <f>G250*AP250</f>
        <v>0</v>
      </c>
      <c r="BJ250" s="55">
        <f>G250*H250</f>
        <v>0</v>
      </c>
      <c r="BK250" s="55"/>
      <c r="BL250" s="55">
        <v>2223</v>
      </c>
      <c r="BW250" s="55">
        <v>21</v>
      </c>
    </row>
    <row r="251" spans="1:12" ht="13.5" customHeight="1">
      <c r="A251" s="59"/>
      <c r="D251" s="218" t="s">
        <v>129</v>
      </c>
      <c r="E251" s="219"/>
      <c r="F251" s="219"/>
      <c r="G251" s="219"/>
      <c r="H251" s="219"/>
      <c r="I251" s="219"/>
      <c r="J251" s="219"/>
      <c r="K251" s="219"/>
      <c r="L251" s="221"/>
    </row>
    <row r="252" spans="1:75" ht="13.5" customHeight="1">
      <c r="A252" s="1" t="s">
        <v>604</v>
      </c>
      <c r="B252" s="2" t="s">
        <v>116</v>
      </c>
      <c r="C252" s="2" t="s">
        <v>605</v>
      </c>
      <c r="D252" s="147" t="s">
        <v>606</v>
      </c>
      <c r="E252" s="148"/>
      <c r="F252" s="2" t="s">
        <v>123</v>
      </c>
      <c r="G252" s="55">
        <f>'Stavební rozpočet-vyplnit'!G252</f>
        <v>1</v>
      </c>
      <c r="H252" s="55">
        <f>'Stavební rozpočet-vyplnit'!H252</f>
        <v>0</v>
      </c>
      <c r="I252" s="55">
        <f>G252*H252</f>
        <v>0</v>
      </c>
      <c r="J252" s="55">
        <f>'Stavební rozpočet-vyplnit'!J252</f>
        <v>0</v>
      </c>
      <c r="K252" s="55">
        <f>G252*J252</f>
        <v>0</v>
      </c>
      <c r="L252" s="57" t="s">
        <v>124</v>
      </c>
      <c r="Z252" s="55">
        <f>IF(AQ252="5",BJ252,0)</f>
        <v>0</v>
      </c>
      <c r="AB252" s="55">
        <f>IF(AQ252="1",BH252,0)</f>
        <v>0</v>
      </c>
      <c r="AC252" s="55">
        <f>IF(AQ252="1",BI252,0)</f>
        <v>0</v>
      </c>
      <c r="AD252" s="55">
        <f>IF(AQ252="7",BH252,0)</f>
        <v>0</v>
      </c>
      <c r="AE252" s="55">
        <f>IF(AQ252="7",BI252,0)</f>
        <v>0</v>
      </c>
      <c r="AF252" s="55">
        <f>IF(AQ252="2",BH252,0)</f>
        <v>0</v>
      </c>
      <c r="AG252" s="55">
        <f>IF(AQ252="2",BI252,0)</f>
        <v>0</v>
      </c>
      <c r="AH252" s="55">
        <f>IF(AQ252="0",BJ252,0)</f>
        <v>0</v>
      </c>
      <c r="AI252" s="34" t="s">
        <v>116</v>
      </c>
      <c r="AJ252" s="55">
        <f>IF(AN252=0,I252,0)</f>
        <v>0</v>
      </c>
      <c r="AK252" s="55">
        <f>IF(AN252=12,I252,0)</f>
        <v>0</v>
      </c>
      <c r="AL252" s="55">
        <f>IF(AN252=21,I252,0)</f>
        <v>0</v>
      </c>
      <c r="AN252" s="55">
        <v>21</v>
      </c>
      <c r="AO252" s="55">
        <f>H252*0.885496183</f>
        <v>0</v>
      </c>
      <c r="AP252" s="55">
        <f>H252*(1-0.885496183)</f>
        <v>0</v>
      </c>
      <c r="AQ252" s="58" t="s">
        <v>120</v>
      </c>
      <c r="AV252" s="55">
        <f>AW252+AX252</f>
        <v>0</v>
      </c>
      <c r="AW252" s="55">
        <f>G252*AO252</f>
        <v>0</v>
      </c>
      <c r="AX252" s="55">
        <f>G252*AP252</f>
        <v>0</v>
      </c>
      <c r="AY252" s="58" t="s">
        <v>603</v>
      </c>
      <c r="AZ252" s="58" t="s">
        <v>443</v>
      </c>
      <c r="BA252" s="34" t="s">
        <v>128</v>
      </c>
      <c r="BB252" s="67">
        <v>100136</v>
      </c>
      <c r="BC252" s="55">
        <f>AW252+AX252</f>
        <v>0</v>
      </c>
      <c r="BD252" s="55">
        <f>H252/(100-BE252)*100</f>
        <v>0</v>
      </c>
      <c r="BE252" s="55">
        <v>0</v>
      </c>
      <c r="BF252" s="55">
        <f>K252</f>
        <v>0</v>
      </c>
      <c r="BH252" s="55">
        <f>G252*AO252</f>
        <v>0</v>
      </c>
      <c r="BI252" s="55">
        <f>G252*AP252</f>
        <v>0</v>
      </c>
      <c r="BJ252" s="55">
        <f>G252*H252</f>
        <v>0</v>
      </c>
      <c r="BK252" s="55"/>
      <c r="BL252" s="55">
        <v>2223</v>
      </c>
      <c r="BW252" s="55">
        <v>21</v>
      </c>
    </row>
    <row r="253" spans="1:12" ht="13.5" customHeight="1">
      <c r="A253" s="59"/>
      <c r="D253" s="218" t="s">
        <v>129</v>
      </c>
      <c r="E253" s="219"/>
      <c r="F253" s="219"/>
      <c r="G253" s="219"/>
      <c r="H253" s="219"/>
      <c r="I253" s="219"/>
      <c r="J253" s="219"/>
      <c r="K253" s="219"/>
      <c r="L253" s="221"/>
    </row>
    <row r="254" spans="1:75" ht="13.5" customHeight="1">
      <c r="A254" s="1" t="s">
        <v>607</v>
      </c>
      <c r="B254" s="2" t="s">
        <v>116</v>
      </c>
      <c r="C254" s="2" t="s">
        <v>608</v>
      </c>
      <c r="D254" s="147" t="s">
        <v>609</v>
      </c>
      <c r="E254" s="148"/>
      <c r="F254" s="2" t="s">
        <v>123</v>
      </c>
      <c r="G254" s="55">
        <f>'Stavební rozpočet-vyplnit'!G254</f>
        <v>1</v>
      </c>
      <c r="H254" s="55">
        <f>'Stavební rozpočet-vyplnit'!H254</f>
        <v>0</v>
      </c>
      <c r="I254" s="55">
        <f>G254*H254</f>
        <v>0</v>
      </c>
      <c r="J254" s="55">
        <f>'Stavební rozpočet-vyplnit'!J254</f>
        <v>0</v>
      </c>
      <c r="K254" s="55">
        <f>G254*J254</f>
        <v>0</v>
      </c>
      <c r="L254" s="57" t="s">
        <v>124</v>
      </c>
      <c r="Z254" s="55">
        <f>IF(AQ254="5",BJ254,0)</f>
        <v>0</v>
      </c>
      <c r="AB254" s="55">
        <f>IF(AQ254="1",BH254,0)</f>
        <v>0</v>
      </c>
      <c r="AC254" s="55">
        <f>IF(AQ254="1",BI254,0)</f>
        <v>0</v>
      </c>
      <c r="AD254" s="55">
        <f>IF(AQ254="7",BH254,0)</f>
        <v>0</v>
      </c>
      <c r="AE254" s="55">
        <f>IF(AQ254="7",BI254,0)</f>
        <v>0</v>
      </c>
      <c r="AF254" s="55">
        <f>IF(AQ254="2",BH254,0)</f>
        <v>0</v>
      </c>
      <c r="AG254" s="55">
        <f>IF(AQ254="2",BI254,0)</f>
        <v>0</v>
      </c>
      <c r="AH254" s="55">
        <f>IF(AQ254="0",BJ254,0)</f>
        <v>0</v>
      </c>
      <c r="AI254" s="34" t="s">
        <v>116</v>
      </c>
      <c r="AJ254" s="55">
        <f>IF(AN254=0,I254,0)</f>
        <v>0</v>
      </c>
      <c r="AK254" s="55">
        <f>IF(AN254=12,I254,0)</f>
        <v>0</v>
      </c>
      <c r="AL254" s="55">
        <f>IF(AN254=21,I254,0)</f>
        <v>0</v>
      </c>
      <c r="AN254" s="55">
        <v>21</v>
      </c>
      <c r="AO254" s="55">
        <f>H254*0.873684211</f>
        <v>0</v>
      </c>
      <c r="AP254" s="55">
        <f>H254*(1-0.873684211)</f>
        <v>0</v>
      </c>
      <c r="AQ254" s="58" t="s">
        <v>120</v>
      </c>
      <c r="AV254" s="55">
        <f>AW254+AX254</f>
        <v>0</v>
      </c>
      <c r="AW254" s="55">
        <f>G254*AO254</f>
        <v>0</v>
      </c>
      <c r="AX254" s="55">
        <f>G254*AP254</f>
        <v>0</v>
      </c>
      <c r="AY254" s="58" t="s">
        <v>603</v>
      </c>
      <c r="AZ254" s="58" t="s">
        <v>443</v>
      </c>
      <c r="BA254" s="34" t="s">
        <v>128</v>
      </c>
      <c r="BB254" s="67">
        <v>100136</v>
      </c>
      <c r="BC254" s="55">
        <f>AW254+AX254</f>
        <v>0</v>
      </c>
      <c r="BD254" s="55">
        <f>H254/(100-BE254)*100</f>
        <v>0</v>
      </c>
      <c r="BE254" s="55">
        <v>0</v>
      </c>
      <c r="BF254" s="55">
        <f>K254</f>
        <v>0</v>
      </c>
      <c r="BH254" s="55">
        <f>G254*AO254</f>
        <v>0</v>
      </c>
      <c r="BI254" s="55">
        <f>G254*AP254</f>
        <v>0</v>
      </c>
      <c r="BJ254" s="55">
        <f>G254*H254</f>
        <v>0</v>
      </c>
      <c r="BK254" s="55"/>
      <c r="BL254" s="55">
        <v>2223</v>
      </c>
      <c r="BW254" s="55">
        <v>21</v>
      </c>
    </row>
    <row r="255" spans="1:12" ht="13.5" customHeight="1">
      <c r="A255" s="59"/>
      <c r="D255" s="218" t="s">
        <v>129</v>
      </c>
      <c r="E255" s="219"/>
      <c r="F255" s="219"/>
      <c r="G255" s="219"/>
      <c r="H255" s="219"/>
      <c r="I255" s="219"/>
      <c r="J255" s="219"/>
      <c r="K255" s="219"/>
      <c r="L255" s="221"/>
    </row>
    <row r="256" spans="1:75" ht="13.5" customHeight="1">
      <c r="A256" s="1" t="s">
        <v>610</v>
      </c>
      <c r="B256" s="2" t="s">
        <v>116</v>
      </c>
      <c r="C256" s="2" t="s">
        <v>611</v>
      </c>
      <c r="D256" s="147" t="s">
        <v>612</v>
      </c>
      <c r="E256" s="148"/>
      <c r="F256" s="2" t="s">
        <v>123</v>
      </c>
      <c r="G256" s="55">
        <f>'Stavební rozpočet-vyplnit'!G256</f>
        <v>7</v>
      </c>
      <c r="H256" s="55">
        <f>'Stavební rozpočet-vyplnit'!H256</f>
        <v>0</v>
      </c>
      <c r="I256" s="55">
        <f>G256*H256</f>
        <v>0</v>
      </c>
      <c r="J256" s="55">
        <f>'Stavební rozpočet-vyplnit'!J256</f>
        <v>0</v>
      </c>
      <c r="K256" s="55">
        <f>G256*J256</f>
        <v>0</v>
      </c>
      <c r="L256" s="57" t="s">
        <v>124</v>
      </c>
      <c r="Z256" s="55">
        <f>IF(AQ256="5",BJ256,0)</f>
        <v>0</v>
      </c>
      <c r="AB256" s="55">
        <f>IF(AQ256="1",BH256,0)</f>
        <v>0</v>
      </c>
      <c r="AC256" s="55">
        <f>IF(AQ256="1",BI256,0)</f>
        <v>0</v>
      </c>
      <c r="AD256" s="55">
        <f>IF(AQ256="7",BH256,0)</f>
        <v>0</v>
      </c>
      <c r="AE256" s="55">
        <f>IF(AQ256="7",BI256,0)</f>
        <v>0</v>
      </c>
      <c r="AF256" s="55">
        <f>IF(AQ256="2",BH256,0)</f>
        <v>0</v>
      </c>
      <c r="AG256" s="55">
        <f>IF(AQ256="2",BI256,0)</f>
        <v>0</v>
      </c>
      <c r="AH256" s="55">
        <f>IF(AQ256="0",BJ256,0)</f>
        <v>0</v>
      </c>
      <c r="AI256" s="34" t="s">
        <v>116</v>
      </c>
      <c r="AJ256" s="55">
        <f>IF(AN256=0,I256,0)</f>
        <v>0</v>
      </c>
      <c r="AK256" s="55">
        <f>IF(AN256=12,I256,0)</f>
        <v>0</v>
      </c>
      <c r="AL256" s="55">
        <f>IF(AN256=21,I256,0)</f>
        <v>0</v>
      </c>
      <c r="AN256" s="55">
        <v>21</v>
      </c>
      <c r="AO256" s="55">
        <f>H256*0.890243902</f>
        <v>0</v>
      </c>
      <c r="AP256" s="55">
        <f>H256*(1-0.890243902)</f>
        <v>0</v>
      </c>
      <c r="AQ256" s="58" t="s">
        <v>120</v>
      </c>
      <c r="AV256" s="55">
        <f>AW256+AX256</f>
        <v>0</v>
      </c>
      <c r="AW256" s="55">
        <f>G256*AO256</f>
        <v>0</v>
      </c>
      <c r="AX256" s="55">
        <f>G256*AP256</f>
        <v>0</v>
      </c>
      <c r="AY256" s="58" t="s">
        <v>603</v>
      </c>
      <c r="AZ256" s="58" t="s">
        <v>443</v>
      </c>
      <c r="BA256" s="34" t="s">
        <v>128</v>
      </c>
      <c r="BB256" s="67">
        <v>100136</v>
      </c>
      <c r="BC256" s="55">
        <f>AW256+AX256</f>
        <v>0</v>
      </c>
      <c r="BD256" s="55">
        <f>H256/(100-BE256)*100</f>
        <v>0</v>
      </c>
      <c r="BE256" s="55">
        <v>0</v>
      </c>
      <c r="BF256" s="55">
        <f>K256</f>
        <v>0</v>
      </c>
      <c r="BH256" s="55">
        <f>G256*AO256</f>
        <v>0</v>
      </c>
      <c r="BI256" s="55">
        <f>G256*AP256</f>
        <v>0</v>
      </c>
      <c r="BJ256" s="55">
        <f>G256*H256</f>
        <v>0</v>
      </c>
      <c r="BK256" s="55"/>
      <c r="BL256" s="55">
        <v>2223</v>
      </c>
      <c r="BW256" s="55">
        <v>21</v>
      </c>
    </row>
    <row r="257" spans="1:12" ht="13.5" customHeight="1">
      <c r="A257" s="59"/>
      <c r="D257" s="218" t="s">
        <v>129</v>
      </c>
      <c r="E257" s="219"/>
      <c r="F257" s="219"/>
      <c r="G257" s="219"/>
      <c r="H257" s="219"/>
      <c r="I257" s="219"/>
      <c r="J257" s="219"/>
      <c r="K257" s="219"/>
      <c r="L257" s="221"/>
    </row>
    <row r="258" spans="1:75" ht="13.5" customHeight="1">
      <c r="A258" s="1" t="s">
        <v>613</v>
      </c>
      <c r="B258" s="2" t="s">
        <v>116</v>
      </c>
      <c r="C258" s="2" t="s">
        <v>614</v>
      </c>
      <c r="D258" s="147" t="s">
        <v>615</v>
      </c>
      <c r="E258" s="148"/>
      <c r="F258" s="2" t="s">
        <v>123</v>
      </c>
      <c r="G258" s="55">
        <f>'Stavební rozpočet-vyplnit'!G258</f>
        <v>13</v>
      </c>
      <c r="H258" s="55">
        <f>'Stavební rozpočet-vyplnit'!H258</f>
        <v>0</v>
      </c>
      <c r="I258" s="55">
        <f>G258*H258</f>
        <v>0</v>
      </c>
      <c r="J258" s="55">
        <f>'Stavební rozpočet-vyplnit'!J258</f>
        <v>0</v>
      </c>
      <c r="K258" s="55">
        <f>G258*J258</f>
        <v>0</v>
      </c>
      <c r="L258" s="57" t="s">
        <v>124</v>
      </c>
      <c r="Z258" s="55">
        <f>IF(AQ258="5",BJ258,0)</f>
        <v>0</v>
      </c>
      <c r="AB258" s="55">
        <f>IF(AQ258="1",BH258,0)</f>
        <v>0</v>
      </c>
      <c r="AC258" s="55">
        <f>IF(AQ258="1",BI258,0)</f>
        <v>0</v>
      </c>
      <c r="AD258" s="55">
        <f>IF(AQ258="7",BH258,0)</f>
        <v>0</v>
      </c>
      <c r="AE258" s="55">
        <f>IF(AQ258="7",BI258,0)</f>
        <v>0</v>
      </c>
      <c r="AF258" s="55">
        <f>IF(AQ258="2",BH258,0)</f>
        <v>0</v>
      </c>
      <c r="AG258" s="55">
        <f>IF(AQ258="2",BI258,0)</f>
        <v>0</v>
      </c>
      <c r="AH258" s="55">
        <f>IF(AQ258="0",BJ258,0)</f>
        <v>0</v>
      </c>
      <c r="AI258" s="34" t="s">
        <v>116</v>
      </c>
      <c r="AJ258" s="55">
        <f>IF(AN258=0,I258,0)</f>
        <v>0</v>
      </c>
      <c r="AK258" s="55">
        <f>IF(AN258=12,I258,0)</f>
        <v>0</v>
      </c>
      <c r="AL258" s="55">
        <f>IF(AN258=21,I258,0)</f>
        <v>0</v>
      </c>
      <c r="AN258" s="55">
        <v>21</v>
      </c>
      <c r="AO258" s="55">
        <f>H258*0.751633987</f>
        <v>0</v>
      </c>
      <c r="AP258" s="55">
        <f>H258*(1-0.751633987)</f>
        <v>0</v>
      </c>
      <c r="AQ258" s="58" t="s">
        <v>120</v>
      </c>
      <c r="AV258" s="55">
        <f>AW258+AX258</f>
        <v>0</v>
      </c>
      <c r="AW258" s="55">
        <f>G258*AO258</f>
        <v>0</v>
      </c>
      <c r="AX258" s="55">
        <f>G258*AP258</f>
        <v>0</v>
      </c>
      <c r="AY258" s="58" t="s">
        <v>603</v>
      </c>
      <c r="AZ258" s="58" t="s">
        <v>443</v>
      </c>
      <c r="BA258" s="34" t="s">
        <v>128</v>
      </c>
      <c r="BB258" s="67">
        <v>100136</v>
      </c>
      <c r="BC258" s="55">
        <f>AW258+AX258</f>
        <v>0</v>
      </c>
      <c r="BD258" s="55">
        <f>H258/(100-BE258)*100</f>
        <v>0</v>
      </c>
      <c r="BE258" s="55">
        <v>0</v>
      </c>
      <c r="BF258" s="55">
        <f>K258</f>
        <v>0</v>
      </c>
      <c r="BH258" s="55">
        <f>G258*AO258</f>
        <v>0</v>
      </c>
      <c r="BI258" s="55">
        <f>G258*AP258</f>
        <v>0</v>
      </c>
      <c r="BJ258" s="55">
        <f>G258*H258</f>
        <v>0</v>
      </c>
      <c r="BK258" s="55"/>
      <c r="BL258" s="55">
        <v>2223</v>
      </c>
      <c r="BW258" s="55">
        <v>21</v>
      </c>
    </row>
    <row r="259" spans="1:12" ht="13.5" customHeight="1">
      <c r="A259" s="59"/>
      <c r="D259" s="218" t="s">
        <v>129</v>
      </c>
      <c r="E259" s="219"/>
      <c r="F259" s="219"/>
      <c r="G259" s="219"/>
      <c r="H259" s="219"/>
      <c r="I259" s="219"/>
      <c r="J259" s="219"/>
      <c r="K259" s="219"/>
      <c r="L259" s="221"/>
    </row>
    <row r="260" spans="1:75" ht="13.5" customHeight="1">
      <c r="A260" s="1" t="s">
        <v>616</v>
      </c>
      <c r="B260" s="2" t="s">
        <v>116</v>
      </c>
      <c r="C260" s="2" t="s">
        <v>617</v>
      </c>
      <c r="D260" s="147" t="s">
        <v>618</v>
      </c>
      <c r="E260" s="148"/>
      <c r="F260" s="2" t="s">
        <v>123</v>
      </c>
      <c r="G260" s="55">
        <f>'Stavební rozpočet-vyplnit'!G260</f>
        <v>0</v>
      </c>
      <c r="H260" s="55">
        <f>'Stavební rozpočet-vyplnit'!H260</f>
        <v>0</v>
      </c>
      <c r="I260" s="55">
        <f>G260*H260</f>
        <v>0</v>
      </c>
      <c r="J260" s="55">
        <f>'Stavební rozpočet-vyplnit'!J260</f>
        <v>0</v>
      </c>
      <c r="K260" s="55">
        <f>G260*J260</f>
        <v>0</v>
      </c>
      <c r="L260" s="57" t="s">
        <v>124</v>
      </c>
      <c r="Z260" s="55">
        <f>IF(AQ260="5",BJ260,0)</f>
        <v>0</v>
      </c>
      <c r="AB260" s="55">
        <f>IF(AQ260="1",BH260,0)</f>
        <v>0</v>
      </c>
      <c r="AC260" s="55">
        <f>IF(AQ260="1",BI260,0)</f>
        <v>0</v>
      </c>
      <c r="AD260" s="55">
        <f>IF(AQ260="7",BH260,0)</f>
        <v>0</v>
      </c>
      <c r="AE260" s="55">
        <f>IF(AQ260="7",BI260,0)</f>
        <v>0</v>
      </c>
      <c r="AF260" s="55">
        <f>IF(AQ260="2",BH260,0)</f>
        <v>0</v>
      </c>
      <c r="AG260" s="55">
        <f>IF(AQ260="2",BI260,0)</f>
        <v>0</v>
      </c>
      <c r="AH260" s="55">
        <f>IF(AQ260="0",BJ260,0)</f>
        <v>0</v>
      </c>
      <c r="AI260" s="34" t="s">
        <v>116</v>
      </c>
      <c r="AJ260" s="55">
        <f>IF(AN260=0,I260,0)</f>
        <v>0</v>
      </c>
      <c r="AK260" s="55">
        <f>IF(AN260=12,I260,0)</f>
        <v>0</v>
      </c>
      <c r="AL260" s="55">
        <f>IF(AN260=21,I260,0)</f>
        <v>0</v>
      </c>
      <c r="AN260" s="55">
        <v>21</v>
      </c>
      <c r="AO260" s="55">
        <f>H260*0</f>
        <v>0</v>
      </c>
      <c r="AP260" s="55">
        <f>H260*(1-0)</f>
        <v>0</v>
      </c>
      <c r="AQ260" s="58" t="s">
        <v>120</v>
      </c>
      <c r="AV260" s="55">
        <f>AW260+AX260</f>
        <v>0</v>
      </c>
      <c r="AW260" s="55">
        <f>G260*AO260</f>
        <v>0</v>
      </c>
      <c r="AX260" s="55">
        <f>G260*AP260</f>
        <v>0</v>
      </c>
      <c r="AY260" s="58" t="s">
        <v>603</v>
      </c>
      <c r="AZ260" s="58" t="s">
        <v>443</v>
      </c>
      <c r="BA260" s="34" t="s">
        <v>128</v>
      </c>
      <c r="BB260" s="67">
        <v>100136</v>
      </c>
      <c r="BC260" s="55">
        <f>AW260+AX260</f>
        <v>0</v>
      </c>
      <c r="BD260" s="55">
        <f>H260/(100-BE260)*100</f>
        <v>0</v>
      </c>
      <c r="BE260" s="55">
        <v>0</v>
      </c>
      <c r="BF260" s="55">
        <f>K260</f>
        <v>0</v>
      </c>
      <c r="BH260" s="55">
        <f>G260*AO260</f>
        <v>0</v>
      </c>
      <c r="BI260" s="55">
        <f>G260*AP260</f>
        <v>0</v>
      </c>
      <c r="BJ260" s="55">
        <f>G260*H260</f>
        <v>0</v>
      </c>
      <c r="BK260" s="55"/>
      <c r="BL260" s="55">
        <v>2223</v>
      </c>
      <c r="BW260" s="55">
        <v>21</v>
      </c>
    </row>
    <row r="261" spans="1:12" ht="13.5" customHeight="1">
      <c r="A261" s="59"/>
      <c r="D261" s="218" t="s">
        <v>129</v>
      </c>
      <c r="E261" s="219"/>
      <c r="F261" s="219"/>
      <c r="G261" s="219"/>
      <c r="H261" s="219"/>
      <c r="I261" s="219"/>
      <c r="J261" s="219"/>
      <c r="K261" s="219"/>
      <c r="L261" s="221"/>
    </row>
    <row r="262" spans="1:75" ht="13.5" customHeight="1">
      <c r="A262" s="1" t="s">
        <v>619</v>
      </c>
      <c r="B262" s="2" t="s">
        <v>116</v>
      </c>
      <c r="C262" s="2" t="s">
        <v>620</v>
      </c>
      <c r="D262" s="147" t="s">
        <v>621</v>
      </c>
      <c r="E262" s="148"/>
      <c r="F262" s="2" t="s">
        <v>123</v>
      </c>
      <c r="G262" s="55">
        <f>'Stavební rozpočet-vyplnit'!G262</f>
        <v>1</v>
      </c>
      <c r="H262" s="55">
        <f>'Stavební rozpočet-vyplnit'!H262</f>
        <v>0</v>
      </c>
      <c r="I262" s="55">
        <f>G262*H262</f>
        <v>0</v>
      </c>
      <c r="J262" s="55">
        <f>'Stavební rozpočet-vyplnit'!J262</f>
        <v>0</v>
      </c>
      <c r="K262" s="55">
        <f>G262*J262</f>
        <v>0</v>
      </c>
      <c r="L262" s="57" t="s">
        <v>124</v>
      </c>
      <c r="Z262" s="55">
        <f>IF(AQ262="5",BJ262,0)</f>
        <v>0</v>
      </c>
      <c r="AB262" s="55">
        <f>IF(AQ262="1",BH262,0)</f>
        <v>0</v>
      </c>
      <c r="AC262" s="55">
        <f>IF(AQ262="1",BI262,0)</f>
        <v>0</v>
      </c>
      <c r="AD262" s="55">
        <f>IF(AQ262="7",BH262,0)</f>
        <v>0</v>
      </c>
      <c r="AE262" s="55">
        <f>IF(AQ262="7",BI262,0)</f>
        <v>0</v>
      </c>
      <c r="AF262" s="55">
        <f>IF(AQ262="2",BH262,0)</f>
        <v>0</v>
      </c>
      <c r="AG262" s="55">
        <f>IF(AQ262="2",BI262,0)</f>
        <v>0</v>
      </c>
      <c r="AH262" s="55">
        <f>IF(AQ262="0",BJ262,0)</f>
        <v>0</v>
      </c>
      <c r="AI262" s="34" t="s">
        <v>116</v>
      </c>
      <c r="AJ262" s="55">
        <f>IF(AN262=0,I262,0)</f>
        <v>0</v>
      </c>
      <c r="AK262" s="55">
        <f>IF(AN262=12,I262,0)</f>
        <v>0</v>
      </c>
      <c r="AL262" s="55">
        <f>IF(AN262=21,I262,0)</f>
        <v>0</v>
      </c>
      <c r="AN262" s="55">
        <v>21</v>
      </c>
      <c r="AO262" s="55">
        <f>H262*0.736533958</f>
        <v>0</v>
      </c>
      <c r="AP262" s="55">
        <f>H262*(1-0.736533958)</f>
        <v>0</v>
      </c>
      <c r="AQ262" s="58" t="s">
        <v>120</v>
      </c>
      <c r="AV262" s="55">
        <f>AW262+AX262</f>
        <v>0</v>
      </c>
      <c r="AW262" s="55">
        <f>G262*AO262</f>
        <v>0</v>
      </c>
      <c r="AX262" s="55">
        <f>G262*AP262</f>
        <v>0</v>
      </c>
      <c r="AY262" s="58" t="s">
        <v>603</v>
      </c>
      <c r="AZ262" s="58" t="s">
        <v>443</v>
      </c>
      <c r="BA262" s="34" t="s">
        <v>128</v>
      </c>
      <c r="BB262" s="67">
        <v>100136</v>
      </c>
      <c r="BC262" s="55">
        <f>AW262+AX262</f>
        <v>0</v>
      </c>
      <c r="BD262" s="55">
        <f>H262/(100-BE262)*100</f>
        <v>0</v>
      </c>
      <c r="BE262" s="55">
        <v>0</v>
      </c>
      <c r="BF262" s="55">
        <f>K262</f>
        <v>0</v>
      </c>
      <c r="BH262" s="55">
        <f>G262*AO262</f>
        <v>0</v>
      </c>
      <c r="BI262" s="55">
        <f>G262*AP262</f>
        <v>0</v>
      </c>
      <c r="BJ262" s="55">
        <f>G262*H262</f>
        <v>0</v>
      </c>
      <c r="BK262" s="55"/>
      <c r="BL262" s="55">
        <v>2223</v>
      </c>
      <c r="BW262" s="55">
        <v>21</v>
      </c>
    </row>
    <row r="263" spans="1:12" ht="13.5" customHeight="1">
      <c r="A263" s="59"/>
      <c r="D263" s="218" t="s">
        <v>129</v>
      </c>
      <c r="E263" s="219"/>
      <c r="F263" s="219"/>
      <c r="G263" s="219"/>
      <c r="H263" s="219"/>
      <c r="I263" s="219"/>
      <c r="J263" s="219"/>
      <c r="K263" s="219"/>
      <c r="L263" s="221"/>
    </row>
    <row r="264" spans="1:75" ht="13.5" customHeight="1">
      <c r="A264" s="1" t="s">
        <v>622</v>
      </c>
      <c r="B264" s="2" t="s">
        <v>116</v>
      </c>
      <c r="C264" s="2" t="s">
        <v>623</v>
      </c>
      <c r="D264" s="147" t="s">
        <v>624</v>
      </c>
      <c r="E264" s="148"/>
      <c r="F264" s="2" t="s">
        <v>123</v>
      </c>
      <c r="G264" s="55">
        <f>'Stavební rozpočet-vyplnit'!G264</f>
        <v>4</v>
      </c>
      <c r="H264" s="55">
        <f>'Stavební rozpočet-vyplnit'!H264</f>
        <v>0</v>
      </c>
      <c r="I264" s="55">
        <f>G264*H264</f>
        <v>0</v>
      </c>
      <c r="J264" s="55">
        <f>'Stavební rozpočet-vyplnit'!J264</f>
        <v>0</v>
      </c>
      <c r="K264" s="55">
        <f>G264*J264</f>
        <v>0</v>
      </c>
      <c r="L264" s="57" t="s">
        <v>124</v>
      </c>
      <c r="Z264" s="55">
        <f>IF(AQ264="5",BJ264,0)</f>
        <v>0</v>
      </c>
      <c r="AB264" s="55">
        <f>IF(AQ264="1",BH264,0)</f>
        <v>0</v>
      </c>
      <c r="AC264" s="55">
        <f>IF(AQ264="1",BI264,0)</f>
        <v>0</v>
      </c>
      <c r="AD264" s="55">
        <f>IF(AQ264="7",BH264,0)</f>
        <v>0</v>
      </c>
      <c r="AE264" s="55">
        <f>IF(AQ264="7",BI264,0)</f>
        <v>0</v>
      </c>
      <c r="AF264" s="55">
        <f>IF(AQ264="2",BH264,0)</f>
        <v>0</v>
      </c>
      <c r="AG264" s="55">
        <f>IF(AQ264="2",BI264,0)</f>
        <v>0</v>
      </c>
      <c r="AH264" s="55">
        <f>IF(AQ264="0",BJ264,0)</f>
        <v>0</v>
      </c>
      <c r="AI264" s="34" t="s">
        <v>116</v>
      </c>
      <c r="AJ264" s="55">
        <f>IF(AN264=0,I264,0)</f>
        <v>0</v>
      </c>
      <c r="AK264" s="55">
        <f>IF(AN264=12,I264,0)</f>
        <v>0</v>
      </c>
      <c r="AL264" s="55">
        <f>IF(AN264=21,I264,0)</f>
        <v>0</v>
      </c>
      <c r="AN264" s="55">
        <v>21</v>
      </c>
      <c r="AO264" s="55">
        <f>H264*0.915413534</f>
        <v>0</v>
      </c>
      <c r="AP264" s="55">
        <f>H264*(1-0.915413534)</f>
        <v>0</v>
      </c>
      <c r="AQ264" s="58" t="s">
        <v>120</v>
      </c>
      <c r="AV264" s="55">
        <f>AW264+AX264</f>
        <v>0</v>
      </c>
      <c r="AW264" s="55">
        <f>G264*AO264</f>
        <v>0</v>
      </c>
      <c r="AX264" s="55">
        <f>G264*AP264</f>
        <v>0</v>
      </c>
      <c r="AY264" s="58" t="s">
        <v>603</v>
      </c>
      <c r="AZ264" s="58" t="s">
        <v>443</v>
      </c>
      <c r="BA264" s="34" t="s">
        <v>128</v>
      </c>
      <c r="BB264" s="67">
        <v>100136</v>
      </c>
      <c r="BC264" s="55">
        <f>AW264+AX264</f>
        <v>0</v>
      </c>
      <c r="BD264" s="55">
        <f>H264/(100-BE264)*100</f>
        <v>0</v>
      </c>
      <c r="BE264" s="55">
        <v>0</v>
      </c>
      <c r="BF264" s="55">
        <f>K264</f>
        <v>0</v>
      </c>
      <c r="BH264" s="55">
        <f>G264*AO264</f>
        <v>0</v>
      </c>
      <c r="BI264" s="55">
        <f>G264*AP264</f>
        <v>0</v>
      </c>
      <c r="BJ264" s="55">
        <f>G264*H264</f>
        <v>0</v>
      </c>
      <c r="BK264" s="55"/>
      <c r="BL264" s="55">
        <v>2223</v>
      </c>
      <c r="BW264" s="55">
        <v>21</v>
      </c>
    </row>
    <row r="265" spans="1:12" ht="13.5" customHeight="1">
      <c r="A265" s="59"/>
      <c r="D265" s="218" t="s">
        <v>129</v>
      </c>
      <c r="E265" s="219"/>
      <c r="F265" s="219"/>
      <c r="G265" s="219"/>
      <c r="H265" s="219"/>
      <c r="I265" s="219"/>
      <c r="J265" s="219"/>
      <c r="K265" s="219"/>
      <c r="L265" s="221"/>
    </row>
    <row r="266" spans="1:75" ht="13.5" customHeight="1">
      <c r="A266" s="1" t="s">
        <v>625</v>
      </c>
      <c r="B266" s="2" t="s">
        <v>116</v>
      </c>
      <c r="C266" s="2" t="s">
        <v>626</v>
      </c>
      <c r="D266" s="147" t="s">
        <v>627</v>
      </c>
      <c r="E266" s="148"/>
      <c r="F266" s="2" t="s">
        <v>628</v>
      </c>
      <c r="G266" s="55">
        <f>'Stavební rozpočet-vyplnit'!G266</f>
        <v>1</v>
      </c>
      <c r="H266" s="55">
        <f>'Stavební rozpočet-vyplnit'!H266</f>
        <v>0</v>
      </c>
      <c r="I266" s="55">
        <f>G266*H266</f>
        <v>0</v>
      </c>
      <c r="J266" s="55">
        <f>'Stavební rozpočet-vyplnit'!J266</f>
        <v>0</v>
      </c>
      <c r="K266" s="55">
        <f>G266*J266</f>
        <v>0</v>
      </c>
      <c r="L266" s="57" t="s">
        <v>124</v>
      </c>
      <c r="Z266" s="55">
        <f>IF(AQ266="5",BJ266,0)</f>
        <v>0</v>
      </c>
      <c r="AB266" s="55">
        <f>IF(AQ266="1",BH266,0)</f>
        <v>0</v>
      </c>
      <c r="AC266" s="55">
        <f>IF(AQ266="1",BI266,0)</f>
        <v>0</v>
      </c>
      <c r="AD266" s="55">
        <f>IF(AQ266="7",BH266,0)</f>
        <v>0</v>
      </c>
      <c r="AE266" s="55">
        <f>IF(AQ266="7",BI266,0)</f>
        <v>0</v>
      </c>
      <c r="AF266" s="55">
        <f>IF(AQ266="2",BH266,0)</f>
        <v>0</v>
      </c>
      <c r="AG266" s="55">
        <f>IF(AQ266="2",BI266,0)</f>
        <v>0</v>
      </c>
      <c r="AH266" s="55">
        <f>IF(AQ266="0",BJ266,0)</f>
        <v>0</v>
      </c>
      <c r="AI266" s="34" t="s">
        <v>116</v>
      </c>
      <c r="AJ266" s="55">
        <f>IF(AN266=0,I266,0)</f>
        <v>0</v>
      </c>
      <c r="AK266" s="55">
        <f>IF(AN266=12,I266,0)</f>
        <v>0</v>
      </c>
      <c r="AL266" s="55">
        <f>IF(AN266=21,I266,0)</f>
        <v>0</v>
      </c>
      <c r="AN266" s="55">
        <v>21</v>
      </c>
      <c r="AO266" s="55">
        <f>H266*0.5</f>
        <v>0</v>
      </c>
      <c r="AP266" s="55">
        <f>H266*(1-0.5)</f>
        <v>0</v>
      </c>
      <c r="AQ266" s="58" t="s">
        <v>120</v>
      </c>
      <c r="AV266" s="55">
        <f>AW266+AX266</f>
        <v>0</v>
      </c>
      <c r="AW266" s="55">
        <f>G266*AO266</f>
        <v>0</v>
      </c>
      <c r="AX266" s="55">
        <f>G266*AP266</f>
        <v>0</v>
      </c>
      <c r="AY266" s="58" t="s">
        <v>603</v>
      </c>
      <c r="AZ266" s="58" t="s">
        <v>443</v>
      </c>
      <c r="BA266" s="34" t="s">
        <v>128</v>
      </c>
      <c r="BB266" s="67">
        <v>100136</v>
      </c>
      <c r="BC266" s="55">
        <f>AW266+AX266</f>
        <v>0</v>
      </c>
      <c r="BD266" s="55">
        <f>H266/(100-BE266)*100</f>
        <v>0</v>
      </c>
      <c r="BE266" s="55">
        <v>0</v>
      </c>
      <c r="BF266" s="55">
        <f>K266</f>
        <v>0</v>
      </c>
      <c r="BH266" s="55">
        <f>G266*AO266</f>
        <v>0</v>
      </c>
      <c r="BI266" s="55">
        <f>G266*AP266</f>
        <v>0</v>
      </c>
      <c r="BJ266" s="55">
        <f>G266*H266</f>
        <v>0</v>
      </c>
      <c r="BK266" s="55"/>
      <c r="BL266" s="55">
        <v>2223</v>
      </c>
      <c r="BW266" s="55">
        <v>21</v>
      </c>
    </row>
    <row r="267" spans="1:12" ht="13.5" customHeight="1">
      <c r="A267" s="59"/>
      <c r="D267" s="218" t="s">
        <v>129</v>
      </c>
      <c r="E267" s="219"/>
      <c r="F267" s="219"/>
      <c r="G267" s="219"/>
      <c r="H267" s="219"/>
      <c r="I267" s="219"/>
      <c r="J267" s="219"/>
      <c r="K267" s="219"/>
      <c r="L267" s="221"/>
    </row>
    <row r="268" spans="1:75" ht="13.5" customHeight="1">
      <c r="A268" s="1" t="s">
        <v>629</v>
      </c>
      <c r="B268" s="2" t="s">
        <v>116</v>
      </c>
      <c r="C268" s="2" t="s">
        <v>630</v>
      </c>
      <c r="D268" s="147" t="s">
        <v>631</v>
      </c>
      <c r="E268" s="148"/>
      <c r="F268" s="2" t="s">
        <v>123</v>
      </c>
      <c r="G268" s="55">
        <f>'Stavební rozpočet-vyplnit'!G268</f>
        <v>1</v>
      </c>
      <c r="H268" s="55">
        <f>'Stavební rozpočet-vyplnit'!H268</f>
        <v>0</v>
      </c>
      <c r="I268" s="55">
        <f>G268*H268</f>
        <v>0</v>
      </c>
      <c r="J268" s="55">
        <f>'Stavební rozpočet-vyplnit'!J268</f>
        <v>0</v>
      </c>
      <c r="K268" s="55">
        <f>G268*J268</f>
        <v>0</v>
      </c>
      <c r="L268" s="57" t="s">
        <v>124</v>
      </c>
      <c r="Z268" s="55">
        <f>IF(AQ268="5",BJ268,0)</f>
        <v>0</v>
      </c>
      <c r="AB268" s="55">
        <f>IF(AQ268="1",BH268,0)</f>
        <v>0</v>
      </c>
      <c r="AC268" s="55">
        <f>IF(AQ268="1",BI268,0)</f>
        <v>0</v>
      </c>
      <c r="AD268" s="55">
        <f>IF(AQ268="7",BH268,0)</f>
        <v>0</v>
      </c>
      <c r="AE268" s="55">
        <f>IF(AQ268="7",BI268,0)</f>
        <v>0</v>
      </c>
      <c r="AF268" s="55">
        <f>IF(AQ268="2",BH268,0)</f>
        <v>0</v>
      </c>
      <c r="AG268" s="55">
        <f>IF(AQ268="2",BI268,0)</f>
        <v>0</v>
      </c>
      <c r="AH268" s="55">
        <f>IF(AQ268="0",BJ268,0)</f>
        <v>0</v>
      </c>
      <c r="AI268" s="34" t="s">
        <v>116</v>
      </c>
      <c r="AJ268" s="55">
        <f>IF(AN268=0,I268,0)</f>
        <v>0</v>
      </c>
      <c r="AK268" s="55">
        <f>IF(AN268=12,I268,0)</f>
        <v>0</v>
      </c>
      <c r="AL268" s="55">
        <f>IF(AN268=21,I268,0)</f>
        <v>0</v>
      </c>
      <c r="AN268" s="55">
        <v>21</v>
      </c>
      <c r="AO268" s="55">
        <f>H268*0.590909091</f>
        <v>0</v>
      </c>
      <c r="AP268" s="55">
        <f>H268*(1-0.590909091)</f>
        <v>0</v>
      </c>
      <c r="AQ268" s="58" t="s">
        <v>120</v>
      </c>
      <c r="AV268" s="55">
        <f>AW268+AX268</f>
        <v>0</v>
      </c>
      <c r="AW268" s="55">
        <f>G268*AO268</f>
        <v>0</v>
      </c>
      <c r="AX268" s="55">
        <f>G268*AP268</f>
        <v>0</v>
      </c>
      <c r="AY268" s="58" t="s">
        <v>603</v>
      </c>
      <c r="AZ268" s="58" t="s">
        <v>443</v>
      </c>
      <c r="BA268" s="34" t="s">
        <v>128</v>
      </c>
      <c r="BB268" s="67">
        <v>100136</v>
      </c>
      <c r="BC268" s="55">
        <f>AW268+AX268</f>
        <v>0</v>
      </c>
      <c r="BD268" s="55">
        <f>H268/(100-BE268)*100</f>
        <v>0</v>
      </c>
      <c r="BE268" s="55">
        <v>0</v>
      </c>
      <c r="BF268" s="55">
        <f>K268</f>
        <v>0</v>
      </c>
      <c r="BH268" s="55">
        <f>G268*AO268</f>
        <v>0</v>
      </c>
      <c r="BI268" s="55">
        <f>G268*AP268</f>
        <v>0</v>
      </c>
      <c r="BJ268" s="55">
        <f>G268*H268</f>
        <v>0</v>
      </c>
      <c r="BK268" s="55"/>
      <c r="BL268" s="55">
        <v>2223</v>
      </c>
      <c r="BW268" s="55">
        <v>21</v>
      </c>
    </row>
    <row r="269" spans="1:12" ht="13.5" customHeight="1">
      <c r="A269" s="59"/>
      <c r="D269" s="218" t="s">
        <v>129</v>
      </c>
      <c r="E269" s="219"/>
      <c r="F269" s="219"/>
      <c r="G269" s="219"/>
      <c r="H269" s="219"/>
      <c r="I269" s="219"/>
      <c r="J269" s="219"/>
      <c r="K269" s="219"/>
      <c r="L269" s="221"/>
    </row>
    <row r="270" spans="1:75" ht="13.5" customHeight="1">
      <c r="A270" s="1" t="s">
        <v>632</v>
      </c>
      <c r="B270" s="2" t="s">
        <v>116</v>
      </c>
      <c r="C270" s="2" t="s">
        <v>633</v>
      </c>
      <c r="D270" s="147" t="s">
        <v>634</v>
      </c>
      <c r="E270" s="148"/>
      <c r="F270" s="2" t="s">
        <v>123</v>
      </c>
      <c r="G270" s="55">
        <f>'Stavební rozpočet-vyplnit'!G270</f>
        <v>1</v>
      </c>
      <c r="H270" s="55">
        <f>'Stavební rozpočet-vyplnit'!H270</f>
        <v>0</v>
      </c>
      <c r="I270" s="55">
        <f>G270*H270</f>
        <v>0</v>
      </c>
      <c r="J270" s="55">
        <f>'Stavební rozpočet-vyplnit'!J270</f>
        <v>0</v>
      </c>
      <c r="K270" s="55">
        <f>G270*J270</f>
        <v>0</v>
      </c>
      <c r="L270" s="57" t="s">
        <v>124</v>
      </c>
      <c r="Z270" s="55">
        <f>IF(AQ270="5",BJ270,0)</f>
        <v>0</v>
      </c>
      <c r="AB270" s="55">
        <f>IF(AQ270="1",BH270,0)</f>
        <v>0</v>
      </c>
      <c r="AC270" s="55">
        <f>IF(AQ270="1",BI270,0)</f>
        <v>0</v>
      </c>
      <c r="AD270" s="55">
        <f>IF(AQ270="7",BH270,0)</f>
        <v>0</v>
      </c>
      <c r="AE270" s="55">
        <f>IF(AQ270="7",BI270,0)</f>
        <v>0</v>
      </c>
      <c r="AF270" s="55">
        <f>IF(AQ270="2",BH270,0)</f>
        <v>0</v>
      </c>
      <c r="AG270" s="55">
        <f>IF(AQ270="2",BI270,0)</f>
        <v>0</v>
      </c>
      <c r="AH270" s="55">
        <f>IF(AQ270="0",BJ270,0)</f>
        <v>0</v>
      </c>
      <c r="AI270" s="34" t="s">
        <v>116</v>
      </c>
      <c r="AJ270" s="55">
        <f>IF(AN270=0,I270,0)</f>
        <v>0</v>
      </c>
      <c r="AK270" s="55">
        <f>IF(AN270=12,I270,0)</f>
        <v>0</v>
      </c>
      <c r="AL270" s="55">
        <f>IF(AN270=21,I270,0)</f>
        <v>0</v>
      </c>
      <c r="AN270" s="55">
        <v>21</v>
      </c>
      <c r="AO270" s="55">
        <f>H270*0.685314685</f>
        <v>0</v>
      </c>
      <c r="AP270" s="55">
        <f>H270*(1-0.685314685)</f>
        <v>0</v>
      </c>
      <c r="AQ270" s="58" t="s">
        <v>120</v>
      </c>
      <c r="AV270" s="55">
        <f>AW270+AX270</f>
        <v>0</v>
      </c>
      <c r="AW270" s="55">
        <f>G270*AO270</f>
        <v>0</v>
      </c>
      <c r="AX270" s="55">
        <f>G270*AP270</f>
        <v>0</v>
      </c>
      <c r="AY270" s="58" t="s">
        <v>603</v>
      </c>
      <c r="AZ270" s="58" t="s">
        <v>443</v>
      </c>
      <c r="BA270" s="34" t="s">
        <v>128</v>
      </c>
      <c r="BB270" s="67">
        <v>100136</v>
      </c>
      <c r="BC270" s="55">
        <f>AW270+AX270</f>
        <v>0</v>
      </c>
      <c r="BD270" s="55">
        <f>H270/(100-BE270)*100</f>
        <v>0</v>
      </c>
      <c r="BE270" s="55">
        <v>0</v>
      </c>
      <c r="BF270" s="55">
        <f>K270</f>
        <v>0</v>
      </c>
      <c r="BH270" s="55">
        <f>G270*AO270</f>
        <v>0</v>
      </c>
      <c r="BI270" s="55">
        <f>G270*AP270</f>
        <v>0</v>
      </c>
      <c r="BJ270" s="55">
        <f>G270*H270</f>
        <v>0</v>
      </c>
      <c r="BK270" s="55"/>
      <c r="BL270" s="55">
        <v>2223</v>
      </c>
      <c r="BW270" s="55">
        <v>21</v>
      </c>
    </row>
    <row r="271" spans="1:12" ht="13.5" customHeight="1">
      <c r="A271" s="59"/>
      <c r="D271" s="218" t="s">
        <v>129</v>
      </c>
      <c r="E271" s="219"/>
      <c r="F271" s="219"/>
      <c r="G271" s="219"/>
      <c r="H271" s="219"/>
      <c r="I271" s="219"/>
      <c r="J271" s="219"/>
      <c r="K271" s="219"/>
      <c r="L271" s="221"/>
    </row>
    <row r="272" spans="1:75" ht="13.5" customHeight="1">
      <c r="A272" s="1" t="s">
        <v>635</v>
      </c>
      <c r="B272" s="2" t="s">
        <v>116</v>
      </c>
      <c r="C272" s="2" t="s">
        <v>636</v>
      </c>
      <c r="D272" s="147" t="s">
        <v>637</v>
      </c>
      <c r="E272" s="148"/>
      <c r="F272" s="2" t="s">
        <v>174</v>
      </c>
      <c r="G272" s="55">
        <f>'Stavební rozpočet-vyplnit'!G272</f>
        <v>250</v>
      </c>
      <c r="H272" s="55">
        <f>'Stavební rozpočet-vyplnit'!H272</f>
        <v>0</v>
      </c>
      <c r="I272" s="55">
        <f>G272*H272</f>
        <v>0</v>
      </c>
      <c r="J272" s="55">
        <f>'Stavební rozpočet-vyplnit'!J272</f>
        <v>0</v>
      </c>
      <c r="K272" s="55">
        <f>G272*J272</f>
        <v>0</v>
      </c>
      <c r="L272" s="57" t="s">
        <v>124</v>
      </c>
      <c r="Z272" s="55">
        <f>IF(AQ272="5",BJ272,0)</f>
        <v>0</v>
      </c>
      <c r="AB272" s="55">
        <f>IF(AQ272="1",BH272,0)</f>
        <v>0</v>
      </c>
      <c r="AC272" s="55">
        <f>IF(AQ272="1",BI272,0)</f>
        <v>0</v>
      </c>
      <c r="AD272" s="55">
        <f>IF(AQ272="7",BH272,0)</f>
        <v>0</v>
      </c>
      <c r="AE272" s="55">
        <f>IF(AQ272="7",BI272,0)</f>
        <v>0</v>
      </c>
      <c r="AF272" s="55">
        <f>IF(AQ272="2",BH272,0)</f>
        <v>0</v>
      </c>
      <c r="AG272" s="55">
        <f>IF(AQ272="2",BI272,0)</f>
        <v>0</v>
      </c>
      <c r="AH272" s="55">
        <f>IF(AQ272="0",BJ272,0)</f>
        <v>0</v>
      </c>
      <c r="AI272" s="34" t="s">
        <v>116</v>
      </c>
      <c r="AJ272" s="55">
        <f>IF(AN272=0,I272,0)</f>
        <v>0</v>
      </c>
      <c r="AK272" s="55">
        <f>IF(AN272=12,I272,0)</f>
        <v>0</v>
      </c>
      <c r="AL272" s="55">
        <f>IF(AN272=21,I272,0)</f>
        <v>0</v>
      </c>
      <c r="AN272" s="55">
        <v>21</v>
      </c>
      <c r="AO272" s="55">
        <f>H272*0.45</f>
        <v>0</v>
      </c>
      <c r="AP272" s="55">
        <f>H272*(1-0.45)</f>
        <v>0</v>
      </c>
      <c r="AQ272" s="58" t="s">
        <v>120</v>
      </c>
      <c r="AV272" s="55">
        <f>AW272+AX272</f>
        <v>0</v>
      </c>
      <c r="AW272" s="55">
        <f>G272*AO272</f>
        <v>0</v>
      </c>
      <c r="AX272" s="55">
        <f>G272*AP272</f>
        <v>0</v>
      </c>
      <c r="AY272" s="58" t="s">
        <v>603</v>
      </c>
      <c r="AZ272" s="58" t="s">
        <v>443</v>
      </c>
      <c r="BA272" s="34" t="s">
        <v>128</v>
      </c>
      <c r="BB272" s="67">
        <v>100136</v>
      </c>
      <c r="BC272" s="55">
        <f>AW272+AX272</f>
        <v>0</v>
      </c>
      <c r="BD272" s="55">
        <f>H272/(100-BE272)*100</f>
        <v>0</v>
      </c>
      <c r="BE272" s="55">
        <v>0</v>
      </c>
      <c r="BF272" s="55">
        <f>K272</f>
        <v>0</v>
      </c>
      <c r="BH272" s="55">
        <f>G272*AO272</f>
        <v>0</v>
      </c>
      <c r="BI272" s="55">
        <f>G272*AP272</f>
        <v>0</v>
      </c>
      <c r="BJ272" s="55">
        <f>G272*H272</f>
        <v>0</v>
      </c>
      <c r="BK272" s="55"/>
      <c r="BL272" s="55">
        <v>2223</v>
      </c>
      <c r="BW272" s="55">
        <v>21</v>
      </c>
    </row>
    <row r="273" spans="1:12" ht="13.5" customHeight="1">
      <c r="A273" s="59"/>
      <c r="D273" s="218" t="s">
        <v>129</v>
      </c>
      <c r="E273" s="219"/>
      <c r="F273" s="219"/>
      <c r="G273" s="219"/>
      <c r="H273" s="219"/>
      <c r="I273" s="219"/>
      <c r="J273" s="219"/>
      <c r="K273" s="219"/>
      <c r="L273" s="221"/>
    </row>
    <row r="274" spans="1:75" ht="13.5" customHeight="1">
      <c r="A274" s="1" t="s">
        <v>638</v>
      </c>
      <c r="B274" s="2" t="s">
        <v>116</v>
      </c>
      <c r="C274" s="2" t="s">
        <v>639</v>
      </c>
      <c r="D274" s="147" t="s">
        <v>640</v>
      </c>
      <c r="E274" s="148"/>
      <c r="F274" s="2" t="s">
        <v>174</v>
      </c>
      <c r="G274" s="55">
        <f>'Stavební rozpočet-vyplnit'!G274</f>
        <v>250</v>
      </c>
      <c r="H274" s="55">
        <f>'Stavební rozpočet-vyplnit'!H274</f>
        <v>0</v>
      </c>
      <c r="I274" s="55">
        <f>G274*H274</f>
        <v>0</v>
      </c>
      <c r="J274" s="55">
        <f>'Stavební rozpočet-vyplnit'!J274</f>
        <v>0</v>
      </c>
      <c r="K274" s="55">
        <f>G274*J274</f>
        <v>0</v>
      </c>
      <c r="L274" s="57" t="s">
        <v>124</v>
      </c>
      <c r="Z274" s="55">
        <f>IF(AQ274="5",BJ274,0)</f>
        <v>0</v>
      </c>
      <c r="AB274" s="55">
        <f>IF(AQ274="1",BH274,0)</f>
        <v>0</v>
      </c>
      <c r="AC274" s="55">
        <f>IF(AQ274="1",BI274,0)</f>
        <v>0</v>
      </c>
      <c r="AD274" s="55">
        <f>IF(AQ274="7",BH274,0)</f>
        <v>0</v>
      </c>
      <c r="AE274" s="55">
        <f>IF(AQ274="7",BI274,0)</f>
        <v>0</v>
      </c>
      <c r="AF274" s="55">
        <f>IF(AQ274="2",BH274,0)</f>
        <v>0</v>
      </c>
      <c r="AG274" s="55">
        <f>IF(AQ274="2",BI274,0)</f>
        <v>0</v>
      </c>
      <c r="AH274" s="55">
        <f>IF(AQ274="0",BJ274,0)</f>
        <v>0</v>
      </c>
      <c r="AI274" s="34" t="s">
        <v>116</v>
      </c>
      <c r="AJ274" s="55">
        <f>IF(AN274=0,I274,0)</f>
        <v>0</v>
      </c>
      <c r="AK274" s="55">
        <f>IF(AN274=12,I274,0)</f>
        <v>0</v>
      </c>
      <c r="AL274" s="55">
        <f>IF(AN274=21,I274,0)</f>
        <v>0</v>
      </c>
      <c r="AN274" s="55">
        <v>21</v>
      </c>
      <c r="AO274" s="55">
        <f>H274*0.431818182</f>
        <v>0</v>
      </c>
      <c r="AP274" s="55">
        <f>H274*(1-0.431818182)</f>
        <v>0</v>
      </c>
      <c r="AQ274" s="58" t="s">
        <v>120</v>
      </c>
      <c r="AV274" s="55">
        <f>AW274+AX274</f>
        <v>0</v>
      </c>
      <c r="AW274" s="55">
        <f>G274*AO274</f>
        <v>0</v>
      </c>
      <c r="AX274" s="55">
        <f>G274*AP274</f>
        <v>0</v>
      </c>
      <c r="AY274" s="58" t="s">
        <v>603</v>
      </c>
      <c r="AZ274" s="58" t="s">
        <v>443</v>
      </c>
      <c r="BA274" s="34" t="s">
        <v>128</v>
      </c>
      <c r="BB274" s="67">
        <v>100136</v>
      </c>
      <c r="BC274" s="55">
        <f>AW274+AX274</f>
        <v>0</v>
      </c>
      <c r="BD274" s="55">
        <f>H274/(100-BE274)*100</f>
        <v>0</v>
      </c>
      <c r="BE274" s="55">
        <v>0</v>
      </c>
      <c r="BF274" s="55">
        <f>K274</f>
        <v>0</v>
      </c>
      <c r="BH274" s="55">
        <f>G274*AO274</f>
        <v>0</v>
      </c>
      <c r="BI274" s="55">
        <f>G274*AP274</f>
        <v>0</v>
      </c>
      <c r="BJ274" s="55">
        <f>G274*H274</f>
        <v>0</v>
      </c>
      <c r="BK274" s="55"/>
      <c r="BL274" s="55">
        <v>2223</v>
      </c>
      <c r="BW274" s="55">
        <v>21</v>
      </c>
    </row>
    <row r="275" spans="1:12" ht="13.5" customHeight="1">
      <c r="A275" s="59"/>
      <c r="D275" s="218" t="s">
        <v>129</v>
      </c>
      <c r="E275" s="219"/>
      <c r="F275" s="219"/>
      <c r="G275" s="219"/>
      <c r="H275" s="219"/>
      <c r="I275" s="219"/>
      <c r="J275" s="219"/>
      <c r="K275" s="219"/>
      <c r="L275" s="221"/>
    </row>
    <row r="276" spans="1:75" ht="13.5" customHeight="1">
      <c r="A276" s="1" t="s">
        <v>641</v>
      </c>
      <c r="B276" s="2" t="s">
        <v>116</v>
      </c>
      <c r="C276" s="2" t="s">
        <v>642</v>
      </c>
      <c r="D276" s="147" t="s">
        <v>643</v>
      </c>
      <c r="E276" s="148"/>
      <c r="F276" s="2" t="s">
        <v>174</v>
      </c>
      <c r="G276" s="55">
        <f>'Stavební rozpočet-vyplnit'!G276</f>
        <v>450</v>
      </c>
      <c r="H276" s="55">
        <f>'Stavební rozpočet-vyplnit'!H276</f>
        <v>0</v>
      </c>
      <c r="I276" s="55">
        <f>G276*H276</f>
        <v>0</v>
      </c>
      <c r="J276" s="55">
        <f>'Stavební rozpočet-vyplnit'!J276</f>
        <v>0</v>
      </c>
      <c r="K276" s="55">
        <f>G276*J276</f>
        <v>0</v>
      </c>
      <c r="L276" s="57" t="s">
        <v>124</v>
      </c>
      <c r="Z276" s="55">
        <f>IF(AQ276="5",BJ276,0)</f>
        <v>0</v>
      </c>
      <c r="AB276" s="55">
        <f>IF(AQ276="1",BH276,0)</f>
        <v>0</v>
      </c>
      <c r="AC276" s="55">
        <f>IF(AQ276="1",BI276,0)</f>
        <v>0</v>
      </c>
      <c r="AD276" s="55">
        <f>IF(AQ276="7",BH276,0)</f>
        <v>0</v>
      </c>
      <c r="AE276" s="55">
        <f>IF(AQ276="7",BI276,0)</f>
        <v>0</v>
      </c>
      <c r="AF276" s="55">
        <f>IF(AQ276="2",BH276,0)</f>
        <v>0</v>
      </c>
      <c r="AG276" s="55">
        <f>IF(AQ276="2",BI276,0)</f>
        <v>0</v>
      </c>
      <c r="AH276" s="55">
        <f>IF(AQ276="0",BJ276,0)</f>
        <v>0</v>
      </c>
      <c r="AI276" s="34" t="s">
        <v>116</v>
      </c>
      <c r="AJ276" s="55">
        <f>IF(AN276=0,I276,0)</f>
        <v>0</v>
      </c>
      <c r="AK276" s="55">
        <f>IF(AN276=12,I276,0)</f>
        <v>0</v>
      </c>
      <c r="AL276" s="55">
        <f>IF(AN276=21,I276,0)</f>
        <v>0</v>
      </c>
      <c r="AN276" s="55">
        <v>21</v>
      </c>
      <c r="AO276" s="55">
        <f>H276*0.333333333</f>
        <v>0</v>
      </c>
      <c r="AP276" s="55">
        <f>H276*(1-0.333333333)</f>
        <v>0</v>
      </c>
      <c r="AQ276" s="58" t="s">
        <v>120</v>
      </c>
      <c r="AV276" s="55">
        <f>AW276+AX276</f>
        <v>0</v>
      </c>
      <c r="AW276" s="55">
        <f>G276*AO276</f>
        <v>0</v>
      </c>
      <c r="AX276" s="55">
        <f>G276*AP276</f>
        <v>0</v>
      </c>
      <c r="AY276" s="58" t="s">
        <v>603</v>
      </c>
      <c r="AZ276" s="58" t="s">
        <v>443</v>
      </c>
      <c r="BA276" s="34" t="s">
        <v>128</v>
      </c>
      <c r="BB276" s="67">
        <v>100136</v>
      </c>
      <c r="BC276" s="55">
        <f>AW276+AX276</f>
        <v>0</v>
      </c>
      <c r="BD276" s="55">
        <f>H276/(100-BE276)*100</f>
        <v>0</v>
      </c>
      <c r="BE276" s="55">
        <v>0</v>
      </c>
      <c r="BF276" s="55">
        <f>K276</f>
        <v>0</v>
      </c>
      <c r="BH276" s="55">
        <f>G276*AO276</f>
        <v>0</v>
      </c>
      <c r="BI276" s="55">
        <f>G276*AP276</f>
        <v>0</v>
      </c>
      <c r="BJ276" s="55">
        <f>G276*H276</f>
        <v>0</v>
      </c>
      <c r="BK276" s="55"/>
      <c r="BL276" s="55">
        <v>2223</v>
      </c>
      <c r="BW276" s="55">
        <v>21</v>
      </c>
    </row>
    <row r="277" spans="1:12" ht="13.5" customHeight="1">
      <c r="A277" s="59"/>
      <c r="D277" s="218" t="s">
        <v>129</v>
      </c>
      <c r="E277" s="219"/>
      <c r="F277" s="219"/>
      <c r="G277" s="219"/>
      <c r="H277" s="219"/>
      <c r="I277" s="219"/>
      <c r="J277" s="219"/>
      <c r="K277" s="219"/>
      <c r="L277" s="221"/>
    </row>
    <row r="278" spans="1:75" ht="13.5" customHeight="1">
      <c r="A278" s="1" t="s">
        <v>644</v>
      </c>
      <c r="B278" s="2" t="s">
        <v>116</v>
      </c>
      <c r="C278" s="2" t="s">
        <v>645</v>
      </c>
      <c r="D278" s="147" t="s">
        <v>646</v>
      </c>
      <c r="E278" s="148"/>
      <c r="F278" s="2" t="s">
        <v>174</v>
      </c>
      <c r="G278" s="55">
        <f>'Stavební rozpočet-vyplnit'!G278</f>
        <v>50</v>
      </c>
      <c r="H278" s="55">
        <f>'Stavební rozpočet-vyplnit'!H278</f>
        <v>0</v>
      </c>
      <c r="I278" s="55">
        <f>G278*H278</f>
        <v>0</v>
      </c>
      <c r="J278" s="55">
        <f>'Stavební rozpočet-vyplnit'!J278</f>
        <v>0</v>
      </c>
      <c r="K278" s="55">
        <f>G278*J278</f>
        <v>0</v>
      </c>
      <c r="L278" s="57" t="s">
        <v>124</v>
      </c>
      <c r="Z278" s="55">
        <f>IF(AQ278="5",BJ278,0)</f>
        <v>0</v>
      </c>
      <c r="AB278" s="55">
        <f>IF(AQ278="1",BH278,0)</f>
        <v>0</v>
      </c>
      <c r="AC278" s="55">
        <f>IF(AQ278="1",BI278,0)</f>
        <v>0</v>
      </c>
      <c r="AD278" s="55">
        <f>IF(AQ278="7",BH278,0)</f>
        <v>0</v>
      </c>
      <c r="AE278" s="55">
        <f>IF(AQ278="7",BI278,0)</f>
        <v>0</v>
      </c>
      <c r="AF278" s="55">
        <f>IF(AQ278="2",BH278,0)</f>
        <v>0</v>
      </c>
      <c r="AG278" s="55">
        <f>IF(AQ278="2",BI278,0)</f>
        <v>0</v>
      </c>
      <c r="AH278" s="55">
        <f>IF(AQ278="0",BJ278,0)</f>
        <v>0</v>
      </c>
      <c r="AI278" s="34" t="s">
        <v>116</v>
      </c>
      <c r="AJ278" s="55">
        <f>IF(AN278=0,I278,0)</f>
        <v>0</v>
      </c>
      <c r="AK278" s="55">
        <f>IF(AN278=12,I278,0)</f>
        <v>0</v>
      </c>
      <c r="AL278" s="55">
        <f>IF(AN278=21,I278,0)</f>
        <v>0</v>
      </c>
      <c r="AN278" s="55">
        <v>21</v>
      </c>
      <c r="AO278" s="55">
        <f>H278*0.466666667</f>
        <v>0</v>
      </c>
      <c r="AP278" s="55">
        <f>H278*(1-0.466666667)</f>
        <v>0</v>
      </c>
      <c r="AQ278" s="58" t="s">
        <v>120</v>
      </c>
      <c r="AV278" s="55">
        <f>AW278+AX278</f>
        <v>0</v>
      </c>
      <c r="AW278" s="55">
        <f>G278*AO278</f>
        <v>0</v>
      </c>
      <c r="AX278" s="55">
        <f>G278*AP278</f>
        <v>0</v>
      </c>
      <c r="AY278" s="58" t="s">
        <v>603</v>
      </c>
      <c r="AZ278" s="58" t="s">
        <v>443</v>
      </c>
      <c r="BA278" s="34" t="s">
        <v>128</v>
      </c>
      <c r="BB278" s="67">
        <v>100136</v>
      </c>
      <c r="BC278" s="55">
        <f>AW278+AX278</f>
        <v>0</v>
      </c>
      <c r="BD278" s="55">
        <f>H278/(100-BE278)*100</f>
        <v>0</v>
      </c>
      <c r="BE278" s="55">
        <v>0</v>
      </c>
      <c r="BF278" s="55">
        <f>K278</f>
        <v>0</v>
      </c>
      <c r="BH278" s="55">
        <f>G278*AO278</f>
        <v>0</v>
      </c>
      <c r="BI278" s="55">
        <f>G278*AP278</f>
        <v>0</v>
      </c>
      <c r="BJ278" s="55">
        <f>G278*H278</f>
        <v>0</v>
      </c>
      <c r="BK278" s="55"/>
      <c r="BL278" s="55">
        <v>2223</v>
      </c>
      <c r="BW278" s="55">
        <v>21</v>
      </c>
    </row>
    <row r="279" spans="1:12" ht="13.5" customHeight="1">
      <c r="A279" s="59"/>
      <c r="D279" s="218" t="s">
        <v>129</v>
      </c>
      <c r="E279" s="219"/>
      <c r="F279" s="219"/>
      <c r="G279" s="219"/>
      <c r="H279" s="219"/>
      <c r="I279" s="219"/>
      <c r="J279" s="219"/>
      <c r="K279" s="219"/>
      <c r="L279" s="221"/>
    </row>
    <row r="280" spans="1:75" ht="13.5" customHeight="1">
      <c r="A280" s="1" t="s">
        <v>647</v>
      </c>
      <c r="B280" s="2" t="s">
        <v>116</v>
      </c>
      <c r="C280" s="2" t="s">
        <v>648</v>
      </c>
      <c r="D280" s="147" t="s">
        <v>649</v>
      </c>
      <c r="E280" s="148"/>
      <c r="F280" s="2" t="s">
        <v>174</v>
      </c>
      <c r="G280" s="55">
        <f>'Stavební rozpočet-vyplnit'!G280</f>
        <v>50</v>
      </c>
      <c r="H280" s="55">
        <f>'Stavební rozpočet-vyplnit'!H280</f>
        <v>0</v>
      </c>
      <c r="I280" s="55">
        <f>G280*H280</f>
        <v>0</v>
      </c>
      <c r="J280" s="55">
        <f>'Stavební rozpočet-vyplnit'!J280</f>
        <v>0</v>
      </c>
      <c r="K280" s="55">
        <f>G280*J280</f>
        <v>0</v>
      </c>
      <c r="L280" s="57" t="s">
        <v>124</v>
      </c>
      <c r="Z280" s="55">
        <f>IF(AQ280="5",BJ280,0)</f>
        <v>0</v>
      </c>
      <c r="AB280" s="55">
        <f>IF(AQ280="1",BH280,0)</f>
        <v>0</v>
      </c>
      <c r="AC280" s="55">
        <f>IF(AQ280="1",BI280,0)</f>
        <v>0</v>
      </c>
      <c r="AD280" s="55">
        <f>IF(AQ280="7",BH280,0)</f>
        <v>0</v>
      </c>
      <c r="AE280" s="55">
        <f>IF(AQ280="7",BI280,0)</f>
        <v>0</v>
      </c>
      <c r="AF280" s="55">
        <f>IF(AQ280="2",BH280,0)</f>
        <v>0</v>
      </c>
      <c r="AG280" s="55">
        <f>IF(AQ280="2",BI280,0)</f>
        <v>0</v>
      </c>
      <c r="AH280" s="55">
        <f>IF(AQ280="0",BJ280,0)</f>
        <v>0</v>
      </c>
      <c r="AI280" s="34" t="s">
        <v>116</v>
      </c>
      <c r="AJ280" s="55">
        <f>IF(AN280=0,I280,0)</f>
        <v>0</v>
      </c>
      <c r="AK280" s="55">
        <f>IF(AN280=12,I280,0)</f>
        <v>0</v>
      </c>
      <c r="AL280" s="55">
        <f>IF(AN280=21,I280,0)</f>
        <v>0</v>
      </c>
      <c r="AN280" s="55">
        <v>21</v>
      </c>
      <c r="AO280" s="55">
        <f>H280*0.428571429</f>
        <v>0</v>
      </c>
      <c r="AP280" s="55">
        <f>H280*(1-0.428571429)</f>
        <v>0</v>
      </c>
      <c r="AQ280" s="58" t="s">
        <v>120</v>
      </c>
      <c r="AV280" s="55">
        <f>AW280+AX280</f>
        <v>0</v>
      </c>
      <c r="AW280" s="55">
        <f>G280*AO280</f>
        <v>0</v>
      </c>
      <c r="AX280" s="55">
        <f>G280*AP280</f>
        <v>0</v>
      </c>
      <c r="AY280" s="58" t="s">
        <v>603</v>
      </c>
      <c r="AZ280" s="58" t="s">
        <v>443</v>
      </c>
      <c r="BA280" s="34" t="s">
        <v>128</v>
      </c>
      <c r="BB280" s="67">
        <v>100136</v>
      </c>
      <c r="BC280" s="55">
        <f>AW280+AX280</f>
        <v>0</v>
      </c>
      <c r="BD280" s="55">
        <f>H280/(100-BE280)*100</f>
        <v>0</v>
      </c>
      <c r="BE280" s="55">
        <v>0</v>
      </c>
      <c r="BF280" s="55">
        <f>K280</f>
        <v>0</v>
      </c>
      <c r="BH280" s="55">
        <f>G280*AO280</f>
        <v>0</v>
      </c>
      <c r="BI280" s="55">
        <f>G280*AP280</f>
        <v>0</v>
      </c>
      <c r="BJ280" s="55">
        <f>G280*H280</f>
        <v>0</v>
      </c>
      <c r="BK280" s="55"/>
      <c r="BL280" s="55">
        <v>2223</v>
      </c>
      <c r="BW280" s="55">
        <v>21</v>
      </c>
    </row>
    <row r="281" spans="1:12" ht="13.5" customHeight="1">
      <c r="A281" s="59"/>
      <c r="D281" s="218" t="s">
        <v>129</v>
      </c>
      <c r="E281" s="219"/>
      <c r="F281" s="219"/>
      <c r="G281" s="219"/>
      <c r="H281" s="219"/>
      <c r="I281" s="219"/>
      <c r="J281" s="219"/>
      <c r="K281" s="219"/>
      <c r="L281" s="221"/>
    </row>
    <row r="282" spans="1:75" ht="13.5" customHeight="1">
      <c r="A282" s="1" t="s">
        <v>650</v>
      </c>
      <c r="B282" s="2" t="s">
        <v>116</v>
      </c>
      <c r="C282" s="2" t="s">
        <v>651</v>
      </c>
      <c r="D282" s="147" t="s">
        <v>652</v>
      </c>
      <c r="E282" s="148"/>
      <c r="F282" s="2" t="s">
        <v>123</v>
      </c>
      <c r="G282" s="55">
        <f>'Stavební rozpočet-vyplnit'!G282</f>
        <v>1</v>
      </c>
      <c r="H282" s="55">
        <f>'Stavební rozpočet-vyplnit'!H282</f>
        <v>0</v>
      </c>
      <c r="I282" s="55">
        <f>G282*H282</f>
        <v>0</v>
      </c>
      <c r="J282" s="55">
        <f>'Stavební rozpočet-vyplnit'!J282</f>
        <v>0</v>
      </c>
      <c r="K282" s="55">
        <f>G282*J282</f>
        <v>0</v>
      </c>
      <c r="L282" s="57" t="s">
        <v>124</v>
      </c>
      <c r="Z282" s="55">
        <f>IF(AQ282="5",BJ282,0)</f>
        <v>0</v>
      </c>
      <c r="AB282" s="55">
        <f>IF(AQ282="1",BH282,0)</f>
        <v>0</v>
      </c>
      <c r="AC282" s="55">
        <f>IF(AQ282="1",BI282,0)</f>
        <v>0</v>
      </c>
      <c r="AD282" s="55">
        <f>IF(AQ282="7",BH282,0)</f>
        <v>0</v>
      </c>
      <c r="AE282" s="55">
        <f>IF(AQ282="7",BI282,0)</f>
        <v>0</v>
      </c>
      <c r="AF282" s="55">
        <f>IF(AQ282="2",BH282,0)</f>
        <v>0</v>
      </c>
      <c r="AG282" s="55">
        <f>IF(AQ282="2",BI282,0)</f>
        <v>0</v>
      </c>
      <c r="AH282" s="55">
        <f>IF(AQ282="0",BJ282,0)</f>
        <v>0</v>
      </c>
      <c r="AI282" s="34" t="s">
        <v>116</v>
      </c>
      <c r="AJ282" s="55">
        <f>IF(AN282=0,I282,0)</f>
        <v>0</v>
      </c>
      <c r="AK282" s="55">
        <f>IF(AN282=12,I282,0)</f>
        <v>0</v>
      </c>
      <c r="AL282" s="55">
        <f>IF(AN282=21,I282,0)</f>
        <v>0</v>
      </c>
      <c r="AN282" s="55">
        <v>21</v>
      </c>
      <c r="AO282" s="55">
        <f>H282*0.545454545</f>
        <v>0</v>
      </c>
      <c r="AP282" s="55">
        <f>H282*(1-0.545454545)</f>
        <v>0</v>
      </c>
      <c r="AQ282" s="58" t="s">
        <v>120</v>
      </c>
      <c r="AV282" s="55">
        <f>AW282+AX282</f>
        <v>0</v>
      </c>
      <c r="AW282" s="55">
        <f>G282*AO282</f>
        <v>0</v>
      </c>
      <c r="AX282" s="55">
        <f>G282*AP282</f>
        <v>0</v>
      </c>
      <c r="AY282" s="58" t="s">
        <v>603</v>
      </c>
      <c r="AZ282" s="58" t="s">
        <v>443</v>
      </c>
      <c r="BA282" s="34" t="s">
        <v>128</v>
      </c>
      <c r="BB282" s="67">
        <v>100136</v>
      </c>
      <c r="BC282" s="55">
        <f>AW282+AX282</f>
        <v>0</v>
      </c>
      <c r="BD282" s="55">
        <f>H282/(100-BE282)*100</f>
        <v>0</v>
      </c>
      <c r="BE282" s="55">
        <v>0</v>
      </c>
      <c r="BF282" s="55">
        <f>K282</f>
        <v>0</v>
      </c>
      <c r="BH282" s="55">
        <f>G282*AO282</f>
        <v>0</v>
      </c>
      <c r="BI282" s="55">
        <f>G282*AP282</f>
        <v>0</v>
      </c>
      <c r="BJ282" s="55">
        <f>G282*H282</f>
        <v>0</v>
      </c>
      <c r="BK282" s="55"/>
      <c r="BL282" s="55">
        <v>2223</v>
      </c>
      <c r="BW282" s="55">
        <v>21</v>
      </c>
    </row>
    <row r="283" spans="1:12" ht="13.5" customHeight="1">
      <c r="A283" s="59"/>
      <c r="D283" s="218" t="s">
        <v>129</v>
      </c>
      <c r="E283" s="219"/>
      <c r="F283" s="219"/>
      <c r="G283" s="219"/>
      <c r="H283" s="219"/>
      <c r="I283" s="219"/>
      <c r="J283" s="219"/>
      <c r="K283" s="219"/>
      <c r="L283" s="221"/>
    </row>
    <row r="284" spans="1:75" ht="13.5" customHeight="1">
      <c r="A284" s="1" t="s">
        <v>653</v>
      </c>
      <c r="B284" s="2" t="s">
        <v>116</v>
      </c>
      <c r="C284" s="2" t="s">
        <v>654</v>
      </c>
      <c r="D284" s="147" t="s">
        <v>655</v>
      </c>
      <c r="E284" s="148"/>
      <c r="F284" s="2" t="s">
        <v>360</v>
      </c>
      <c r="G284" s="55">
        <f>'Stavební rozpočet-vyplnit'!G284</f>
        <v>12</v>
      </c>
      <c r="H284" s="55">
        <f>'Stavební rozpočet-vyplnit'!H284</f>
        <v>0</v>
      </c>
      <c r="I284" s="55">
        <f>G284*H284</f>
        <v>0</v>
      </c>
      <c r="J284" s="55">
        <f>'Stavební rozpočet-vyplnit'!J284</f>
        <v>0</v>
      </c>
      <c r="K284" s="55">
        <f>G284*J284</f>
        <v>0</v>
      </c>
      <c r="L284" s="57" t="s">
        <v>124</v>
      </c>
      <c r="Z284" s="55">
        <f>IF(AQ284="5",BJ284,0)</f>
        <v>0</v>
      </c>
      <c r="AB284" s="55">
        <f>IF(AQ284="1",BH284,0)</f>
        <v>0</v>
      </c>
      <c r="AC284" s="55">
        <f>IF(AQ284="1",BI284,0)</f>
        <v>0</v>
      </c>
      <c r="AD284" s="55">
        <f>IF(AQ284="7",BH284,0)</f>
        <v>0</v>
      </c>
      <c r="AE284" s="55">
        <f>IF(AQ284="7",BI284,0)</f>
        <v>0</v>
      </c>
      <c r="AF284" s="55">
        <f>IF(AQ284="2",BH284,0)</f>
        <v>0</v>
      </c>
      <c r="AG284" s="55">
        <f>IF(AQ284="2",BI284,0)</f>
        <v>0</v>
      </c>
      <c r="AH284" s="55">
        <f>IF(AQ284="0",BJ284,0)</f>
        <v>0</v>
      </c>
      <c r="AI284" s="34" t="s">
        <v>116</v>
      </c>
      <c r="AJ284" s="55">
        <f>IF(AN284=0,I284,0)</f>
        <v>0</v>
      </c>
      <c r="AK284" s="55">
        <f>IF(AN284=12,I284,0)</f>
        <v>0</v>
      </c>
      <c r="AL284" s="55">
        <f>IF(AN284=21,I284,0)</f>
        <v>0</v>
      </c>
      <c r="AN284" s="55">
        <v>21</v>
      </c>
      <c r="AO284" s="55">
        <f>H284*0</f>
        <v>0</v>
      </c>
      <c r="AP284" s="55">
        <f>H284*(1-0)</f>
        <v>0</v>
      </c>
      <c r="AQ284" s="58" t="s">
        <v>120</v>
      </c>
      <c r="AV284" s="55">
        <f>AW284+AX284</f>
        <v>0</v>
      </c>
      <c r="AW284" s="55">
        <f>G284*AO284</f>
        <v>0</v>
      </c>
      <c r="AX284" s="55">
        <f>G284*AP284</f>
        <v>0</v>
      </c>
      <c r="AY284" s="58" t="s">
        <v>603</v>
      </c>
      <c r="AZ284" s="58" t="s">
        <v>443</v>
      </c>
      <c r="BA284" s="34" t="s">
        <v>128</v>
      </c>
      <c r="BB284" s="67">
        <v>100136</v>
      </c>
      <c r="BC284" s="55">
        <f>AW284+AX284</f>
        <v>0</v>
      </c>
      <c r="BD284" s="55">
        <f>H284/(100-BE284)*100</f>
        <v>0</v>
      </c>
      <c r="BE284" s="55">
        <v>0</v>
      </c>
      <c r="BF284" s="55">
        <f>K284</f>
        <v>0</v>
      </c>
      <c r="BH284" s="55">
        <f>G284*AO284</f>
        <v>0</v>
      </c>
      <c r="BI284" s="55">
        <f>G284*AP284</f>
        <v>0</v>
      </c>
      <c r="BJ284" s="55">
        <f>G284*H284</f>
        <v>0</v>
      </c>
      <c r="BK284" s="55"/>
      <c r="BL284" s="55">
        <v>2223</v>
      </c>
      <c r="BW284" s="55">
        <v>21</v>
      </c>
    </row>
    <row r="285" spans="1:75" ht="13.5" customHeight="1">
      <c r="A285" s="1" t="s">
        <v>656</v>
      </c>
      <c r="B285" s="2" t="s">
        <v>116</v>
      </c>
      <c r="C285" s="2" t="s">
        <v>657</v>
      </c>
      <c r="D285" s="147" t="s">
        <v>658</v>
      </c>
      <c r="E285" s="148"/>
      <c r="F285" s="2" t="s">
        <v>360</v>
      </c>
      <c r="G285" s="55">
        <f>'Stavební rozpočet-vyplnit'!G285</f>
        <v>8</v>
      </c>
      <c r="H285" s="55">
        <f>'Stavební rozpočet-vyplnit'!H285</f>
        <v>0</v>
      </c>
      <c r="I285" s="55">
        <f>G285*H285</f>
        <v>0</v>
      </c>
      <c r="J285" s="55">
        <f>'Stavební rozpočet-vyplnit'!J285</f>
        <v>0</v>
      </c>
      <c r="K285" s="55">
        <f>G285*J285</f>
        <v>0</v>
      </c>
      <c r="L285" s="57" t="s">
        <v>124</v>
      </c>
      <c r="Z285" s="55">
        <f>IF(AQ285="5",BJ285,0)</f>
        <v>0</v>
      </c>
      <c r="AB285" s="55">
        <f>IF(AQ285="1",BH285,0)</f>
        <v>0</v>
      </c>
      <c r="AC285" s="55">
        <f>IF(AQ285="1",BI285,0)</f>
        <v>0</v>
      </c>
      <c r="AD285" s="55">
        <f>IF(AQ285="7",BH285,0)</f>
        <v>0</v>
      </c>
      <c r="AE285" s="55">
        <f>IF(AQ285="7",BI285,0)</f>
        <v>0</v>
      </c>
      <c r="AF285" s="55">
        <f>IF(AQ285="2",BH285,0)</f>
        <v>0</v>
      </c>
      <c r="AG285" s="55">
        <f>IF(AQ285="2",BI285,0)</f>
        <v>0</v>
      </c>
      <c r="AH285" s="55">
        <f>IF(AQ285="0",BJ285,0)</f>
        <v>0</v>
      </c>
      <c r="AI285" s="34" t="s">
        <v>116</v>
      </c>
      <c r="AJ285" s="55">
        <f>IF(AN285=0,I285,0)</f>
        <v>0</v>
      </c>
      <c r="AK285" s="55">
        <f>IF(AN285=12,I285,0)</f>
        <v>0</v>
      </c>
      <c r="AL285" s="55">
        <f>IF(AN285=21,I285,0)</f>
        <v>0</v>
      </c>
      <c r="AN285" s="55">
        <v>21</v>
      </c>
      <c r="AO285" s="55">
        <f>H285*0</f>
        <v>0</v>
      </c>
      <c r="AP285" s="55">
        <f>H285*(1-0)</f>
        <v>0</v>
      </c>
      <c r="AQ285" s="58" t="s">
        <v>120</v>
      </c>
      <c r="AV285" s="55">
        <f>AW285+AX285</f>
        <v>0</v>
      </c>
      <c r="AW285" s="55">
        <f>G285*AO285</f>
        <v>0</v>
      </c>
      <c r="AX285" s="55">
        <f>G285*AP285</f>
        <v>0</v>
      </c>
      <c r="AY285" s="58" t="s">
        <v>603</v>
      </c>
      <c r="AZ285" s="58" t="s">
        <v>443</v>
      </c>
      <c r="BA285" s="34" t="s">
        <v>128</v>
      </c>
      <c r="BB285" s="67">
        <v>100136</v>
      </c>
      <c r="BC285" s="55">
        <f>AW285+AX285</f>
        <v>0</v>
      </c>
      <c r="BD285" s="55">
        <f>H285/(100-BE285)*100</f>
        <v>0</v>
      </c>
      <c r="BE285" s="55">
        <v>0</v>
      </c>
      <c r="BF285" s="55">
        <f>K285</f>
        <v>0</v>
      </c>
      <c r="BH285" s="55">
        <f>G285*AO285</f>
        <v>0</v>
      </c>
      <c r="BI285" s="55">
        <f>G285*AP285</f>
        <v>0</v>
      </c>
      <c r="BJ285" s="55">
        <f>G285*H285</f>
        <v>0</v>
      </c>
      <c r="BK285" s="55"/>
      <c r="BL285" s="55">
        <v>2223</v>
      </c>
      <c r="BW285" s="55">
        <v>21</v>
      </c>
    </row>
    <row r="286" spans="1:75" ht="13.5" customHeight="1">
      <c r="A286" s="1" t="s">
        <v>659</v>
      </c>
      <c r="B286" s="2" t="s">
        <v>116</v>
      </c>
      <c r="C286" s="2" t="s">
        <v>660</v>
      </c>
      <c r="D286" s="147" t="s">
        <v>476</v>
      </c>
      <c r="E286" s="148"/>
      <c r="F286" s="2" t="s">
        <v>360</v>
      </c>
      <c r="G286" s="55">
        <f>'Stavební rozpočet-vyplnit'!G286</f>
        <v>16</v>
      </c>
      <c r="H286" s="55">
        <f>'Stavební rozpočet-vyplnit'!H286</f>
        <v>0</v>
      </c>
      <c r="I286" s="55">
        <f>G286*H286</f>
        <v>0</v>
      </c>
      <c r="J286" s="55">
        <f>'Stavební rozpočet-vyplnit'!J286</f>
        <v>0</v>
      </c>
      <c r="K286" s="55">
        <f>G286*J286</f>
        <v>0</v>
      </c>
      <c r="L286" s="57" t="s">
        <v>124</v>
      </c>
      <c r="Z286" s="55">
        <f>IF(AQ286="5",BJ286,0)</f>
        <v>0</v>
      </c>
      <c r="AB286" s="55">
        <f>IF(AQ286="1",BH286,0)</f>
        <v>0</v>
      </c>
      <c r="AC286" s="55">
        <f>IF(AQ286="1",BI286,0)</f>
        <v>0</v>
      </c>
      <c r="AD286" s="55">
        <f>IF(AQ286="7",BH286,0)</f>
        <v>0</v>
      </c>
      <c r="AE286" s="55">
        <f>IF(AQ286="7",BI286,0)</f>
        <v>0</v>
      </c>
      <c r="AF286" s="55">
        <f>IF(AQ286="2",BH286,0)</f>
        <v>0</v>
      </c>
      <c r="AG286" s="55">
        <f>IF(AQ286="2",BI286,0)</f>
        <v>0</v>
      </c>
      <c r="AH286" s="55">
        <f>IF(AQ286="0",BJ286,0)</f>
        <v>0</v>
      </c>
      <c r="AI286" s="34" t="s">
        <v>116</v>
      </c>
      <c r="AJ286" s="55">
        <f>IF(AN286=0,I286,0)</f>
        <v>0</v>
      </c>
      <c r="AK286" s="55">
        <f>IF(AN286=12,I286,0)</f>
        <v>0</v>
      </c>
      <c r="AL286" s="55">
        <f>IF(AN286=21,I286,0)</f>
        <v>0</v>
      </c>
      <c r="AN286" s="55">
        <v>21</v>
      </c>
      <c r="AO286" s="55">
        <f>H286*0</f>
        <v>0</v>
      </c>
      <c r="AP286" s="55">
        <f>H286*(1-0)</f>
        <v>0</v>
      </c>
      <c r="AQ286" s="58" t="s">
        <v>120</v>
      </c>
      <c r="AV286" s="55">
        <f>AW286+AX286</f>
        <v>0</v>
      </c>
      <c r="AW286" s="55">
        <f>G286*AO286</f>
        <v>0</v>
      </c>
      <c r="AX286" s="55">
        <f>G286*AP286</f>
        <v>0</v>
      </c>
      <c r="AY286" s="58" t="s">
        <v>603</v>
      </c>
      <c r="AZ286" s="58" t="s">
        <v>443</v>
      </c>
      <c r="BA286" s="34" t="s">
        <v>128</v>
      </c>
      <c r="BB286" s="67">
        <v>100136</v>
      </c>
      <c r="BC286" s="55">
        <f>AW286+AX286</f>
        <v>0</v>
      </c>
      <c r="BD286" s="55">
        <f>H286/(100-BE286)*100</f>
        <v>0</v>
      </c>
      <c r="BE286" s="55">
        <v>0</v>
      </c>
      <c r="BF286" s="55">
        <f>K286</f>
        <v>0</v>
      </c>
      <c r="BH286" s="55">
        <f>G286*AO286</f>
        <v>0</v>
      </c>
      <c r="BI286" s="55">
        <f>G286*AP286</f>
        <v>0</v>
      </c>
      <c r="BJ286" s="55">
        <f>G286*H286</f>
        <v>0</v>
      </c>
      <c r="BK286" s="55"/>
      <c r="BL286" s="55">
        <v>2223</v>
      </c>
      <c r="BW286" s="55">
        <v>21</v>
      </c>
    </row>
    <row r="287" spans="1:75" ht="13.5" customHeight="1">
      <c r="A287" s="1" t="s">
        <v>661</v>
      </c>
      <c r="B287" s="2" t="s">
        <v>116</v>
      </c>
      <c r="C287" s="2" t="s">
        <v>662</v>
      </c>
      <c r="D287" s="147" t="s">
        <v>480</v>
      </c>
      <c r="E287" s="148"/>
      <c r="F287" s="2" t="s">
        <v>360</v>
      </c>
      <c r="G287" s="55">
        <f>'Stavební rozpočet-vyplnit'!G287</f>
        <v>8</v>
      </c>
      <c r="H287" s="55">
        <f>'Stavební rozpočet-vyplnit'!H287</f>
        <v>0</v>
      </c>
      <c r="I287" s="55">
        <f>G287*H287</f>
        <v>0</v>
      </c>
      <c r="J287" s="55">
        <f>'Stavební rozpočet-vyplnit'!J287</f>
        <v>0</v>
      </c>
      <c r="K287" s="55">
        <f>G287*J287</f>
        <v>0</v>
      </c>
      <c r="L287" s="57" t="s">
        <v>124</v>
      </c>
      <c r="Z287" s="55">
        <f>IF(AQ287="5",BJ287,0)</f>
        <v>0</v>
      </c>
      <c r="AB287" s="55">
        <f>IF(AQ287="1",BH287,0)</f>
        <v>0</v>
      </c>
      <c r="AC287" s="55">
        <f>IF(AQ287="1",BI287,0)</f>
        <v>0</v>
      </c>
      <c r="AD287" s="55">
        <f>IF(AQ287="7",BH287,0)</f>
        <v>0</v>
      </c>
      <c r="AE287" s="55">
        <f>IF(AQ287="7",BI287,0)</f>
        <v>0</v>
      </c>
      <c r="AF287" s="55">
        <f>IF(AQ287="2",BH287,0)</f>
        <v>0</v>
      </c>
      <c r="AG287" s="55">
        <f>IF(AQ287="2",BI287,0)</f>
        <v>0</v>
      </c>
      <c r="AH287" s="55">
        <f>IF(AQ287="0",BJ287,0)</f>
        <v>0</v>
      </c>
      <c r="AI287" s="34" t="s">
        <v>116</v>
      </c>
      <c r="AJ287" s="55">
        <f>IF(AN287=0,I287,0)</f>
        <v>0</v>
      </c>
      <c r="AK287" s="55">
        <f>IF(AN287=12,I287,0)</f>
        <v>0</v>
      </c>
      <c r="AL287" s="55">
        <f>IF(AN287=21,I287,0)</f>
        <v>0</v>
      </c>
      <c r="AN287" s="55">
        <v>21</v>
      </c>
      <c r="AO287" s="55">
        <f>H287*0</f>
        <v>0</v>
      </c>
      <c r="AP287" s="55">
        <f>H287*(1-0)</f>
        <v>0</v>
      </c>
      <c r="AQ287" s="58" t="s">
        <v>120</v>
      </c>
      <c r="AV287" s="55">
        <f>AW287+AX287</f>
        <v>0</v>
      </c>
      <c r="AW287" s="55">
        <f>G287*AO287</f>
        <v>0</v>
      </c>
      <c r="AX287" s="55">
        <f>G287*AP287</f>
        <v>0</v>
      </c>
      <c r="AY287" s="58" t="s">
        <v>603</v>
      </c>
      <c r="AZ287" s="58" t="s">
        <v>443</v>
      </c>
      <c r="BA287" s="34" t="s">
        <v>128</v>
      </c>
      <c r="BB287" s="67">
        <v>100136</v>
      </c>
      <c r="BC287" s="55">
        <f>AW287+AX287</f>
        <v>0</v>
      </c>
      <c r="BD287" s="55">
        <f>H287/(100-BE287)*100</f>
        <v>0</v>
      </c>
      <c r="BE287" s="55">
        <v>0</v>
      </c>
      <c r="BF287" s="55">
        <f>K287</f>
        <v>0</v>
      </c>
      <c r="BH287" s="55">
        <f>G287*AO287</f>
        <v>0</v>
      </c>
      <c r="BI287" s="55">
        <f>G287*AP287</f>
        <v>0</v>
      </c>
      <c r="BJ287" s="55">
        <f>G287*H287</f>
        <v>0</v>
      </c>
      <c r="BK287" s="55"/>
      <c r="BL287" s="55">
        <v>2223</v>
      </c>
      <c r="BW287" s="55">
        <v>21</v>
      </c>
    </row>
    <row r="288" spans="1:75" ht="13.5" customHeight="1">
      <c r="A288" s="1" t="s">
        <v>663</v>
      </c>
      <c r="B288" s="2" t="s">
        <v>116</v>
      </c>
      <c r="C288" s="2" t="s">
        <v>664</v>
      </c>
      <c r="D288" s="147" t="s">
        <v>483</v>
      </c>
      <c r="E288" s="148"/>
      <c r="F288" s="2" t="s">
        <v>360</v>
      </c>
      <c r="G288" s="55">
        <f>'Stavební rozpočet-vyplnit'!G288</f>
        <v>8</v>
      </c>
      <c r="H288" s="55">
        <f>'Stavební rozpočet-vyplnit'!H288</f>
        <v>0</v>
      </c>
      <c r="I288" s="55">
        <f>G288*H288</f>
        <v>0</v>
      </c>
      <c r="J288" s="55">
        <f>'Stavební rozpočet-vyplnit'!J288</f>
        <v>0</v>
      </c>
      <c r="K288" s="55">
        <f>G288*J288</f>
        <v>0</v>
      </c>
      <c r="L288" s="57" t="s">
        <v>124</v>
      </c>
      <c r="Z288" s="55">
        <f>IF(AQ288="5",BJ288,0)</f>
        <v>0</v>
      </c>
      <c r="AB288" s="55">
        <f>IF(AQ288="1",BH288,0)</f>
        <v>0</v>
      </c>
      <c r="AC288" s="55">
        <f>IF(AQ288="1",BI288,0)</f>
        <v>0</v>
      </c>
      <c r="AD288" s="55">
        <f>IF(AQ288="7",BH288,0)</f>
        <v>0</v>
      </c>
      <c r="AE288" s="55">
        <f>IF(AQ288="7",BI288,0)</f>
        <v>0</v>
      </c>
      <c r="AF288" s="55">
        <f>IF(AQ288="2",BH288,0)</f>
        <v>0</v>
      </c>
      <c r="AG288" s="55">
        <f>IF(AQ288="2",BI288,0)</f>
        <v>0</v>
      </c>
      <c r="AH288" s="55">
        <f>IF(AQ288="0",BJ288,0)</f>
        <v>0</v>
      </c>
      <c r="AI288" s="34" t="s">
        <v>116</v>
      </c>
      <c r="AJ288" s="55">
        <f>IF(AN288=0,I288,0)</f>
        <v>0</v>
      </c>
      <c r="AK288" s="55">
        <f>IF(AN288=12,I288,0)</f>
        <v>0</v>
      </c>
      <c r="AL288" s="55">
        <f>IF(AN288=21,I288,0)</f>
        <v>0</v>
      </c>
      <c r="AN288" s="55">
        <v>21</v>
      </c>
      <c r="AO288" s="55">
        <f>H288*0</f>
        <v>0</v>
      </c>
      <c r="AP288" s="55">
        <f>H288*(1-0)</f>
        <v>0</v>
      </c>
      <c r="AQ288" s="58" t="s">
        <v>120</v>
      </c>
      <c r="AV288" s="55">
        <f>AW288+AX288</f>
        <v>0</v>
      </c>
      <c r="AW288" s="55">
        <f>G288*AO288</f>
        <v>0</v>
      </c>
      <c r="AX288" s="55">
        <f>G288*AP288</f>
        <v>0</v>
      </c>
      <c r="AY288" s="58" t="s">
        <v>603</v>
      </c>
      <c r="AZ288" s="58" t="s">
        <v>443</v>
      </c>
      <c r="BA288" s="34" t="s">
        <v>128</v>
      </c>
      <c r="BB288" s="67">
        <v>100136</v>
      </c>
      <c r="BC288" s="55">
        <f>AW288+AX288</f>
        <v>0</v>
      </c>
      <c r="BD288" s="55">
        <f>H288/(100-BE288)*100</f>
        <v>0</v>
      </c>
      <c r="BE288" s="55">
        <v>0</v>
      </c>
      <c r="BF288" s="55">
        <f>K288</f>
        <v>0</v>
      </c>
      <c r="BH288" s="55">
        <f>G288*AO288</f>
        <v>0</v>
      </c>
      <c r="BI288" s="55">
        <f>G288*AP288</f>
        <v>0</v>
      </c>
      <c r="BJ288" s="55">
        <f>G288*H288</f>
        <v>0</v>
      </c>
      <c r="BK288" s="55"/>
      <c r="BL288" s="55">
        <v>2223</v>
      </c>
      <c r="BW288" s="55">
        <v>21</v>
      </c>
    </row>
    <row r="289" spans="1:47" ht="14.4">
      <c r="A289" s="50" t="s">
        <v>4</v>
      </c>
      <c r="B289" s="51" t="s">
        <v>116</v>
      </c>
      <c r="C289" s="51" t="s">
        <v>665</v>
      </c>
      <c r="D289" s="222" t="s">
        <v>666</v>
      </c>
      <c r="E289" s="223"/>
      <c r="F289" s="52" t="s">
        <v>79</v>
      </c>
      <c r="G289" s="52" t="s">
        <v>79</v>
      </c>
      <c r="H289" s="52" t="s">
        <v>79</v>
      </c>
      <c r="I289" s="27">
        <f>SUM(I290:I334)</f>
        <v>0</v>
      </c>
      <c r="J289" s="34" t="s">
        <v>4</v>
      </c>
      <c r="K289" s="27">
        <f>SUM(K290:K334)</f>
        <v>0</v>
      </c>
      <c r="L289" s="54" t="s">
        <v>4</v>
      </c>
      <c r="AI289" s="34" t="s">
        <v>116</v>
      </c>
      <c r="AS289" s="27">
        <f>SUM(AJ290:AJ334)</f>
        <v>0</v>
      </c>
      <c r="AT289" s="27">
        <f>SUM(AK290:AK334)</f>
        <v>0</v>
      </c>
      <c r="AU289" s="27">
        <f>SUM(AL290:AL334)</f>
        <v>0</v>
      </c>
    </row>
    <row r="290" spans="1:75" ht="13.5" customHeight="1">
      <c r="A290" s="1" t="s">
        <v>667</v>
      </c>
      <c r="B290" s="2" t="s">
        <v>116</v>
      </c>
      <c r="C290" s="2" t="s">
        <v>668</v>
      </c>
      <c r="D290" s="147" t="s">
        <v>669</v>
      </c>
      <c r="E290" s="148"/>
      <c r="F290" s="2" t="s">
        <v>174</v>
      </c>
      <c r="G290" s="55">
        <f>'Stavební rozpočet-vyplnit'!G290</f>
        <v>4</v>
      </c>
      <c r="H290" s="55">
        <f>'Stavební rozpočet-vyplnit'!H290</f>
        <v>0</v>
      </c>
      <c r="I290" s="55">
        <f>G290*H290</f>
        <v>0</v>
      </c>
      <c r="J290" s="55">
        <f>'Stavební rozpočet-vyplnit'!J290</f>
        <v>0</v>
      </c>
      <c r="K290" s="55">
        <f>G290*J290</f>
        <v>0</v>
      </c>
      <c r="L290" s="57" t="s">
        <v>124</v>
      </c>
      <c r="Z290" s="55">
        <f>IF(AQ290="5",BJ290,0)</f>
        <v>0</v>
      </c>
      <c r="AB290" s="55">
        <f>IF(AQ290="1",BH290,0)</f>
        <v>0</v>
      </c>
      <c r="AC290" s="55">
        <f>IF(AQ290="1",BI290,0)</f>
        <v>0</v>
      </c>
      <c r="AD290" s="55">
        <f>IF(AQ290="7",BH290,0)</f>
        <v>0</v>
      </c>
      <c r="AE290" s="55">
        <f>IF(AQ290="7",BI290,0)</f>
        <v>0</v>
      </c>
      <c r="AF290" s="55">
        <f>IF(AQ290="2",BH290,0)</f>
        <v>0</v>
      </c>
      <c r="AG290" s="55">
        <f>IF(AQ290="2",BI290,0)</f>
        <v>0</v>
      </c>
      <c r="AH290" s="55">
        <f>IF(AQ290="0",BJ290,0)</f>
        <v>0</v>
      </c>
      <c r="AI290" s="34" t="s">
        <v>116</v>
      </c>
      <c r="AJ290" s="55">
        <f>IF(AN290=0,I290,0)</f>
        <v>0</v>
      </c>
      <c r="AK290" s="55">
        <f>IF(AN290=12,I290,0)</f>
        <v>0</v>
      </c>
      <c r="AL290" s="55">
        <f>IF(AN290=21,I290,0)</f>
        <v>0</v>
      </c>
      <c r="AN290" s="55">
        <v>21</v>
      </c>
      <c r="AO290" s="55">
        <f>H290*0.766573296</f>
        <v>0</v>
      </c>
      <c r="AP290" s="55">
        <f>H290*(1-0.766573296)</f>
        <v>0</v>
      </c>
      <c r="AQ290" s="58" t="s">
        <v>120</v>
      </c>
      <c r="AV290" s="55">
        <f>AW290+AX290</f>
        <v>0</v>
      </c>
      <c r="AW290" s="55">
        <f>G290*AO290</f>
        <v>0</v>
      </c>
      <c r="AX290" s="55">
        <f>G290*AP290</f>
        <v>0</v>
      </c>
      <c r="AY290" s="58" t="s">
        <v>670</v>
      </c>
      <c r="AZ290" s="58" t="s">
        <v>443</v>
      </c>
      <c r="BA290" s="34" t="s">
        <v>128</v>
      </c>
      <c r="BB290" s="67">
        <v>100138</v>
      </c>
      <c r="BC290" s="55">
        <f>AW290+AX290</f>
        <v>0</v>
      </c>
      <c r="BD290" s="55">
        <f>H290/(100-BE290)*100</f>
        <v>0</v>
      </c>
      <c r="BE290" s="55">
        <v>0</v>
      </c>
      <c r="BF290" s="55">
        <f>K290</f>
        <v>0</v>
      </c>
      <c r="BH290" s="55">
        <f>G290*AO290</f>
        <v>0</v>
      </c>
      <c r="BI290" s="55">
        <f>G290*AP290</f>
        <v>0</v>
      </c>
      <c r="BJ290" s="55">
        <f>G290*H290</f>
        <v>0</v>
      </c>
      <c r="BK290" s="55"/>
      <c r="BL290" s="55">
        <v>2225</v>
      </c>
      <c r="BW290" s="55">
        <v>21</v>
      </c>
    </row>
    <row r="291" spans="1:12" ht="13.5" customHeight="1">
      <c r="A291" s="59"/>
      <c r="D291" s="218" t="s">
        <v>129</v>
      </c>
      <c r="E291" s="219"/>
      <c r="F291" s="219"/>
      <c r="G291" s="219"/>
      <c r="H291" s="219"/>
      <c r="I291" s="219"/>
      <c r="J291" s="219"/>
      <c r="K291" s="219"/>
      <c r="L291" s="221"/>
    </row>
    <row r="292" spans="1:75" ht="13.5" customHeight="1">
      <c r="A292" s="1" t="s">
        <v>671</v>
      </c>
      <c r="B292" s="2" t="s">
        <v>116</v>
      </c>
      <c r="C292" s="2" t="s">
        <v>672</v>
      </c>
      <c r="D292" s="147" t="s">
        <v>673</v>
      </c>
      <c r="E292" s="148"/>
      <c r="F292" s="2" t="s">
        <v>174</v>
      </c>
      <c r="G292" s="55">
        <f>'Stavební rozpočet-vyplnit'!G292</f>
        <v>4</v>
      </c>
      <c r="H292" s="55">
        <f>'Stavební rozpočet-vyplnit'!H292</f>
        <v>0</v>
      </c>
      <c r="I292" s="55">
        <f>G292*H292</f>
        <v>0</v>
      </c>
      <c r="J292" s="55">
        <f>'Stavební rozpočet-vyplnit'!J292</f>
        <v>0</v>
      </c>
      <c r="K292" s="55">
        <f>G292*J292</f>
        <v>0</v>
      </c>
      <c r="L292" s="57" t="s">
        <v>124</v>
      </c>
      <c r="Z292" s="55">
        <f>IF(AQ292="5",BJ292,0)</f>
        <v>0</v>
      </c>
      <c r="AB292" s="55">
        <f>IF(AQ292="1",BH292,0)</f>
        <v>0</v>
      </c>
      <c r="AC292" s="55">
        <f>IF(AQ292="1",BI292,0)</f>
        <v>0</v>
      </c>
      <c r="AD292" s="55">
        <f>IF(AQ292="7",BH292,0)</f>
        <v>0</v>
      </c>
      <c r="AE292" s="55">
        <f>IF(AQ292="7",BI292,0)</f>
        <v>0</v>
      </c>
      <c r="AF292" s="55">
        <f>IF(AQ292="2",BH292,0)</f>
        <v>0</v>
      </c>
      <c r="AG292" s="55">
        <f>IF(AQ292="2",BI292,0)</f>
        <v>0</v>
      </c>
      <c r="AH292" s="55">
        <f>IF(AQ292="0",BJ292,0)</f>
        <v>0</v>
      </c>
      <c r="AI292" s="34" t="s">
        <v>116</v>
      </c>
      <c r="AJ292" s="55">
        <f>IF(AN292=0,I292,0)</f>
        <v>0</v>
      </c>
      <c r="AK292" s="55">
        <f>IF(AN292=12,I292,0)</f>
        <v>0</v>
      </c>
      <c r="AL292" s="55">
        <f>IF(AN292=21,I292,0)</f>
        <v>0</v>
      </c>
      <c r="AN292" s="55">
        <v>21</v>
      </c>
      <c r="AO292" s="55">
        <f>H292*0.75975976</f>
        <v>0</v>
      </c>
      <c r="AP292" s="55">
        <f>H292*(1-0.75975976)</f>
        <v>0</v>
      </c>
      <c r="AQ292" s="58" t="s">
        <v>120</v>
      </c>
      <c r="AV292" s="55">
        <f>AW292+AX292</f>
        <v>0</v>
      </c>
      <c r="AW292" s="55">
        <f>G292*AO292</f>
        <v>0</v>
      </c>
      <c r="AX292" s="55">
        <f>G292*AP292</f>
        <v>0</v>
      </c>
      <c r="AY292" s="58" t="s">
        <v>670</v>
      </c>
      <c r="AZ292" s="58" t="s">
        <v>443</v>
      </c>
      <c r="BA292" s="34" t="s">
        <v>128</v>
      </c>
      <c r="BB292" s="67">
        <v>100138</v>
      </c>
      <c r="BC292" s="55">
        <f>AW292+AX292</f>
        <v>0</v>
      </c>
      <c r="BD292" s="55">
        <f>H292/(100-BE292)*100</f>
        <v>0</v>
      </c>
      <c r="BE292" s="55">
        <v>0</v>
      </c>
      <c r="BF292" s="55">
        <f>K292</f>
        <v>0</v>
      </c>
      <c r="BH292" s="55">
        <f>G292*AO292</f>
        <v>0</v>
      </c>
      <c r="BI292" s="55">
        <f>G292*AP292</f>
        <v>0</v>
      </c>
      <c r="BJ292" s="55">
        <f>G292*H292</f>
        <v>0</v>
      </c>
      <c r="BK292" s="55"/>
      <c r="BL292" s="55">
        <v>2225</v>
      </c>
      <c r="BW292" s="55">
        <v>21</v>
      </c>
    </row>
    <row r="293" spans="1:12" ht="13.5" customHeight="1">
      <c r="A293" s="59"/>
      <c r="D293" s="218" t="s">
        <v>129</v>
      </c>
      <c r="E293" s="219"/>
      <c r="F293" s="219"/>
      <c r="G293" s="219"/>
      <c r="H293" s="219"/>
      <c r="I293" s="219"/>
      <c r="J293" s="219"/>
      <c r="K293" s="219"/>
      <c r="L293" s="221"/>
    </row>
    <row r="294" spans="1:75" ht="13.5" customHeight="1">
      <c r="A294" s="1" t="s">
        <v>674</v>
      </c>
      <c r="B294" s="2" t="s">
        <v>116</v>
      </c>
      <c r="C294" s="2" t="s">
        <v>675</v>
      </c>
      <c r="D294" s="147" t="s">
        <v>676</v>
      </c>
      <c r="E294" s="148"/>
      <c r="F294" s="2" t="s">
        <v>123</v>
      </c>
      <c r="G294" s="55">
        <f>'Stavební rozpočet-vyplnit'!G294</f>
        <v>2</v>
      </c>
      <c r="H294" s="55">
        <f>'Stavební rozpočet-vyplnit'!H294</f>
        <v>0</v>
      </c>
      <c r="I294" s="55">
        <f>G294*H294</f>
        <v>0</v>
      </c>
      <c r="J294" s="55">
        <f>'Stavební rozpočet-vyplnit'!J294</f>
        <v>0</v>
      </c>
      <c r="K294" s="55">
        <f>G294*J294</f>
        <v>0</v>
      </c>
      <c r="L294" s="57" t="s">
        <v>124</v>
      </c>
      <c r="Z294" s="55">
        <f>IF(AQ294="5",BJ294,0)</f>
        <v>0</v>
      </c>
      <c r="AB294" s="55">
        <f>IF(AQ294="1",BH294,0)</f>
        <v>0</v>
      </c>
      <c r="AC294" s="55">
        <f>IF(AQ294="1",BI294,0)</f>
        <v>0</v>
      </c>
      <c r="AD294" s="55">
        <f>IF(AQ294="7",BH294,0)</f>
        <v>0</v>
      </c>
      <c r="AE294" s="55">
        <f>IF(AQ294="7",BI294,0)</f>
        <v>0</v>
      </c>
      <c r="AF294" s="55">
        <f>IF(AQ294="2",BH294,0)</f>
        <v>0</v>
      </c>
      <c r="AG294" s="55">
        <f>IF(AQ294="2",BI294,0)</f>
        <v>0</v>
      </c>
      <c r="AH294" s="55">
        <f>IF(AQ294="0",BJ294,0)</f>
        <v>0</v>
      </c>
      <c r="AI294" s="34" t="s">
        <v>116</v>
      </c>
      <c r="AJ294" s="55">
        <f>IF(AN294=0,I294,0)</f>
        <v>0</v>
      </c>
      <c r="AK294" s="55">
        <f>IF(AN294=12,I294,0)</f>
        <v>0</v>
      </c>
      <c r="AL294" s="55">
        <f>IF(AN294=21,I294,0)</f>
        <v>0</v>
      </c>
      <c r="AN294" s="55">
        <v>21</v>
      </c>
      <c r="AO294" s="55">
        <f>H294*0.671052632</f>
        <v>0</v>
      </c>
      <c r="AP294" s="55">
        <f>H294*(1-0.671052632)</f>
        <v>0</v>
      </c>
      <c r="AQ294" s="58" t="s">
        <v>120</v>
      </c>
      <c r="AV294" s="55">
        <f>AW294+AX294</f>
        <v>0</v>
      </c>
      <c r="AW294" s="55">
        <f>G294*AO294</f>
        <v>0</v>
      </c>
      <c r="AX294" s="55">
        <f>G294*AP294</f>
        <v>0</v>
      </c>
      <c r="AY294" s="58" t="s">
        <v>670</v>
      </c>
      <c r="AZ294" s="58" t="s">
        <v>443</v>
      </c>
      <c r="BA294" s="34" t="s">
        <v>128</v>
      </c>
      <c r="BB294" s="67">
        <v>100138</v>
      </c>
      <c r="BC294" s="55">
        <f>AW294+AX294</f>
        <v>0</v>
      </c>
      <c r="BD294" s="55">
        <f>H294/(100-BE294)*100</f>
        <v>0</v>
      </c>
      <c r="BE294" s="55">
        <v>0</v>
      </c>
      <c r="BF294" s="55">
        <f>K294</f>
        <v>0</v>
      </c>
      <c r="BH294" s="55">
        <f>G294*AO294</f>
        <v>0</v>
      </c>
      <c r="BI294" s="55">
        <f>G294*AP294</f>
        <v>0</v>
      </c>
      <c r="BJ294" s="55">
        <f>G294*H294</f>
        <v>0</v>
      </c>
      <c r="BK294" s="55"/>
      <c r="BL294" s="55">
        <v>2225</v>
      </c>
      <c r="BW294" s="55">
        <v>21</v>
      </c>
    </row>
    <row r="295" spans="1:12" ht="13.5" customHeight="1">
      <c r="A295" s="59"/>
      <c r="D295" s="218" t="s">
        <v>129</v>
      </c>
      <c r="E295" s="219"/>
      <c r="F295" s="219"/>
      <c r="G295" s="219"/>
      <c r="H295" s="219"/>
      <c r="I295" s="219"/>
      <c r="J295" s="219"/>
      <c r="K295" s="219"/>
      <c r="L295" s="221"/>
    </row>
    <row r="296" spans="1:75" ht="13.5" customHeight="1">
      <c r="A296" s="1" t="s">
        <v>677</v>
      </c>
      <c r="B296" s="2" t="s">
        <v>116</v>
      </c>
      <c r="C296" s="2" t="s">
        <v>678</v>
      </c>
      <c r="D296" s="147" t="s">
        <v>679</v>
      </c>
      <c r="E296" s="148"/>
      <c r="F296" s="2" t="s">
        <v>123</v>
      </c>
      <c r="G296" s="55">
        <f>'Stavební rozpočet-vyplnit'!G296</f>
        <v>2</v>
      </c>
      <c r="H296" s="55">
        <f>'Stavební rozpočet-vyplnit'!H296</f>
        <v>0</v>
      </c>
      <c r="I296" s="55">
        <f>G296*H296</f>
        <v>0</v>
      </c>
      <c r="J296" s="55">
        <f>'Stavební rozpočet-vyplnit'!J296</f>
        <v>0</v>
      </c>
      <c r="K296" s="55">
        <f>G296*J296</f>
        <v>0</v>
      </c>
      <c r="L296" s="57" t="s">
        <v>124</v>
      </c>
      <c r="Z296" s="55">
        <f>IF(AQ296="5",BJ296,0)</f>
        <v>0</v>
      </c>
      <c r="AB296" s="55">
        <f>IF(AQ296="1",BH296,0)</f>
        <v>0</v>
      </c>
      <c r="AC296" s="55">
        <f>IF(AQ296="1",BI296,0)</f>
        <v>0</v>
      </c>
      <c r="AD296" s="55">
        <f>IF(AQ296="7",BH296,0)</f>
        <v>0</v>
      </c>
      <c r="AE296" s="55">
        <f>IF(AQ296="7",BI296,0)</f>
        <v>0</v>
      </c>
      <c r="AF296" s="55">
        <f>IF(AQ296="2",BH296,0)</f>
        <v>0</v>
      </c>
      <c r="AG296" s="55">
        <f>IF(AQ296="2",BI296,0)</f>
        <v>0</v>
      </c>
      <c r="AH296" s="55">
        <f>IF(AQ296="0",BJ296,0)</f>
        <v>0</v>
      </c>
      <c r="AI296" s="34" t="s">
        <v>116</v>
      </c>
      <c r="AJ296" s="55">
        <f>IF(AN296=0,I296,0)</f>
        <v>0</v>
      </c>
      <c r="AK296" s="55">
        <f>IF(AN296=12,I296,0)</f>
        <v>0</v>
      </c>
      <c r="AL296" s="55">
        <f>IF(AN296=21,I296,0)</f>
        <v>0</v>
      </c>
      <c r="AN296" s="55">
        <v>21</v>
      </c>
      <c r="AO296" s="55">
        <f>H296*0.933110368</f>
        <v>0</v>
      </c>
      <c r="AP296" s="55">
        <f>H296*(1-0.933110368)</f>
        <v>0</v>
      </c>
      <c r="AQ296" s="58" t="s">
        <v>120</v>
      </c>
      <c r="AV296" s="55">
        <f>AW296+AX296</f>
        <v>0</v>
      </c>
      <c r="AW296" s="55">
        <f>G296*AO296</f>
        <v>0</v>
      </c>
      <c r="AX296" s="55">
        <f>G296*AP296</f>
        <v>0</v>
      </c>
      <c r="AY296" s="58" t="s">
        <v>670</v>
      </c>
      <c r="AZ296" s="58" t="s">
        <v>443</v>
      </c>
      <c r="BA296" s="34" t="s">
        <v>128</v>
      </c>
      <c r="BB296" s="67">
        <v>100138</v>
      </c>
      <c r="BC296" s="55">
        <f>AW296+AX296</f>
        <v>0</v>
      </c>
      <c r="BD296" s="55">
        <f>H296/(100-BE296)*100</f>
        <v>0</v>
      </c>
      <c r="BE296" s="55">
        <v>0</v>
      </c>
      <c r="BF296" s="55">
        <f>K296</f>
        <v>0</v>
      </c>
      <c r="BH296" s="55">
        <f>G296*AO296</f>
        <v>0</v>
      </c>
      <c r="BI296" s="55">
        <f>G296*AP296</f>
        <v>0</v>
      </c>
      <c r="BJ296" s="55">
        <f>G296*H296</f>
        <v>0</v>
      </c>
      <c r="BK296" s="55"/>
      <c r="BL296" s="55">
        <v>2225</v>
      </c>
      <c r="BW296" s="55">
        <v>21</v>
      </c>
    </row>
    <row r="297" spans="1:12" ht="13.5" customHeight="1">
      <c r="A297" s="59"/>
      <c r="D297" s="218" t="s">
        <v>129</v>
      </c>
      <c r="E297" s="219"/>
      <c r="F297" s="219"/>
      <c r="G297" s="219"/>
      <c r="H297" s="219"/>
      <c r="I297" s="219"/>
      <c r="J297" s="219"/>
      <c r="K297" s="219"/>
      <c r="L297" s="221"/>
    </row>
    <row r="298" spans="1:75" ht="13.5" customHeight="1">
      <c r="A298" s="1" t="s">
        <v>680</v>
      </c>
      <c r="B298" s="2" t="s">
        <v>116</v>
      </c>
      <c r="C298" s="2" t="s">
        <v>681</v>
      </c>
      <c r="D298" s="147" t="s">
        <v>682</v>
      </c>
      <c r="E298" s="148"/>
      <c r="F298" s="2" t="s">
        <v>174</v>
      </c>
      <c r="G298" s="55">
        <f>'Stavební rozpočet-vyplnit'!G298</f>
        <v>4</v>
      </c>
      <c r="H298" s="55">
        <f>'Stavební rozpočet-vyplnit'!H298</f>
        <v>0</v>
      </c>
      <c r="I298" s="55">
        <f>G298*H298</f>
        <v>0</v>
      </c>
      <c r="J298" s="55">
        <f>'Stavební rozpočet-vyplnit'!J298</f>
        <v>0</v>
      </c>
      <c r="K298" s="55">
        <f>G298*J298</f>
        <v>0</v>
      </c>
      <c r="L298" s="57" t="s">
        <v>124</v>
      </c>
      <c r="Z298" s="55">
        <f>IF(AQ298="5",BJ298,0)</f>
        <v>0</v>
      </c>
      <c r="AB298" s="55">
        <f>IF(AQ298="1",BH298,0)</f>
        <v>0</v>
      </c>
      <c r="AC298" s="55">
        <f>IF(AQ298="1",BI298,0)</f>
        <v>0</v>
      </c>
      <c r="AD298" s="55">
        <f>IF(AQ298="7",BH298,0)</f>
        <v>0</v>
      </c>
      <c r="AE298" s="55">
        <f>IF(AQ298="7",BI298,0)</f>
        <v>0</v>
      </c>
      <c r="AF298" s="55">
        <f>IF(AQ298="2",BH298,0)</f>
        <v>0</v>
      </c>
      <c r="AG298" s="55">
        <f>IF(AQ298="2",BI298,0)</f>
        <v>0</v>
      </c>
      <c r="AH298" s="55">
        <f>IF(AQ298="0",BJ298,0)</f>
        <v>0</v>
      </c>
      <c r="AI298" s="34" t="s">
        <v>116</v>
      </c>
      <c r="AJ298" s="55">
        <f>IF(AN298=0,I298,0)</f>
        <v>0</v>
      </c>
      <c r="AK298" s="55">
        <f>IF(AN298=12,I298,0)</f>
        <v>0</v>
      </c>
      <c r="AL298" s="55">
        <f>IF(AN298=21,I298,0)</f>
        <v>0</v>
      </c>
      <c r="AN298" s="55">
        <v>21</v>
      </c>
      <c r="AO298" s="55">
        <f>H298*0.826388889</f>
        <v>0</v>
      </c>
      <c r="AP298" s="55">
        <f>H298*(1-0.826388889)</f>
        <v>0</v>
      </c>
      <c r="AQ298" s="58" t="s">
        <v>120</v>
      </c>
      <c r="AV298" s="55">
        <f>AW298+AX298</f>
        <v>0</v>
      </c>
      <c r="AW298" s="55">
        <f>G298*AO298</f>
        <v>0</v>
      </c>
      <c r="AX298" s="55">
        <f>G298*AP298</f>
        <v>0</v>
      </c>
      <c r="AY298" s="58" t="s">
        <v>670</v>
      </c>
      <c r="AZ298" s="58" t="s">
        <v>443</v>
      </c>
      <c r="BA298" s="34" t="s">
        <v>128</v>
      </c>
      <c r="BB298" s="67">
        <v>100138</v>
      </c>
      <c r="BC298" s="55">
        <f>AW298+AX298</f>
        <v>0</v>
      </c>
      <c r="BD298" s="55">
        <f>H298/(100-BE298)*100</f>
        <v>0</v>
      </c>
      <c r="BE298" s="55">
        <v>0</v>
      </c>
      <c r="BF298" s="55">
        <f>K298</f>
        <v>0</v>
      </c>
      <c r="BH298" s="55">
        <f>G298*AO298</f>
        <v>0</v>
      </c>
      <c r="BI298" s="55">
        <f>G298*AP298</f>
        <v>0</v>
      </c>
      <c r="BJ298" s="55">
        <f>G298*H298</f>
        <v>0</v>
      </c>
      <c r="BK298" s="55"/>
      <c r="BL298" s="55">
        <v>2225</v>
      </c>
      <c r="BW298" s="55">
        <v>21</v>
      </c>
    </row>
    <row r="299" spans="1:12" ht="13.5" customHeight="1">
      <c r="A299" s="59"/>
      <c r="D299" s="218" t="s">
        <v>129</v>
      </c>
      <c r="E299" s="219"/>
      <c r="F299" s="219"/>
      <c r="G299" s="219"/>
      <c r="H299" s="219"/>
      <c r="I299" s="219"/>
      <c r="J299" s="219"/>
      <c r="K299" s="219"/>
      <c r="L299" s="221"/>
    </row>
    <row r="300" spans="1:75" ht="13.5" customHeight="1">
      <c r="A300" s="1" t="s">
        <v>683</v>
      </c>
      <c r="B300" s="2" t="s">
        <v>116</v>
      </c>
      <c r="C300" s="2" t="s">
        <v>684</v>
      </c>
      <c r="D300" s="147" t="s">
        <v>685</v>
      </c>
      <c r="E300" s="148"/>
      <c r="F300" s="2" t="s">
        <v>174</v>
      </c>
      <c r="G300" s="55">
        <f>'Stavební rozpočet-vyplnit'!G300</f>
        <v>880</v>
      </c>
      <c r="H300" s="55">
        <f>'Stavební rozpočet-vyplnit'!H300</f>
        <v>0</v>
      </c>
      <c r="I300" s="55">
        <f>G300*H300</f>
        <v>0</v>
      </c>
      <c r="J300" s="55">
        <f>'Stavební rozpočet-vyplnit'!J300</f>
        <v>0</v>
      </c>
      <c r="K300" s="55">
        <f>G300*J300</f>
        <v>0</v>
      </c>
      <c r="L300" s="57" t="s">
        <v>124</v>
      </c>
      <c r="Z300" s="55">
        <f>IF(AQ300="5",BJ300,0)</f>
        <v>0</v>
      </c>
      <c r="AB300" s="55">
        <f>IF(AQ300="1",BH300,0)</f>
        <v>0</v>
      </c>
      <c r="AC300" s="55">
        <f>IF(AQ300="1",BI300,0)</f>
        <v>0</v>
      </c>
      <c r="AD300" s="55">
        <f>IF(AQ300="7",BH300,0)</f>
        <v>0</v>
      </c>
      <c r="AE300" s="55">
        <f>IF(AQ300="7",BI300,0)</f>
        <v>0</v>
      </c>
      <c r="AF300" s="55">
        <f>IF(AQ300="2",BH300,0)</f>
        <v>0</v>
      </c>
      <c r="AG300" s="55">
        <f>IF(AQ300="2",BI300,0)</f>
        <v>0</v>
      </c>
      <c r="AH300" s="55">
        <f>IF(AQ300="0",BJ300,0)</f>
        <v>0</v>
      </c>
      <c r="AI300" s="34" t="s">
        <v>116</v>
      </c>
      <c r="AJ300" s="55">
        <f>IF(AN300=0,I300,0)</f>
        <v>0</v>
      </c>
      <c r="AK300" s="55">
        <f>IF(AN300=12,I300,0)</f>
        <v>0</v>
      </c>
      <c r="AL300" s="55">
        <f>IF(AN300=21,I300,0)</f>
        <v>0</v>
      </c>
      <c r="AN300" s="55">
        <v>21</v>
      </c>
      <c r="AO300" s="55">
        <f>H300*0.256427491</f>
        <v>0</v>
      </c>
      <c r="AP300" s="55">
        <f>H300*(1-0.256427491)</f>
        <v>0</v>
      </c>
      <c r="AQ300" s="58" t="s">
        <v>120</v>
      </c>
      <c r="AV300" s="55">
        <f>AW300+AX300</f>
        <v>0</v>
      </c>
      <c r="AW300" s="55">
        <f>G300*AO300</f>
        <v>0</v>
      </c>
      <c r="AX300" s="55">
        <f>G300*AP300</f>
        <v>0</v>
      </c>
      <c r="AY300" s="58" t="s">
        <v>670</v>
      </c>
      <c r="AZ300" s="58" t="s">
        <v>443</v>
      </c>
      <c r="BA300" s="34" t="s">
        <v>128</v>
      </c>
      <c r="BB300" s="67">
        <v>100138</v>
      </c>
      <c r="BC300" s="55">
        <f>AW300+AX300</f>
        <v>0</v>
      </c>
      <c r="BD300" s="55">
        <f>H300/(100-BE300)*100</f>
        <v>0</v>
      </c>
      <c r="BE300" s="55">
        <v>0</v>
      </c>
      <c r="BF300" s="55">
        <f>K300</f>
        <v>0</v>
      </c>
      <c r="BH300" s="55">
        <f>G300*AO300</f>
        <v>0</v>
      </c>
      <c r="BI300" s="55">
        <f>G300*AP300</f>
        <v>0</v>
      </c>
      <c r="BJ300" s="55">
        <f>G300*H300</f>
        <v>0</v>
      </c>
      <c r="BK300" s="55"/>
      <c r="BL300" s="55">
        <v>2225</v>
      </c>
      <c r="BW300" s="55">
        <v>21</v>
      </c>
    </row>
    <row r="301" spans="1:12" ht="13.5" customHeight="1">
      <c r="A301" s="59"/>
      <c r="D301" s="218" t="s">
        <v>129</v>
      </c>
      <c r="E301" s="219"/>
      <c r="F301" s="219"/>
      <c r="G301" s="219"/>
      <c r="H301" s="219"/>
      <c r="I301" s="219"/>
      <c r="J301" s="219"/>
      <c r="K301" s="219"/>
      <c r="L301" s="221"/>
    </row>
    <row r="302" spans="1:75" ht="13.5" customHeight="1">
      <c r="A302" s="1" t="s">
        <v>686</v>
      </c>
      <c r="B302" s="2" t="s">
        <v>116</v>
      </c>
      <c r="C302" s="2" t="s">
        <v>687</v>
      </c>
      <c r="D302" s="147" t="s">
        <v>688</v>
      </c>
      <c r="E302" s="148"/>
      <c r="F302" s="2" t="s">
        <v>174</v>
      </c>
      <c r="G302" s="55">
        <f>'Stavební rozpočet-vyplnit'!G302</f>
        <v>188</v>
      </c>
      <c r="H302" s="55">
        <f>'Stavební rozpočet-vyplnit'!H302</f>
        <v>0</v>
      </c>
      <c r="I302" s="55">
        <f>G302*H302</f>
        <v>0</v>
      </c>
      <c r="J302" s="55">
        <f>'Stavební rozpočet-vyplnit'!J302</f>
        <v>0</v>
      </c>
      <c r="K302" s="55">
        <f>G302*J302</f>
        <v>0</v>
      </c>
      <c r="L302" s="57" t="s">
        <v>124</v>
      </c>
      <c r="Z302" s="55">
        <f>IF(AQ302="5",BJ302,0)</f>
        <v>0</v>
      </c>
      <c r="AB302" s="55">
        <f>IF(AQ302="1",BH302,0)</f>
        <v>0</v>
      </c>
      <c r="AC302" s="55">
        <f>IF(AQ302="1",BI302,0)</f>
        <v>0</v>
      </c>
      <c r="AD302" s="55">
        <f>IF(AQ302="7",BH302,0)</f>
        <v>0</v>
      </c>
      <c r="AE302" s="55">
        <f>IF(AQ302="7",BI302,0)</f>
        <v>0</v>
      </c>
      <c r="AF302" s="55">
        <f>IF(AQ302="2",BH302,0)</f>
        <v>0</v>
      </c>
      <c r="AG302" s="55">
        <f>IF(AQ302="2",BI302,0)</f>
        <v>0</v>
      </c>
      <c r="AH302" s="55">
        <f>IF(AQ302="0",BJ302,0)</f>
        <v>0</v>
      </c>
      <c r="AI302" s="34" t="s">
        <v>116</v>
      </c>
      <c r="AJ302" s="55">
        <f>IF(AN302=0,I302,0)</f>
        <v>0</v>
      </c>
      <c r="AK302" s="55">
        <f>IF(AN302=12,I302,0)</f>
        <v>0</v>
      </c>
      <c r="AL302" s="55">
        <f>IF(AN302=21,I302,0)</f>
        <v>0</v>
      </c>
      <c r="AN302" s="55">
        <v>21</v>
      </c>
      <c r="AO302" s="55">
        <f>H302*0.324532714</f>
        <v>0</v>
      </c>
      <c r="AP302" s="55">
        <f>H302*(1-0.324532714)</f>
        <v>0</v>
      </c>
      <c r="AQ302" s="58" t="s">
        <v>120</v>
      </c>
      <c r="AV302" s="55">
        <f>AW302+AX302</f>
        <v>0</v>
      </c>
      <c r="AW302" s="55">
        <f>G302*AO302</f>
        <v>0</v>
      </c>
      <c r="AX302" s="55">
        <f>G302*AP302</f>
        <v>0</v>
      </c>
      <c r="AY302" s="58" t="s">
        <v>670</v>
      </c>
      <c r="AZ302" s="58" t="s">
        <v>443</v>
      </c>
      <c r="BA302" s="34" t="s">
        <v>128</v>
      </c>
      <c r="BB302" s="67">
        <v>100138</v>
      </c>
      <c r="BC302" s="55">
        <f>AW302+AX302</f>
        <v>0</v>
      </c>
      <c r="BD302" s="55">
        <f>H302/(100-BE302)*100</f>
        <v>0</v>
      </c>
      <c r="BE302" s="55">
        <v>0</v>
      </c>
      <c r="BF302" s="55">
        <f>K302</f>
        <v>0</v>
      </c>
      <c r="BH302" s="55">
        <f>G302*AO302</f>
        <v>0</v>
      </c>
      <c r="BI302" s="55">
        <f>G302*AP302</f>
        <v>0</v>
      </c>
      <c r="BJ302" s="55">
        <f>G302*H302</f>
        <v>0</v>
      </c>
      <c r="BK302" s="55"/>
      <c r="BL302" s="55">
        <v>2225</v>
      </c>
      <c r="BW302" s="55">
        <v>21</v>
      </c>
    </row>
    <row r="303" spans="1:12" ht="13.5" customHeight="1">
      <c r="A303" s="59"/>
      <c r="D303" s="218" t="s">
        <v>129</v>
      </c>
      <c r="E303" s="219"/>
      <c r="F303" s="219"/>
      <c r="G303" s="219"/>
      <c r="H303" s="219"/>
      <c r="I303" s="219"/>
      <c r="J303" s="219"/>
      <c r="K303" s="219"/>
      <c r="L303" s="221"/>
    </row>
    <row r="304" spans="1:75" ht="13.5" customHeight="1">
      <c r="A304" s="1" t="s">
        <v>689</v>
      </c>
      <c r="B304" s="2" t="s">
        <v>116</v>
      </c>
      <c r="C304" s="2" t="s">
        <v>690</v>
      </c>
      <c r="D304" s="147" t="s">
        <v>691</v>
      </c>
      <c r="E304" s="148"/>
      <c r="F304" s="2" t="s">
        <v>174</v>
      </c>
      <c r="G304" s="55">
        <f>'Stavební rozpočet-vyplnit'!G304</f>
        <v>420</v>
      </c>
      <c r="H304" s="55">
        <f>'Stavební rozpočet-vyplnit'!H304</f>
        <v>0</v>
      </c>
      <c r="I304" s="55">
        <f>G304*H304</f>
        <v>0</v>
      </c>
      <c r="J304" s="55">
        <f>'Stavební rozpočet-vyplnit'!J304</f>
        <v>0</v>
      </c>
      <c r="K304" s="55">
        <f>G304*J304</f>
        <v>0</v>
      </c>
      <c r="L304" s="57" t="s">
        <v>124</v>
      </c>
      <c r="Z304" s="55">
        <f>IF(AQ304="5",BJ304,0)</f>
        <v>0</v>
      </c>
      <c r="AB304" s="55">
        <f>IF(AQ304="1",BH304,0)</f>
        <v>0</v>
      </c>
      <c r="AC304" s="55">
        <f>IF(AQ304="1",BI304,0)</f>
        <v>0</v>
      </c>
      <c r="AD304" s="55">
        <f>IF(AQ304="7",BH304,0)</f>
        <v>0</v>
      </c>
      <c r="AE304" s="55">
        <f>IF(AQ304="7",BI304,0)</f>
        <v>0</v>
      </c>
      <c r="AF304" s="55">
        <f>IF(AQ304="2",BH304,0)</f>
        <v>0</v>
      </c>
      <c r="AG304" s="55">
        <f>IF(AQ304="2",BI304,0)</f>
        <v>0</v>
      </c>
      <c r="AH304" s="55">
        <f>IF(AQ304="0",BJ304,0)</f>
        <v>0</v>
      </c>
      <c r="AI304" s="34" t="s">
        <v>116</v>
      </c>
      <c r="AJ304" s="55">
        <f>IF(AN304=0,I304,0)</f>
        <v>0</v>
      </c>
      <c r="AK304" s="55">
        <f>IF(AN304=12,I304,0)</f>
        <v>0</v>
      </c>
      <c r="AL304" s="55">
        <f>IF(AN304=21,I304,0)</f>
        <v>0</v>
      </c>
      <c r="AN304" s="55">
        <v>21</v>
      </c>
      <c r="AO304" s="55">
        <f>H304*0.331193151</f>
        <v>0</v>
      </c>
      <c r="AP304" s="55">
        <f>H304*(1-0.331193151)</f>
        <v>0</v>
      </c>
      <c r="AQ304" s="58" t="s">
        <v>120</v>
      </c>
      <c r="AV304" s="55">
        <f>AW304+AX304</f>
        <v>0</v>
      </c>
      <c r="AW304" s="55">
        <f>G304*AO304</f>
        <v>0</v>
      </c>
      <c r="AX304" s="55">
        <f>G304*AP304</f>
        <v>0</v>
      </c>
      <c r="AY304" s="58" t="s">
        <v>670</v>
      </c>
      <c r="AZ304" s="58" t="s">
        <v>443</v>
      </c>
      <c r="BA304" s="34" t="s">
        <v>128</v>
      </c>
      <c r="BB304" s="67">
        <v>100138</v>
      </c>
      <c r="BC304" s="55">
        <f>AW304+AX304</f>
        <v>0</v>
      </c>
      <c r="BD304" s="55">
        <f>H304/(100-BE304)*100</f>
        <v>0</v>
      </c>
      <c r="BE304" s="55">
        <v>0</v>
      </c>
      <c r="BF304" s="55">
        <f>K304</f>
        <v>0</v>
      </c>
      <c r="BH304" s="55">
        <f>G304*AO304</f>
        <v>0</v>
      </c>
      <c r="BI304" s="55">
        <f>G304*AP304</f>
        <v>0</v>
      </c>
      <c r="BJ304" s="55">
        <f>G304*H304</f>
        <v>0</v>
      </c>
      <c r="BK304" s="55"/>
      <c r="BL304" s="55">
        <v>2225</v>
      </c>
      <c r="BW304" s="55">
        <v>21</v>
      </c>
    </row>
    <row r="305" spans="1:12" ht="13.5" customHeight="1">
      <c r="A305" s="59"/>
      <c r="D305" s="218" t="s">
        <v>129</v>
      </c>
      <c r="E305" s="219"/>
      <c r="F305" s="219"/>
      <c r="G305" s="219"/>
      <c r="H305" s="219"/>
      <c r="I305" s="219"/>
      <c r="J305" s="219"/>
      <c r="K305" s="219"/>
      <c r="L305" s="221"/>
    </row>
    <row r="306" spans="1:75" ht="13.5" customHeight="1">
      <c r="A306" s="1" t="s">
        <v>692</v>
      </c>
      <c r="B306" s="2" t="s">
        <v>116</v>
      </c>
      <c r="C306" s="2" t="s">
        <v>693</v>
      </c>
      <c r="D306" s="147" t="s">
        <v>694</v>
      </c>
      <c r="E306" s="148"/>
      <c r="F306" s="2" t="s">
        <v>174</v>
      </c>
      <c r="G306" s="55">
        <f>'Stavební rozpočet-vyplnit'!G306</f>
        <v>60</v>
      </c>
      <c r="H306" s="55">
        <f>'Stavební rozpočet-vyplnit'!H306</f>
        <v>0</v>
      </c>
      <c r="I306" s="55">
        <f>G306*H306</f>
        <v>0</v>
      </c>
      <c r="J306" s="55">
        <f>'Stavební rozpočet-vyplnit'!J306</f>
        <v>0</v>
      </c>
      <c r="K306" s="55">
        <f>G306*J306</f>
        <v>0</v>
      </c>
      <c r="L306" s="57" t="s">
        <v>124</v>
      </c>
      <c r="Z306" s="55">
        <f>IF(AQ306="5",BJ306,0)</f>
        <v>0</v>
      </c>
      <c r="AB306" s="55">
        <f>IF(AQ306="1",BH306,0)</f>
        <v>0</v>
      </c>
      <c r="AC306" s="55">
        <f>IF(AQ306="1",BI306,0)</f>
        <v>0</v>
      </c>
      <c r="AD306" s="55">
        <f>IF(AQ306="7",BH306,0)</f>
        <v>0</v>
      </c>
      <c r="AE306" s="55">
        <f>IF(AQ306="7",BI306,0)</f>
        <v>0</v>
      </c>
      <c r="AF306" s="55">
        <f>IF(AQ306="2",BH306,0)</f>
        <v>0</v>
      </c>
      <c r="AG306" s="55">
        <f>IF(AQ306="2",BI306,0)</f>
        <v>0</v>
      </c>
      <c r="AH306" s="55">
        <f>IF(AQ306="0",BJ306,0)</f>
        <v>0</v>
      </c>
      <c r="AI306" s="34" t="s">
        <v>116</v>
      </c>
      <c r="AJ306" s="55">
        <f>IF(AN306=0,I306,0)</f>
        <v>0</v>
      </c>
      <c r="AK306" s="55">
        <f>IF(AN306=12,I306,0)</f>
        <v>0</v>
      </c>
      <c r="AL306" s="55">
        <f>IF(AN306=21,I306,0)</f>
        <v>0</v>
      </c>
      <c r="AN306" s="55">
        <v>21</v>
      </c>
      <c r="AO306" s="55">
        <f>H306*0.423728814</f>
        <v>0</v>
      </c>
      <c r="AP306" s="55">
        <f>H306*(1-0.423728814)</f>
        <v>0</v>
      </c>
      <c r="AQ306" s="58" t="s">
        <v>120</v>
      </c>
      <c r="AV306" s="55">
        <f>AW306+AX306</f>
        <v>0</v>
      </c>
      <c r="AW306" s="55">
        <f>G306*AO306</f>
        <v>0</v>
      </c>
      <c r="AX306" s="55">
        <f>G306*AP306</f>
        <v>0</v>
      </c>
      <c r="AY306" s="58" t="s">
        <v>670</v>
      </c>
      <c r="AZ306" s="58" t="s">
        <v>443</v>
      </c>
      <c r="BA306" s="34" t="s">
        <v>128</v>
      </c>
      <c r="BB306" s="67">
        <v>100138</v>
      </c>
      <c r="BC306" s="55">
        <f>AW306+AX306</f>
        <v>0</v>
      </c>
      <c r="BD306" s="55">
        <f>H306/(100-BE306)*100</f>
        <v>0</v>
      </c>
      <c r="BE306" s="55">
        <v>0</v>
      </c>
      <c r="BF306" s="55">
        <f>K306</f>
        <v>0</v>
      </c>
      <c r="BH306" s="55">
        <f>G306*AO306</f>
        <v>0</v>
      </c>
      <c r="BI306" s="55">
        <f>G306*AP306</f>
        <v>0</v>
      </c>
      <c r="BJ306" s="55">
        <f>G306*H306</f>
        <v>0</v>
      </c>
      <c r="BK306" s="55"/>
      <c r="BL306" s="55">
        <v>2225</v>
      </c>
      <c r="BW306" s="55">
        <v>21</v>
      </c>
    </row>
    <row r="307" spans="1:12" ht="13.5" customHeight="1">
      <c r="A307" s="59"/>
      <c r="D307" s="218" t="s">
        <v>129</v>
      </c>
      <c r="E307" s="219"/>
      <c r="F307" s="219"/>
      <c r="G307" s="219"/>
      <c r="H307" s="219"/>
      <c r="I307" s="219"/>
      <c r="J307" s="219"/>
      <c r="K307" s="219"/>
      <c r="L307" s="221"/>
    </row>
    <row r="308" spans="1:75" ht="13.5" customHeight="1">
      <c r="A308" s="1" t="s">
        <v>695</v>
      </c>
      <c r="B308" s="2" t="s">
        <v>116</v>
      </c>
      <c r="C308" s="2" t="s">
        <v>696</v>
      </c>
      <c r="D308" s="147" t="s">
        <v>697</v>
      </c>
      <c r="E308" s="148"/>
      <c r="F308" s="2" t="s">
        <v>174</v>
      </c>
      <c r="G308" s="55">
        <f>'Stavební rozpočet-vyplnit'!G308</f>
        <v>34</v>
      </c>
      <c r="H308" s="55">
        <f>'Stavební rozpočet-vyplnit'!H308</f>
        <v>0</v>
      </c>
      <c r="I308" s="55">
        <f>G308*H308</f>
        <v>0</v>
      </c>
      <c r="J308" s="55">
        <f>'Stavební rozpočet-vyplnit'!J308</f>
        <v>0</v>
      </c>
      <c r="K308" s="55">
        <f>G308*J308</f>
        <v>0</v>
      </c>
      <c r="L308" s="57" t="s">
        <v>124</v>
      </c>
      <c r="Z308" s="55">
        <f>IF(AQ308="5",BJ308,0)</f>
        <v>0</v>
      </c>
      <c r="AB308" s="55">
        <f>IF(AQ308="1",BH308,0)</f>
        <v>0</v>
      </c>
      <c r="AC308" s="55">
        <f>IF(AQ308="1",BI308,0)</f>
        <v>0</v>
      </c>
      <c r="AD308" s="55">
        <f>IF(AQ308="7",BH308,0)</f>
        <v>0</v>
      </c>
      <c r="AE308" s="55">
        <f>IF(AQ308="7",BI308,0)</f>
        <v>0</v>
      </c>
      <c r="AF308" s="55">
        <f>IF(AQ308="2",BH308,0)</f>
        <v>0</v>
      </c>
      <c r="AG308" s="55">
        <f>IF(AQ308="2",BI308,0)</f>
        <v>0</v>
      </c>
      <c r="AH308" s="55">
        <f>IF(AQ308="0",BJ308,0)</f>
        <v>0</v>
      </c>
      <c r="AI308" s="34" t="s">
        <v>116</v>
      </c>
      <c r="AJ308" s="55">
        <f>IF(AN308=0,I308,0)</f>
        <v>0</v>
      </c>
      <c r="AK308" s="55">
        <f>IF(AN308=12,I308,0)</f>
        <v>0</v>
      </c>
      <c r="AL308" s="55">
        <f>IF(AN308=21,I308,0)</f>
        <v>0</v>
      </c>
      <c r="AN308" s="55">
        <v>21</v>
      </c>
      <c r="AO308" s="55">
        <f>H308*0.558139535</f>
        <v>0</v>
      </c>
      <c r="AP308" s="55">
        <f>H308*(1-0.558139535)</f>
        <v>0</v>
      </c>
      <c r="AQ308" s="58" t="s">
        <v>120</v>
      </c>
      <c r="AV308" s="55">
        <f>AW308+AX308</f>
        <v>0</v>
      </c>
      <c r="AW308" s="55">
        <f>G308*AO308</f>
        <v>0</v>
      </c>
      <c r="AX308" s="55">
        <f>G308*AP308</f>
        <v>0</v>
      </c>
      <c r="AY308" s="58" t="s">
        <v>670</v>
      </c>
      <c r="AZ308" s="58" t="s">
        <v>443</v>
      </c>
      <c r="BA308" s="34" t="s">
        <v>128</v>
      </c>
      <c r="BB308" s="67">
        <v>100138</v>
      </c>
      <c r="BC308" s="55">
        <f>AW308+AX308</f>
        <v>0</v>
      </c>
      <c r="BD308" s="55">
        <f>H308/(100-BE308)*100</f>
        <v>0</v>
      </c>
      <c r="BE308" s="55">
        <v>0</v>
      </c>
      <c r="BF308" s="55">
        <f>K308</f>
        <v>0</v>
      </c>
      <c r="BH308" s="55">
        <f>G308*AO308</f>
        <v>0</v>
      </c>
      <c r="BI308" s="55">
        <f>G308*AP308</f>
        <v>0</v>
      </c>
      <c r="BJ308" s="55">
        <f>G308*H308</f>
        <v>0</v>
      </c>
      <c r="BK308" s="55"/>
      <c r="BL308" s="55">
        <v>2225</v>
      </c>
      <c r="BW308" s="55">
        <v>21</v>
      </c>
    </row>
    <row r="309" spans="1:12" ht="13.5" customHeight="1">
      <c r="A309" s="59"/>
      <c r="D309" s="218" t="s">
        <v>129</v>
      </c>
      <c r="E309" s="219"/>
      <c r="F309" s="219"/>
      <c r="G309" s="219"/>
      <c r="H309" s="219"/>
      <c r="I309" s="219"/>
      <c r="J309" s="219"/>
      <c r="K309" s="219"/>
      <c r="L309" s="221"/>
    </row>
    <row r="310" spans="1:75" ht="13.5" customHeight="1">
      <c r="A310" s="1" t="s">
        <v>698</v>
      </c>
      <c r="B310" s="2" t="s">
        <v>116</v>
      </c>
      <c r="C310" s="2" t="s">
        <v>699</v>
      </c>
      <c r="D310" s="147" t="s">
        <v>700</v>
      </c>
      <c r="E310" s="148"/>
      <c r="F310" s="2" t="s">
        <v>123</v>
      </c>
      <c r="G310" s="55">
        <f>'Stavební rozpočet-vyplnit'!G310</f>
        <v>30</v>
      </c>
      <c r="H310" s="55">
        <f>'Stavební rozpočet-vyplnit'!H310</f>
        <v>0</v>
      </c>
      <c r="I310" s="55">
        <f>G310*H310</f>
        <v>0</v>
      </c>
      <c r="J310" s="55">
        <f>'Stavební rozpočet-vyplnit'!J310</f>
        <v>0</v>
      </c>
      <c r="K310" s="55">
        <f>G310*J310</f>
        <v>0</v>
      </c>
      <c r="L310" s="57" t="s">
        <v>124</v>
      </c>
      <c r="Z310" s="55">
        <f>IF(AQ310="5",BJ310,0)</f>
        <v>0</v>
      </c>
      <c r="AB310" s="55">
        <f>IF(AQ310="1",BH310,0)</f>
        <v>0</v>
      </c>
      <c r="AC310" s="55">
        <f>IF(AQ310="1",BI310,0)</f>
        <v>0</v>
      </c>
      <c r="AD310" s="55">
        <f>IF(AQ310="7",BH310,0)</f>
        <v>0</v>
      </c>
      <c r="AE310" s="55">
        <f>IF(AQ310="7",BI310,0)</f>
        <v>0</v>
      </c>
      <c r="AF310" s="55">
        <f>IF(AQ310="2",BH310,0)</f>
        <v>0</v>
      </c>
      <c r="AG310" s="55">
        <f>IF(AQ310="2",BI310,0)</f>
        <v>0</v>
      </c>
      <c r="AH310" s="55">
        <f>IF(AQ310="0",BJ310,0)</f>
        <v>0</v>
      </c>
      <c r="AI310" s="34" t="s">
        <v>116</v>
      </c>
      <c r="AJ310" s="55">
        <f>IF(AN310=0,I310,0)</f>
        <v>0</v>
      </c>
      <c r="AK310" s="55">
        <f>IF(AN310=12,I310,0)</f>
        <v>0</v>
      </c>
      <c r="AL310" s="55">
        <f>IF(AN310=21,I310,0)</f>
        <v>0</v>
      </c>
      <c r="AN310" s="55">
        <v>21</v>
      </c>
      <c r="AO310" s="55">
        <f>H310*0.676561119</f>
        <v>0</v>
      </c>
      <c r="AP310" s="55">
        <f>H310*(1-0.676561119)</f>
        <v>0</v>
      </c>
      <c r="AQ310" s="58" t="s">
        <v>120</v>
      </c>
      <c r="AV310" s="55">
        <f>AW310+AX310</f>
        <v>0</v>
      </c>
      <c r="AW310" s="55">
        <f>G310*AO310</f>
        <v>0</v>
      </c>
      <c r="AX310" s="55">
        <f>G310*AP310</f>
        <v>0</v>
      </c>
      <c r="AY310" s="58" t="s">
        <v>670</v>
      </c>
      <c r="AZ310" s="58" t="s">
        <v>443</v>
      </c>
      <c r="BA310" s="34" t="s">
        <v>128</v>
      </c>
      <c r="BB310" s="67">
        <v>100138</v>
      </c>
      <c r="BC310" s="55">
        <f>AW310+AX310</f>
        <v>0</v>
      </c>
      <c r="BD310" s="55">
        <f>H310/(100-BE310)*100</f>
        <v>0</v>
      </c>
      <c r="BE310" s="55">
        <v>0</v>
      </c>
      <c r="BF310" s="55">
        <f>K310</f>
        <v>0</v>
      </c>
      <c r="BH310" s="55">
        <f>G310*AO310</f>
        <v>0</v>
      </c>
      <c r="BI310" s="55">
        <f>G310*AP310</f>
        <v>0</v>
      </c>
      <c r="BJ310" s="55">
        <f>G310*H310</f>
        <v>0</v>
      </c>
      <c r="BK310" s="55"/>
      <c r="BL310" s="55">
        <v>2225</v>
      </c>
      <c r="BW310" s="55">
        <v>21</v>
      </c>
    </row>
    <row r="311" spans="1:12" ht="13.5" customHeight="1">
      <c r="A311" s="59"/>
      <c r="D311" s="218" t="s">
        <v>129</v>
      </c>
      <c r="E311" s="219"/>
      <c r="F311" s="219"/>
      <c r="G311" s="219"/>
      <c r="H311" s="219"/>
      <c r="I311" s="219"/>
      <c r="J311" s="219"/>
      <c r="K311" s="219"/>
      <c r="L311" s="221"/>
    </row>
    <row r="312" spans="1:75" ht="13.5" customHeight="1">
      <c r="A312" s="1" t="s">
        <v>701</v>
      </c>
      <c r="B312" s="2" t="s">
        <v>116</v>
      </c>
      <c r="C312" s="2" t="s">
        <v>702</v>
      </c>
      <c r="D312" s="147" t="s">
        <v>703</v>
      </c>
      <c r="E312" s="148"/>
      <c r="F312" s="2" t="s">
        <v>123</v>
      </c>
      <c r="G312" s="55">
        <f>'Stavební rozpočet-vyplnit'!G312</f>
        <v>10</v>
      </c>
      <c r="H312" s="55">
        <f>'Stavební rozpočet-vyplnit'!H312</f>
        <v>0</v>
      </c>
      <c r="I312" s="55">
        <f>G312*H312</f>
        <v>0</v>
      </c>
      <c r="J312" s="55">
        <f>'Stavební rozpočet-vyplnit'!J312</f>
        <v>0</v>
      </c>
      <c r="K312" s="55">
        <f>G312*J312</f>
        <v>0</v>
      </c>
      <c r="L312" s="57" t="s">
        <v>124</v>
      </c>
      <c r="Z312" s="55">
        <f>IF(AQ312="5",BJ312,0)</f>
        <v>0</v>
      </c>
      <c r="AB312" s="55">
        <f>IF(AQ312="1",BH312,0)</f>
        <v>0</v>
      </c>
      <c r="AC312" s="55">
        <f>IF(AQ312="1",BI312,0)</f>
        <v>0</v>
      </c>
      <c r="AD312" s="55">
        <f>IF(AQ312="7",BH312,0)</f>
        <v>0</v>
      </c>
      <c r="AE312" s="55">
        <f>IF(AQ312="7",BI312,0)</f>
        <v>0</v>
      </c>
      <c r="AF312" s="55">
        <f>IF(AQ312="2",BH312,0)</f>
        <v>0</v>
      </c>
      <c r="AG312" s="55">
        <f>IF(AQ312="2",BI312,0)</f>
        <v>0</v>
      </c>
      <c r="AH312" s="55">
        <f>IF(AQ312="0",BJ312,0)</f>
        <v>0</v>
      </c>
      <c r="AI312" s="34" t="s">
        <v>116</v>
      </c>
      <c r="AJ312" s="55">
        <f>IF(AN312=0,I312,0)</f>
        <v>0</v>
      </c>
      <c r="AK312" s="55">
        <f>IF(AN312=12,I312,0)</f>
        <v>0</v>
      </c>
      <c r="AL312" s="55">
        <f>IF(AN312=21,I312,0)</f>
        <v>0</v>
      </c>
      <c r="AN312" s="55">
        <v>21</v>
      </c>
      <c r="AO312" s="55">
        <f>H312*0.892929293</f>
        <v>0</v>
      </c>
      <c r="AP312" s="55">
        <f>H312*(1-0.892929293)</f>
        <v>0</v>
      </c>
      <c r="AQ312" s="58" t="s">
        <v>120</v>
      </c>
      <c r="AV312" s="55">
        <f>AW312+AX312</f>
        <v>0</v>
      </c>
      <c r="AW312" s="55">
        <f>G312*AO312</f>
        <v>0</v>
      </c>
      <c r="AX312" s="55">
        <f>G312*AP312</f>
        <v>0</v>
      </c>
      <c r="AY312" s="58" t="s">
        <v>670</v>
      </c>
      <c r="AZ312" s="58" t="s">
        <v>443</v>
      </c>
      <c r="BA312" s="34" t="s">
        <v>128</v>
      </c>
      <c r="BB312" s="67">
        <v>100138</v>
      </c>
      <c r="BC312" s="55">
        <f>AW312+AX312</f>
        <v>0</v>
      </c>
      <c r="BD312" s="55">
        <f>H312/(100-BE312)*100</f>
        <v>0</v>
      </c>
      <c r="BE312" s="55">
        <v>0</v>
      </c>
      <c r="BF312" s="55">
        <f>K312</f>
        <v>0</v>
      </c>
      <c r="BH312" s="55">
        <f>G312*AO312</f>
        <v>0</v>
      </c>
      <c r="BI312" s="55">
        <f>G312*AP312</f>
        <v>0</v>
      </c>
      <c r="BJ312" s="55">
        <f>G312*H312</f>
        <v>0</v>
      </c>
      <c r="BK312" s="55"/>
      <c r="BL312" s="55">
        <v>2225</v>
      </c>
      <c r="BW312" s="55">
        <v>21</v>
      </c>
    </row>
    <row r="313" spans="1:12" ht="13.5" customHeight="1">
      <c r="A313" s="59"/>
      <c r="D313" s="218" t="s">
        <v>129</v>
      </c>
      <c r="E313" s="219"/>
      <c r="F313" s="219"/>
      <c r="G313" s="219"/>
      <c r="H313" s="219"/>
      <c r="I313" s="219"/>
      <c r="J313" s="219"/>
      <c r="K313" s="219"/>
      <c r="L313" s="221"/>
    </row>
    <row r="314" spans="1:75" ht="13.5" customHeight="1">
      <c r="A314" s="1" t="s">
        <v>704</v>
      </c>
      <c r="B314" s="2" t="s">
        <v>116</v>
      </c>
      <c r="C314" s="2" t="s">
        <v>705</v>
      </c>
      <c r="D314" s="147" t="s">
        <v>706</v>
      </c>
      <c r="E314" s="148"/>
      <c r="F314" s="2" t="s">
        <v>174</v>
      </c>
      <c r="G314" s="55">
        <f>'Stavební rozpočet-vyplnit'!G314</f>
        <v>150</v>
      </c>
      <c r="H314" s="55">
        <f>'Stavební rozpočet-vyplnit'!H314</f>
        <v>0</v>
      </c>
      <c r="I314" s="55">
        <f>G314*H314</f>
        <v>0</v>
      </c>
      <c r="J314" s="55">
        <f>'Stavební rozpočet-vyplnit'!J314</f>
        <v>0</v>
      </c>
      <c r="K314" s="55">
        <f>G314*J314</f>
        <v>0</v>
      </c>
      <c r="L314" s="57" t="s">
        <v>124</v>
      </c>
      <c r="Z314" s="55">
        <f>IF(AQ314="5",BJ314,0)</f>
        <v>0</v>
      </c>
      <c r="AB314" s="55">
        <f>IF(AQ314="1",BH314,0)</f>
        <v>0</v>
      </c>
      <c r="AC314" s="55">
        <f>IF(AQ314="1",BI314,0)</f>
        <v>0</v>
      </c>
      <c r="AD314" s="55">
        <f>IF(AQ314="7",BH314,0)</f>
        <v>0</v>
      </c>
      <c r="AE314" s="55">
        <f>IF(AQ314="7",BI314,0)</f>
        <v>0</v>
      </c>
      <c r="AF314" s="55">
        <f>IF(AQ314="2",BH314,0)</f>
        <v>0</v>
      </c>
      <c r="AG314" s="55">
        <f>IF(AQ314="2",BI314,0)</f>
        <v>0</v>
      </c>
      <c r="AH314" s="55">
        <f>IF(AQ314="0",BJ314,0)</f>
        <v>0</v>
      </c>
      <c r="AI314" s="34" t="s">
        <v>116</v>
      </c>
      <c r="AJ314" s="55">
        <f>IF(AN314=0,I314,0)</f>
        <v>0</v>
      </c>
      <c r="AK314" s="55">
        <f>IF(AN314=12,I314,0)</f>
        <v>0</v>
      </c>
      <c r="AL314" s="55">
        <f>IF(AN314=21,I314,0)</f>
        <v>0</v>
      </c>
      <c r="AN314" s="55">
        <v>21</v>
      </c>
      <c r="AO314" s="55">
        <f>H314*0.581939799</f>
        <v>0</v>
      </c>
      <c r="AP314" s="55">
        <f>H314*(1-0.581939799)</f>
        <v>0</v>
      </c>
      <c r="AQ314" s="58" t="s">
        <v>120</v>
      </c>
      <c r="AV314" s="55">
        <f>AW314+AX314</f>
        <v>0</v>
      </c>
      <c r="AW314" s="55">
        <f>G314*AO314</f>
        <v>0</v>
      </c>
      <c r="AX314" s="55">
        <f>G314*AP314</f>
        <v>0</v>
      </c>
      <c r="AY314" s="58" t="s">
        <v>670</v>
      </c>
      <c r="AZ314" s="58" t="s">
        <v>443</v>
      </c>
      <c r="BA314" s="34" t="s">
        <v>128</v>
      </c>
      <c r="BB314" s="67">
        <v>100138</v>
      </c>
      <c r="BC314" s="55">
        <f>AW314+AX314</f>
        <v>0</v>
      </c>
      <c r="BD314" s="55">
        <f>H314/(100-BE314)*100</f>
        <v>0</v>
      </c>
      <c r="BE314" s="55">
        <v>0</v>
      </c>
      <c r="BF314" s="55">
        <f>K314</f>
        <v>0</v>
      </c>
      <c r="BH314" s="55">
        <f>G314*AO314</f>
        <v>0</v>
      </c>
      <c r="BI314" s="55">
        <f>G314*AP314</f>
        <v>0</v>
      </c>
      <c r="BJ314" s="55">
        <f>G314*H314</f>
        <v>0</v>
      </c>
      <c r="BK314" s="55"/>
      <c r="BL314" s="55">
        <v>2225</v>
      </c>
      <c r="BW314" s="55">
        <v>21</v>
      </c>
    </row>
    <row r="315" spans="1:12" ht="13.5" customHeight="1">
      <c r="A315" s="59"/>
      <c r="D315" s="218" t="s">
        <v>129</v>
      </c>
      <c r="E315" s="219"/>
      <c r="F315" s="219"/>
      <c r="G315" s="219"/>
      <c r="H315" s="219"/>
      <c r="I315" s="219"/>
      <c r="J315" s="219"/>
      <c r="K315" s="219"/>
      <c r="L315" s="221"/>
    </row>
    <row r="316" spans="1:75" ht="13.5" customHeight="1">
      <c r="A316" s="1" t="s">
        <v>707</v>
      </c>
      <c r="B316" s="2" t="s">
        <v>116</v>
      </c>
      <c r="C316" s="2" t="s">
        <v>708</v>
      </c>
      <c r="D316" s="147" t="s">
        <v>709</v>
      </c>
      <c r="E316" s="148"/>
      <c r="F316" s="2" t="s">
        <v>174</v>
      </c>
      <c r="G316" s="55">
        <f>'Stavební rozpočet-vyplnit'!G316</f>
        <v>150</v>
      </c>
      <c r="H316" s="55">
        <f>'Stavební rozpočet-vyplnit'!H316</f>
        <v>0</v>
      </c>
      <c r="I316" s="55">
        <f>G316*H316</f>
        <v>0</v>
      </c>
      <c r="J316" s="55">
        <f>'Stavební rozpočet-vyplnit'!J316</f>
        <v>0</v>
      </c>
      <c r="K316" s="55">
        <f>G316*J316</f>
        <v>0</v>
      </c>
      <c r="L316" s="57" t="s">
        <v>124</v>
      </c>
      <c r="Z316" s="55">
        <f>IF(AQ316="5",BJ316,0)</f>
        <v>0</v>
      </c>
      <c r="AB316" s="55">
        <f>IF(AQ316="1",BH316,0)</f>
        <v>0</v>
      </c>
      <c r="AC316" s="55">
        <f>IF(AQ316="1",BI316,0)</f>
        <v>0</v>
      </c>
      <c r="AD316" s="55">
        <f>IF(AQ316="7",BH316,0)</f>
        <v>0</v>
      </c>
      <c r="AE316" s="55">
        <f>IF(AQ316="7",BI316,0)</f>
        <v>0</v>
      </c>
      <c r="AF316" s="55">
        <f>IF(AQ316="2",BH316,0)</f>
        <v>0</v>
      </c>
      <c r="AG316" s="55">
        <f>IF(AQ316="2",BI316,0)</f>
        <v>0</v>
      </c>
      <c r="AH316" s="55">
        <f>IF(AQ316="0",BJ316,0)</f>
        <v>0</v>
      </c>
      <c r="AI316" s="34" t="s">
        <v>116</v>
      </c>
      <c r="AJ316" s="55">
        <f>IF(AN316=0,I316,0)</f>
        <v>0</v>
      </c>
      <c r="AK316" s="55">
        <f>IF(AN316=12,I316,0)</f>
        <v>0</v>
      </c>
      <c r="AL316" s="55">
        <f>IF(AN316=21,I316,0)</f>
        <v>0</v>
      </c>
      <c r="AN316" s="55">
        <v>21</v>
      </c>
      <c r="AO316" s="55">
        <f>H316*0.720930233</f>
        <v>0</v>
      </c>
      <c r="AP316" s="55">
        <f>H316*(1-0.720930233)</f>
        <v>0</v>
      </c>
      <c r="AQ316" s="58" t="s">
        <v>120</v>
      </c>
      <c r="AV316" s="55">
        <f>AW316+AX316</f>
        <v>0</v>
      </c>
      <c r="AW316" s="55">
        <f>G316*AO316</f>
        <v>0</v>
      </c>
      <c r="AX316" s="55">
        <f>G316*AP316</f>
        <v>0</v>
      </c>
      <c r="AY316" s="58" t="s">
        <v>670</v>
      </c>
      <c r="AZ316" s="58" t="s">
        <v>443</v>
      </c>
      <c r="BA316" s="34" t="s">
        <v>128</v>
      </c>
      <c r="BB316" s="67">
        <v>100138</v>
      </c>
      <c r="BC316" s="55">
        <f>AW316+AX316</f>
        <v>0</v>
      </c>
      <c r="BD316" s="55">
        <f>H316/(100-BE316)*100</f>
        <v>0</v>
      </c>
      <c r="BE316" s="55">
        <v>0</v>
      </c>
      <c r="BF316" s="55">
        <f>K316</f>
        <v>0</v>
      </c>
      <c r="BH316" s="55">
        <f>G316*AO316</f>
        <v>0</v>
      </c>
      <c r="BI316" s="55">
        <f>G316*AP316</f>
        <v>0</v>
      </c>
      <c r="BJ316" s="55">
        <f>G316*H316</f>
        <v>0</v>
      </c>
      <c r="BK316" s="55"/>
      <c r="BL316" s="55">
        <v>2225</v>
      </c>
      <c r="BW316" s="55">
        <v>21</v>
      </c>
    </row>
    <row r="317" spans="1:12" ht="13.5" customHeight="1">
      <c r="A317" s="59"/>
      <c r="D317" s="218" t="s">
        <v>129</v>
      </c>
      <c r="E317" s="219"/>
      <c r="F317" s="219"/>
      <c r="G317" s="219"/>
      <c r="H317" s="219"/>
      <c r="I317" s="219"/>
      <c r="J317" s="219"/>
      <c r="K317" s="219"/>
      <c r="L317" s="221"/>
    </row>
    <row r="318" spans="1:75" ht="13.5" customHeight="1">
      <c r="A318" s="1" t="s">
        <v>710</v>
      </c>
      <c r="B318" s="2" t="s">
        <v>116</v>
      </c>
      <c r="C318" s="2" t="s">
        <v>711</v>
      </c>
      <c r="D318" s="147" t="s">
        <v>712</v>
      </c>
      <c r="E318" s="148"/>
      <c r="F318" s="2" t="s">
        <v>123</v>
      </c>
      <c r="G318" s="55">
        <f>'Stavební rozpočet-vyplnit'!G318</f>
        <v>120</v>
      </c>
      <c r="H318" s="55">
        <f>'Stavební rozpočet-vyplnit'!H318</f>
        <v>0</v>
      </c>
      <c r="I318" s="55">
        <f>G318*H318</f>
        <v>0</v>
      </c>
      <c r="J318" s="55">
        <f>'Stavební rozpočet-vyplnit'!J318</f>
        <v>0</v>
      </c>
      <c r="K318" s="55">
        <f>G318*J318</f>
        <v>0</v>
      </c>
      <c r="L318" s="57" t="s">
        <v>124</v>
      </c>
      <c r="Z318" s="55">
        <f>IF(AQ318="5",BJ318,0)</f>
        <v>0</v>
      </c>
      <c r="AB318" s="55">
        <f>IF(AQ318="1",BH318,0)</f>
        <v>0</v>
      </c>
      <c r="AC318" s="55">
        <f>IF(AQ318="1",BI318,0)</f>
        <v>0</v>
      </c>
      <c r="AD318" s="55">
        <f>IF(AQ318="7",BH318,0)</f>
        <v>0</v>
      </c>
      <c r="AE318" s="55">
        <f>IF(AQ318="7",BI318,0)</f>
        <v>0</v>
      </c>
      <c r="AF318" s="55">
        <f>IF(AQ318="2",BH318,0)</f>
        <v>0</v>
      </c>
      <c r="AG318" s="55">
        <f>IF(AQ318="2",BI318,0)</f>
        <v>0</v>
      </c>
      <c r="AH318" s="55">
        <f>IF(AQ318="0",BJ318,0)</f>
        <v>0</v>
      </c>
      <c r="AI318" s="34" t="s">
        <v>116</v>
      </c>
      <c r="AJ318" s="55">
        <f>IF(AN318=0,I318,0)</f>
        <v>0</v>
      </c>
      <c r="AK318" s="55">
        <f>IF(AN318=12,I318,0)</f>
        <v>0</v>
      </c>
      <c r="AL318" s="55">
        <f>IF(AN318=21,I318,0)</f>
        <v>0</v>
      </c>
      <c r="AN318" s="55">
        <v>21</v>
      </c>
      <c r="AO318" s="55">
        <f>H318*0.583333333</f>
        <v>0</v>
      </c>
      <c r="AP318" s="55">
        <f>H318*(1-0.583333333)</f>
        <v>0</v>
      </c>
      <c r="AQ318" s="58" t="s">
        <v>120</v>
      </c>
      <c r="AV318" s="55">
        <f>AW318+AX318</f>
        <v>0</v>
      </c>
      <c r="AW318" s="55">
        <f>G318*AO318</f>
        <v>0</v>
      </c>
      <c r="AX318" s="55">
        <f>G318*AP318</f>
        <v>0</v>
      </c>
      <c r="AY318" s="58" t="s">
        <v>670</v>
      </c>
      <c r="AZ318" s="58" t="s">
        <v>443</v>
      </c>
      <c r="BA318" s="34" t="s">
        <v>128</v>
      </c>
      <c r="BB318" s="67">
        <v>100138</v>
      </c>
      <c r="BC318" s="55">
        <f>AW318+AX318</f>
        <v>0</v>
      </c>
      <c r="BD318" s="55">
        <f>H318/(100-BE318)*100</f>
        <v>0</v>
      </c>
      <c r="BE318" s="55">
        <v>0</v>
      </c>
      <c r="BF318" s="55">
        <f>K318</f>
        <v>0</v>
      </c>
      <c r="BH318" s="55">
        <f>G318*AO318</f>
        <v>0</v>
      </c>
      <c r="BI318" s="55">
        <f>G318*AP318</f>
        <v>0</v>
      </c>
      <c r="BJ318" s="55">
        <f>G318*H318</f>
        <v>0</v>
      </c>
      <c r="BK318" s="55"/>
      <c r="BL318" s="55">
        <v>2225</v>
      </c>
      <c r="BW318" s="55">
        <v>21</v>
      </c>
    </row>
    <row r="319" spans="1:12" ht="13.5" customHeight="1">
      <c r="A319" s="59"/>
      <c r="D319" s="218" t="s">
        <v>129</v>
      </c>
      <c r="E319" s="219"/>
      <c r="F319" s="219"/>
      <c r="G319" s="219"/>
      <c r="H319" s="219"/>
      <c r="I319" s="219"/>
      <c r="J319" s="219"/>
      <c r="K319" s="219"/>
      <c r="L319" s="221"/>
    </row>
    <row r="320" spans="1:75" ht="13.5" customHeight="1">
      <c r="A320" s="1" t="s">
        <v>713</v>
      </c>
      <c r="B320" s="2" t="s">
        <v>116</v>
      </c>
      <c r="C320" s="2" t="s">
        <v>714</v>
      </c>
      <c r="D320" s="147" t="s">
        <v>715</v>
      </c>
      <c r="E320" s="148"/>
      <c r="F320" s="2" t="s">
        <v>123</v>
      </c>
      <c r="G320" s="55">
        <f>'Stavební rozpočet-vyplnit'!G320</f>
        <v>200</v>
      </c>
      <c r="H320" s="55">
        <f>'Stavební rozpočet-vyplnit'!H320</f>
        <v>0</v>
      </c>
      <c r="I320" s="55">
        <f>G320*H320</f>
        <v>0</v>
      </c>
      <c r="J320" s="55">
        <f>'Stavební rozpočet-vyplnit'!J320</f>
        <v>0</v>
      </c>
      <c r="K320" s="55">
        <f>G320*J320</f>
        <v>0</v>
      </c>
      <c r="L320" s="57" t="s">
        <v>124</v>
      </c>
      <c r="Z320" s="55">
        <f>IF(AQ320="5",BJ320,0)</f>
        <v>0</v>
      </c>
      <c r="AB320" s="55">
        <f>IF(AQ320="1",BH320,0)</f>
        <v>0</v>
      </c>
      <c r="AC320" s="55">
        <f>IF(AQ320="1",BI320,0)</f>
        <v>0</v>
      </c>
      <c r="AD320" s="55">
        <f>IF(AQ320="7",BH320,0)</f>
        <v>0</v>
      </c>
      <c r="AE320" s="55">
        <f>IF(AQ320="7",BI320,0)</f>
        <v>0</v>
      </c>
      <c r="AF320" s="55">
        <f>IF(AQ320="2",BH320,0)</f>
        <v>0</v>
      </c>
      <c r="AG320" s="55">
        <f>IF(AQ320="2",BI320,0)</f>
        <v>0</v>
      </c>
      <c r="AH320" s="55">
        <f>IF(AQ320="0",BJ320,0)</f>
        <v>0</v>
      </c>
      <c r="AI320" s="34" t="s">
        <v>116</v>
      </c>
      <c r="AJ320" s="55">
        <f>IF(AN320=0,I320,0)</f>
        <v>0</v>
      </c>
      <c r="AK320" s="55">
        <f>IF(AN320=12,I320,0)</f>
        <v>0</v>
      </c>
      <c r="AL320" s="55">
        <f>IF(AN320=21,I320,0)</f>
        <v>0</v>
      </c>
      <c r="AN320" s="55">
        <v>21</v>
      </c>
      <c r="AO320" s="55">
        <f>H320*0.5</f>
        <v>0</v>
      </c>
      <c r="AP320" s="55">
        <f>H320*(1-0.5)</f>
        <v>0</v>
      </c>
      <c r="AQ320" s="58" t="s">
        <v>120</v>
      </c>
      <c r="AV320" s="55">
        <f>AW320+AX320</f>
        <v>0</v>
      </c>
      <c r="AW320" s="55">
        <f>G320*AO320</f>
        <v>0</v>
      </c>
      <c r="AX320" s="55">
        <f>G320*AP320</f>
        <v>0</v>
      </c>
      <c r="AY320" s="58" t="s">
        <v>670</v>
      </c>
      <c r="AZ320" s="58" t="s">
        <v>443</v>
      </c>
      <c r="BA320" s="34" t="s">
        <v>128</v>
      </c>
      <c r="BB320" s="67">
        <v>100138</v>
      </c>
      <c r="BC320" s="55">
        <f>AW320+AX320</f>
        <v>0</v>
      </c>
      <c r="BD320" s="55">
        <f>H320/(100-BE320)*100</f>
        <v>0</v>
      </c>
      <c r="BE320" s="55">
        <v>0</v>
      </c>
      <c r="BF320" s="55">
        <f>K320</f>
        <v>0</v>
      </c>
      <c r="BH320" s="55">
        <f>G320*AO320</f>
        <v>0</v>
      </c>
      <c r="BI320" s="55">
        <f>G320*AP320</f>
        <v>0</v>
      </c>
      <c r="BJ320" s="55">
        <f>G320*H320</f>
        <v>0</v>
      </c>
      <c r="BK320" s="55"/>
      <c r="BL320" s="55">
        <v>2225</v>
      </c>
      <c r="BW320" s="55">
        <v>21</v>
      </c>
    </row>
    <row r="321" spans="1:12" ht="13.5" customHeight="1">
      <c r="A321" s="59"/>
      <c r="D321" s="218" t="s">
        <v>129</v>
      </c>
      <c r="E321" s="219"/>
      <c r="F321" s="219"/>
      <c r="G321" s="219"/>
      <c r="H321" s="219"/>
      <c r="I321" s="219"/>
      <c r="J321" s="219"/>
      <c r="K321" s="219"/>
      <c r="L321" s="221"/>
    </row>
    <row r="322" spans="1:75" ht="13.5" customHeight="1">
      <c r="A322" s="1" t="s">
        <v>716</v>
      </c>
      <c r="B322" s="2" t="s">
        <v>116</v>
      </c>
      <c r="C322" s="2" t="s">
        <v>717</v>
      </c>
      <c r="D322" s="147" t="s">
        <v>718</v>
      </c>
      <c r="E322" s="148"/>
      <c r="F322" s="2" t="s">
        <v>719</v>
      </c>
      <c r="G322" s="55">
        <f>'Stavební rozpočet-vyplnit'!G322</f>
        <v>4</v>
      </c>
      <c r="H322" s="55">
        <f>'Stavební rozpočet-vyplnit'!H322</f>
        <v>0</v>
      </c>
      <c r="I322" s="55">
        <f>G322*H322</f>
        <v>0</v>
      </c>
      <c r="J322" s="55">
        <f>'Stavební rozpočet-vyplnit'!J322</f>
        <v>0</v>
      </c>
      <c r="K322" s="55">
        <f>G322*J322</f>
        <v>0</v>
      </c>
      <c r="L322" s="57" t="s">
        <v>124</v>
      </c>
      <c r="Z322" s="55">
        <f>IF(AQ322="5",BJ322,0)</f>
        <v>0</v>
      </c>
      <c r="AB322" s="55">
        <f>IF(AQ322="1",BH322,0)</f>
        <v>0</v>
      </c>
      <c r="AC322" s="55">
        <f>IF(AQ322="1",BI322,0)</f>
        <v>0</v>
      </c>
      <c r="AD322" s="55">
        <f>IF(AQ322="7",BH322,0)</f>
        <v>0</v>
      </c>
      <c r="AE322" s="55">
        <f>IF(AQ322="7",BI322,0)</f>
        <v>0</v>
      </c>
      <c r="AF322" s="55">
        <f>IF(AQ322="2",BH322,0)</f>
        <v>0</v>
      </c>
      <c r="AG322" s="55">
        <f>IF(AQ322="2",BI322,0)</f>
        <v>0</v>
      </c>
      <c r="AH322" s="55">
        <f>IF(AQ322="0",BJ322,0)</f>
        <v>0</v>
      </c>
      <c r="AI322" s="34" t="s">
        <v>116</v>
      </c>
      <c r="AJ322" s="55">
        <f>IF(AN322=0,I322,0)</f>
        <v>0</v>
      </c>
      <c r="AK322" s="55">
        <f>IF(AN322=12,I322,0)</f>
        <v>0</v>
      </c>
      <c r="AL322" s="55">
        <f>IF(AN322=21,I322,0)</f>
        <v>0</v>
      </c>
      <c r="AN322" s="55">
        <v>21</v>
      </c>
      <c r="AO322" s="55">
        <f>H322*0.411764706</f>
        <v>0</v>
      </c>
      <c r="AP322" s="55">
        <f>H322*(1-0.411764706)</f>
        <v>0</v>
      </c>
      <c r="AQ322" s="58" t="s">
        <v>120</v>
      </c>
      <c r="AV322" s="55">
        <f>AW322+AX322</f>
        <v>0</v>
      </c>
      <c r="AW322" s="55">
        <f>G322*AO322</f>
        <v>0</v>
      </c>
      <c r="AX322" s="55">
        <f>G322*AP322</f>
        <v>0</v>
      </c>
      <c r="AY322" s="58" t="s">
        <v>670</v>
      </c>
      <c r="AZ322" s="58" t="s">
        <v>443</v>
      </c>
      <c r="BA322" s="34" t="s">
        <v>128</v>
      </c>
      <c r="BB322" s="67">
        <v>100138</v>
      </c>
      <c r="BC322" s="55">
        <f>AW322+AX322</f>
        <v>0</v>
      </c>
      <c r="BD322" s="55">
        <f>H322/(100-BE322)*100</f>
        <v>0</v>
      </c>
      <c r="BE322" s="55">
        <v>0</v>
      </c>
      <c r="BF322" s="55">
        <f>K322</f>
        <v>0</v>
      </c>
      <c r="BH322" s="55">
        <f>G322*AO322</f>
        <v>0</v>
      </c>
      <c r="BI322" s="55">
        <f>G322*AP322</f>
        <v>0</v>
      </c>
      <c r="BJ322" s="55">
        <f>G322*H322</f>
        <v>0</v>
      </c>
      <c r="BK322" s="55"/>
      <c r="BL322" s="55">
        <v>2225</v>
      </c>
      <c r="BW322" s="55">
        <v>21</v>
      </c>
    </row>
    <row r="323" spans="1:12" ht="13.5" customHeight="1">
      <c r="A323" s="59"/>
      <c r="D323" s="218" t="s">
        <v>129</v>
      </c>
      <c r="E323" s="219"/>
      <c r="F323" s="219"/>
      <c r="G323" s="219"/>
      <c r="H323" s="219"/>
      <c r="I323" s="219"/>
      <c r="J323" s="219"/>
      <c r="K323" s="219"/>
      <c r="L323" s="221"/>
    </row>
    <row r="324" spans="1:75" ht="13.5" customHeight="1">
      <c r="A324" s="1" t="s">
        <v>720</v>
      </c>
      <c r="B324" s="2" t="s">
        <v>116</v>
      </c>
      <c r="C324" s="2" t="s">
        <v>721</v>
      </c>
      <c r="D324" s="147" t="s">
        <v>722</v>
      </c>
      <c r="E324" s="148"/>
      <c r="F324" s="2" t="s">
        <v>123</v>
      </c>
      <c r="G324" s="55">
        <f>'Stavební rozpočet-vyplnit'!G324</f>
        <v>120</v>
      </c>
      <c r="H324" s="55">
        <f>'Stavební rozpočet-vyplnit'!H324</f>
        <v>0</v>
      </c>
      <c r="I324" s="55">
        <f>G324*H324</f>
        <v>0</v>
      </c>
      <c r="J324" s="55">
        <f>'Stavební rozpočet-vyplnit'!J324</f>
        <v>0</v>
      </c>
      <c r="K324" s="55">
        <f>G324*J324</f>
        <v>0</v>
      </c>
      <c r="L324" s="57" t="s">
        <v>124</v>
      </c>
      <c r="Z324" s="55">
        <f>IF(AQ324="5",BJ324,0)</f>
        <v>0</v>
      </c>
      <c r="AB324" s="55">
        <f>IF(AQ324="1",BH324,0)</f>
        <v>0</v>
      </c>
      <c r="AC324" s="55">
        <f>IF(AQ324="1",BI324,0)</f>
        <v>0</v>
      </c>
      <c r="AD324" s="55">
        <f>IF(AQ324="7",BH324,0)</f>
        <v>0</v>
      </c>
      <c r="AE324" s="55">
        <f>IF(AQ324="7",BI324,0)</f>
        <v>0</v>
      </c>
      <c r="AF324" s="55">
        <f>IF(AQ324="2",BH324,0)</f>
        <v>0</v>
      </c>
      <c r="AG324" s="55">
        <f>IF(AQ324="2",BI324,0)</f>
        <v>0</v>
      </c>
      <c r="AH324" s="55">
        <f>IF(AQ324="0",BJ324,0)</f>
        <v>0</v>
      </c>
      <c r="AI324" s="34" t="s">
        <v>116</v>
      </c>
      <c r="AJ324" s="55">
        <f>IF(AN324=0,I324,0)</f>
        <v>0</v>
      </c>
      <c r="AK324" s="55">
        <f>IF(AN324=12,I324,0)</f>
        <v>0</v>
      </c>
      <c r="AL324" s="55">
        <f>IF(AN324=21,I324,0)</f>
        <v>0</v>
      </c>
      <c r="AN324" s="55">
        <v>21</v>
      </c>
      <c r="AO324" s="55">
        <f>H324*0.3339254</f>
        <v>0</v>
      </c>
      <c r="AP324" s="55">
        <f>H324*(1-0.3339254)</f>
        <v>0</v>
      </c>
      <c r="AQ324" s="58" t="s">
        <v>120</v>
      </c>
      <c r="AV324" s="55">
        <f>AW324+AX324</f>
        <v>0</v>
      </c>
      <c r="AW324" s="55">
        <f>G324*AO324</f>
        <v>0</v>
      </c>
      <c r="AX324" s="55">
        <f>G324*AP324</f>
        <v>0</v>
      </c>
      <c r="AY324" s="58" t="s">
        <v>670</v>
      </c>
      <c r="AZ324" s="58" t="s">
        <v>443</v>
      </c>
      <c r="BA324" s="34" t="s">
        <v>128</v>
      </c>
      <c r="BB324" s="67">
        <v>100138</v>
      </c>
      <c r="BC324" s="55">
        <f>AW324+AX324</f>
        <v>0</v>
      </c>
      <c r="BD324" s="55">
        <f>H324/(100-BE324)*100</f>
        <v>0</v>
      </c>
      <c r="BE324" s="55">
        <v>0</v>
      </c>
      <c r="BF324" s="55">
        <f>K324</f>
        <v>0</v>
      </c>
      <c r="BH324" s="55">
        <f>G324*AO324</f>
        <v>0</v>
      </c>
      <c r="BI324" s="55">
        <f>G324*AP324</f>
        <v>0</v>
      </c>
      <c r="BJ324" s="55">
        <f>G324*H324</f>
        <v>0</v>
      </c>
      <c r="BK324" s="55"/>
      <c r="BL324" s="55">
        <v>2225</v>
      </c>
      <c r="BW324" s="55">
        <v>21</v>
      </c>
    </row>
    <row r="325" spans="1:12" ht="13.5" customHeight="1">
      <c r="A325" s="59"/>
      <c r="D325" s="218" t="s">
        <v>129</v>
      </c>
      <c r="E325" s="219"/>
      <c r="F325" s="219"/>
      <c r="G325" s="219"/>
      <c r="H325" s="219"/>
      <c r="I325" s="219"/>
      <c r="J325" s="219"/>
      <c r="K325" s="219"/>
      <c r="L325" s="221"/>
    </row>
    <row r="326" spans="1:75" ht="13.5" customHeight="1">
      <c r="A326" s="1" t="s">
        <v>723</v>
      </c>
      <c r="B326" s="2" t="s">
        <v>116</v>
      </c>
      <c r="C326" s="2" t="s">
        <v>724</v>
      </c>
      <c r="D326" s="147" t="s">
        <v>725</v>
      </c>
      <c r="E326" s="148"/>
      <c r="F326" s="2" t="s">
        <v>123</v>
      </c>
      <c r="G326" s="55">
        <f>'Stavební rozpočet-vyplnit'!G326</f>
        <v>940</v>
      </c>
      <c r="H326" s="55">
        <f>'Stavební rozpočet-vyplnit'!H326</f>
        <v>0</v>
      </c>
      <c r="I326" s="55">
        <f>G326*H326</f>
        <v>0</v>
      </c>
      <c r="J326" s="55">
        <f>'Stavební rozpočet-vyplnit'!J326</f>
        <v>0</v>
      </c>
      <c r="K326" s="55">
        <f>G326*J326</f>
        <v>0</v>
      </c>
      <c r="L326" s="57" t="s">
        <v>124</v>
      </c>
      <c r="Z326" s="55">
        <f>IF(AQ326="5",BJ326,0)</f>
        <v>0</v>
      </c>
      <c r="AB326" s="55">
        <f>IF(AQ326="1",BH326,0)</f>
        <v>0</v>
      </c>
      <c r="AC326" s="55">
        <f>IF(AQ326="1",BI326,0)</f>
        <v>0</v>
      </c>
      <c r="AD326" s="55">
        <f>IF(AQ326="7",BH326,0)</f>
        <v>0</v>
      </c>
      <c r="AE326" s="55">
        <f>IF(AQ326="7",BI326,0)</f>
        <v>0</v>
      </c>
      <c r="AF326" s="55">
        <f>IF(AQ326="2",BH326,0)</f>
        <v>0</v>
      </c>
      <c r="AG326" s="55">
        <f>IF(AQ326="2",BI326,0)</f>
        <v>0</v>
      </c>
      <c r="AH326" s="55">
        <f>IF(AQ326="0",BJ326,0)</f>
        <v>0</v>
      </c>
      <c r="AI326" s="34" t="s">
        <v>116</v>
      </c>
      <c r="AJ326" s="55">
        <f>IF(AN326=0,I326,0)</f>
        <v>0</v>
      </c>
      <c r="AK326" s="55">
        <f>IF(AN326=12,I326,0)</f>
        <v>0</v>
      </c>
      <c r="AL326" s="55">
        <f>IF(AN326=21,I326,0)</f>
        <v>0</v>
      </c>
      <c r="AN326" s="55">
        <v>21</v>
      </c>
      <c r="AO326" s="55">
        <f>H326*0.4</f>
        <v>0</v>
      </c>
      <c r="AP326" s="55">
        <f>H326*(1-0.4)</f>
        <v>0</v>
      </c>
      <c r="AQ326" s="58" t="s">
        <v>120</v>
      </c>
      <c r="AV326" s="55">
        <f>AW326+AX326</f>
        <v>0</v>
      </c>
      <c r="AW326" s="55">
        <f>G326*AO326</f>
        <v>0</v>
      </c>
      <c r="AX326" s="55">
        <f>G326*AP326</f>
        <v>0</v>
      </c>
      <c r="AY326" s="58" t="s">
        <v>670</v>
      </c>
      <c r="AZ326" s="58" t="s">
        <v>443</v>
      </c>
      <c r="BA326" s="34" t="s">
        <v>128</v>
      </c>
      <c r="BB326" s="67">
        <v>100138</v>
      </c>
      <c r="BC326" s="55">
        <f>AW326+AX326</f>
        <v>0</v>
      </c>
      <c r="BD326" s="55">
        <f>H326/(100-BE326)*100</f>
        <v>0</v>
      </c>
      <c r="BE326" s="55">
        <v>0</v>
      </c>
      <c r="BF326" s="55">
        <f>K326</f>
        <v>0</v>
      </c>
      <c r="BH326" s="55">
        <f>G326*AO326</f>
        <v>0</v>
      </c>
      <c r="BI326" s="55">
        <f>G326*AP326</f>
        <v>0</v>
      </c>
      <c r="BJ326" s="55">
        <f>G326*H326</f>
        <v>0</v>
      </c>
      <c r="BK326" s="55"/>
      <c r="BL326" s="55">
        <v>2225</v>
      </c>
      <c r="BW326" s="55">
        <v>21</v>
      </c>
    </row>
    <row r="327" spans="1:12" ht="13.5" customHeight="1">
      <c r="A327" s="59"/>
      <c r="D327" s="218" t="s">
        <v>129</v>
      </c>
      <c r="E327" s="219"/>
      <c r="F327" s="219"/>
      <c r="G327" s="219"/>
      <c r="H327" s="219"/>
      <c r="I327" s="219"/>
      <c r="J327" s="219"/>
      <c r="K327" s="219"/>
      <c r="L327" s="221"/>
    </row>
    <row r="328" spans="1:75" ht="13.5" customHeight="1">
      <c r="A328" s="1" t="s">
        <v>726</v>
      </c>
      <c r="B328" s="2" t="s">
        <v>116</v>
      </c>
      <c r="C328" s="2" t="s">
        <v>727</v>
      </c>
      <c r="D328" s="147" t="s">
        <v>728</v>
      </c>
      <c r="E328" s="148"/>
      <c r="F328" s="2" t="s">
        <v>729</v>
      </c>
      <c r="G328" s="55">
        <f>'Stavební rozpočet-vyplnit'!G328</f>
        <v>0.4</v>
      </c>
      <c r="H328" s="55">
        <f>'Stavební rozpočet-vyplnit'!H328</f>
        <v>0</v>
      </c>
      <c r="I328" s="55">
        <f>G328*H328</f>
        <v>0</v>
      </c>
      <c r="J328" s="55">
        <f>'Stavební rozpočet-vyplnit'!J328</f>
        <v>0</v>
      </c>
      <c r="K328" s="55">
        <f>G328*J328</f>
        <v>0</v>
      </c>
      <c r="L328" s="57" t="s">
        <v>124</v>
      </c>
      <c r="Z328" s="55">
        <f>IF(AQ328="5",BJ328,0)</f>
        <v>0</v>
      </c>
      <c r="AB328" s="55">
        <f>IF(AQ328="1",BH328,0)</f>
        <v>0</v>
      </c>
      <c r="AC328" s="55">
        <f>IF(AQ328="1",BI328,0)</f>
        <v>0</v>
      </c>
      <c r="AD328" s="55">
        <f>IF(AQ328="7",BH328,0)</f>
        <v>0</v>
      </c>
      <c r="AE328" s="55">
        <f>IF(AQ328="7",BI328,0)</f>
        <v>0</v>
      </c>
      <c r="AF328" s="55">
        <f>IF(AQ328="2",BH328,0)</f>
        <v>0</v>
      </c>
      <c r="AG328" s="55">
        <f>IF(AQ328="2",BI328,0)</f>
        <v>0</v>
      </c>
      <c r="AH328" s="55">
        <f>IF(AQ328="0",BJ328,0)</f>
        <v>0</v>
      </c>
      <c r="AI328" s="34" t="s">
        <v>116</v>
      </c>
      <c r="AJ328" s="55">
        <f>IF(AN328=0,I328,0)</f>
        <v>0</v>
      </c>
      <c r="AK328" s="55">
        <f>IF(AN328=12,I328,0)</f>
        <v>0</v>
      </c>
      <c r="AL328" s="55">
        <f>IF(AN328=21,I328,0)</f>
        <v>0</v>
      </c>
      <c r="AN328" s="55">
        <v>21</v>
      </c>
      <c r="AO328" s="55">
        <f>H328*0.5</f>
        <v>0</v>
      </c>
      <c r="AP328" s="55">
        <f>H328*(1-0.5)</f>
        <v>0</v>
      </c>
      <c r="AQ328" s="58" t="s">
        <v>120</v>
      </c>
      <c r="AV328" s="55">
        <f>AW328+AX328</f>
        <v>0</v>
      </c>
      <c r="AW328" s="55">
        <f>G328*AO328</f>
        <v>0</v>
      </c>
      <c r="AX328" s="55">
        <f>G328*AP328</f>
        <v>0</v>
      </c>
      <c r="AY328" s="58" t="s">
        <v>670</v>
      </c>
      <c r="AZ328" s="58" t="s">
        <v>443</v>
      </c>
      <c r="BA328" s="34" t="s">
        <v>128</v>
      </c>
      <c r="BB328" s="67">
        <v>100138</v>
      </c>
      <c r="BC328" s="55">
        <f>AW328+AX328</f>
        <v>0</v>
      </c>
      <c r="BD328" s="55">
        <f>H328/(100-BE328)*100</f>
        <v>0</v>
      </c>
      <c r="BE328" s="55">
        <v>0</v>
      </c>
      <c r="BF328" s="55">
        <f>K328</f>
        <v>0</v>
      </c>
      <c r="BH328" s="55">
        <f>G328*AO328</f>
        <v>0</v>
      </c>
      <c r="BI328" s="55">
        <f>G328*AP328</f>
        <v>0</v>
      </c>
      <c r="BJ328" s="55">
        <f>G328*H328</f>
        <v>0</v>
      </c>
      <c r="BK328" s="55"/>
      <c r="BL328" s="55">
        <v>2225</v>
      </c>
      <c r="BW328" s="55">
        <v>21</v>
      </c>
    </row>
    <row r="329" spans="1:12" ht="13.5" customHeight="1">
      <c r="A329" s="59"/>
      <c r="D329" s="218" t="s">
        <v>129</v>
      </c>
      <c r="E329" s="219"/>
      <c r="F329" s="219"/>
      <c r="G329" s="219"/>
      <c r="H329" s="219"/>
      <c r="I329" s="219"/>
      <c r="J329" s="219"/>
      <c r="K329" s="219"/>
      <c r="L329" s="221"/>
    </row>
    <row r="330" spans="1:75" ht="13.5" customHeight="1">
      <c r="A330" s="1" t="s">
        <v>730</v>
      </c>
      <c r="B330" s="2" t="s">
        <v>116</v>
      </c>
      <c r="C330" s="2" t="s">
        <v>731</v>
      </c>
      <c r="D330" s="147" t="s">
        <v>732</v>
      </c>
      <c r="E330" s="148"/>
      <c r="F330" s="2" t="s">
        <v>123</v>
      </c>
      <c r="G330" s="55">
        <f>'Stavební rozpočet-vyplnit'!G330</f>
        <v>10</v>
      </c>
      <c r="H330" s="55">
        <f>'Stavební rozpočet-vyplnit'!H330</f>
        <v>0</v>
      </c>
      <c r="I330" s="55">
        <f>G330*H330</f>
        <v>0</v>
      </c>
      <c r="J330" s="55">
        <f>'Stavební rozpočet-vyplnit'!J330</f>
        <v>0</v>
      </c>
      <c r="K330" s="55">
        <f>G330*J330</f>
        <v>0</v>
      </c>
      <c r="L330" s="57" t="s">
        <v>124</v>
      </c>
      <c r="Z330" s="55">
        <f>IF(AQ330="5",BJ330,0)</f>
        <v>0</v>
      </c>
      <c r="AB330" s="55">
        <f>IF(AQ330="1",BH330,0)</f>
        <v>0</v>
      </c>
      <c r="AC330" s="55">
        <f>IF(AQ330="1",BI330,0)</f>
        <v>0</v>
      </c>
      <c r="AD330" s="55">
        <f>IF(AQ330="7",BH330,0)</f>
        <v>0</v>
      </c>
      <c r="AE330" s="55">
        <f>IF(AQ330="7",BI330,0)</f>
        <v>0</v>
      </c>
      <c r="AF330" s="55">
        <f>IF(AQ330="2",BH330,0)</f>
        <v>0</v>
      </c>
      <c r="AG330" s="55">
        <f>IF(AQ330="2",BI330,0)</f>
        <v>0</v>
      </c>
      <c r="AH330" s="55">
        <f>IF(AQ330="0",BJ330,0)</f>
        <v>0</v>
      </c>
      <c r="AI330" s="34" t="s">
        <v>116</v>
      </c>
      <c r="AJ330" s="55">
        <f>IF(AN330=0,I330,0)</f>
        <v>0</v>
      </c>
      <c r="AK330" s="55">
        <f>IF(AN330=12,I330,0)</f>
        <v>0</v>
      </c>
      <c r="AL330" s="55">
        <f>IF(AN330=21,I330,0)</f>
        <v>0</v>
      </c>
      <c r="AN330" s="55">
        <v>21</v>
      </c>
      <c r="AO330" s="55">
        <f>H330*0</f>
        <v>0</v>
      </c>
      <c r="AP330" s="55">
        <f>H330*(1-0)</f>
        <v>0</v>
      </c>
      <c r="AQ330" s="58" t="s">
        <v>120</v>
      </c>
      <c r="AV330" s="55">
        <f>AW330+AX330</f>
        <v>0</v>
      </c>
      <c r="AW330" s="55">
        <f>G330*AO330</f>
        <v>0</v>
      </c>
      <c r="AX330" s="55">
        <f>G330*AP330</f>
        <v>0</v>
      </c>
      <c r="AY330" s="58" t="s">
        <v>670</v>
      </c>
      <c r="AZ330" s="58" t="s">
        <v>443</v>
      </c>
      <c r="BA330" s="34" t="s">
        <v>128</v>
      </c>
      <c r="BB330" s="67">
        <v>100138</v>
      </c>
      <c r="BC330" s="55">
        <f>AW330+AX330</f>
        <v>0</v>
      </c>
      <c r="BD330" s="55">
        <f>H330/(100-BE330)*100</f>
        <v>0</v>
      </c>
      <c r="BE330" s="55">
        <v>0</v>
      </c>
      <c r="BF330" s="55">
        <f>K330</f>
        <v>0</v>
      </c>
      <c r="BH330" s="55">
        <f>G330*AO330</f>
        <v>0</v>
      </c>
      <c r="BI330" s="55">
        <f>G330*AP330</f>
        <v>0</v>
      </c>
      <c r="BJ330" s="55">
        <f>G330*H330</f>
        <v>0</v>
      </c>
      <c r="BK330" s="55"/>
      <c r="BL330" s="55">
        <v>2225</v>
      </c>
      <c r="BW330" s="55">
        <v>21</v>
      </c>
    </row>
    <row r="331" spans="1:75" ht="13.5" customHeight="1">
      <c r="A331" s="1" t="s">
        <v>733</v>
      </c>
      <c r="B331" s="2" t="s">
        <v>116</v>
      </c>
      <c r="C331" s="2" t="s">
        <v>734</v>
      </c>
      <c r="D331" s="147" t="s">
        <v>735</v>
      </c>
      <c r="E331" s="148"/>
      <c r="F331" s="2" t="s">
        <v>123</v>
      </c>
      <c r="G331" s="55">
        <f>'Stavební rozpočet-vyplnit'!G331</f>
        <v>3</v>
      </c>
      <c r="H331" s="55">
        <f>'Stavební rozpočet-vyplnit'!H331</f>
        <v>0</v>
      </c>
      <c r="I331" s="55">
        <f>G331*H331</f>
        <v>0</v>
      </c>
      <c r="J331" s="55">
        <f>'Stavební rozpočet-vyplnit'!J331</f>
        <v>0</v>
      </c>
      <c r="K331" s="55">
        <f>G331*J331</f>
        <v>0</v>
      </c>
      <c r="L331" s="57" t="s">
        <v>124</v>
      </c>
      <c r="Z331" s="55">
        <f>IF(AQ331="5",BJ331,0)</f>
        <v>0</v>
      </c>
      <c r="AB331" s="55">
        <f>IF(AQ331="1",BH331,0)</f>
        <v>0</v>
      </c>
      <c r="AC331" s="55">
        <f>IF(AQ331="1",BI331,0)</f>
        <v>0</v>
      </c>
      <c r="AD331" s="55">
        <f>IF(AQ331="7",BH331,0)</f>
        <v>0</v>
      </c>
      <c r="AE331" s="55">
        <f>IF(AQ331="7",BI331,0)</f>
        <v>0</v>
      </c>
      <c r="AF331" s="55">
        <f>IF(AQ331="2",BH331,0)</f>
        <v>0</v>
      </c>
      <c r="AG331" s="55">
        <f>IF(AQ331="2",BI331,0)</f>
        <v>0</v>
      </c>
      <c r="AH331" s="55">
        <f>IF(AQ331="0",BJ331,0)</f>
        <v>0</v>
      </c>
      <c r="AI331" s="34" t="s">
        <v>116</v>
      </c>
      <c r="AJ331" s="55">
        <f>IF(AN331=0,I331,0)</f>
        <v>0</v>
      </c>
      <c r="AK331" s="55">
        <f>IF(AN331=12,I331,0)</f>
        <v>0</v>
      </c>
      <c r="AL331" s="55">
        <f>IF(AN331=21,I331,0)</f>
        <v>0</v>
      </c>
      <c r="AN331" s="55">
        <v>21</v>
      </c>
      <c r="AO331" s="55">
        <f>H331*0</f>
        <v>0</v>
      </c>
      <c r="AP331" s="55">
        <f>H331*(1-0)</f>
        <v>0</v>
      </c>
      <c r="AQ331" s="58" t="s">
        <v>120</v>
      </c>
      <c r="AV331" s="55">
        <f>AW331+AX331</f>
        <v>0</v>
      </c>
      <c r="AW331" s="55">
        <f>G331*AO331</f>
        <v>0</v>
      </c>
      <c r="AX331" s="55">
        <f>G331*AP331</f>
        <v>0</v>
      </c>
      <c r="AY331" s="58" t="s">
        <v>670</v>
      </c>
      <c r="AZ331" s="58" t="s">
        <v>443</v>
      </c>
      <c r="BA331" s="34" t="s">
        <v>128</v>
      </c>
      <c r="BB331" s="67">
        <v>100138</v>
      </c>
      <c r="BC331" s="55">
        <f>AW331+AX331</f>
        <v>0</v>
      </c>
      <c r="BD331" s="55">
        <f>H331/(100-BE331)*100</f>
        <v>0</v>
      </c>
      <c r="BE331" s="55">
        <v>0</v>
      </c>
      <c r="BF331" s="55">
        <f>K331</f>
        <v>0</v>
      </c>
      <c r="BH331" s="55">
        <f>G331*AO331</f>
        <v>0</v>
      </c>
      <c r="BI331" s="55">
        <f>G331*AP331</f>
        <v>0</v>
      </c>
      <c r="BJ331" s="55">
        <f>G331*H331</f>
        <v>0</v>
      </c>
      <c r="BK331" s="55"/>
      <c r="BL331" s="55">
        <v>2225</v>
      </c>
      <c r="BW331" s="55">
        <v>21</v>
      </c>
    </row>
    <row r="332" spans="1:75" ht="13.5" customHeight="1">
      <c r="A332" s="1" t="s">
        <v>736</v>
      </c>
      <c r="B332" s="2" t="s">
        <v>116</v>
      </c>
      <c r="C332" s="2" t="s">
        <v>737</v>
      </c>
      <c r="D332" s="147" t="s">
        <v>589</v>
      </c>
      <c r="E332" s="148"/>
      <c r="F332" s="2" t="s">
        <v>360</v>
      </c>
      <c r="G332" s="55">
        <f>'Stavební rozpočet-vyplnit'!G332</f>
        <v>12</v>
      </c>
      <c r="H332" s="55">
        <f>'Stavební rozpočet-vyplnit'!H332</f>
        <v>0</v>
      </c>
      <c r="I332" s="55">
        <f>G332*H332</f>
        <v>0</v>
      </c>
      <c r="J332" s="55">
        <f>'Stavební rozpočet-vyplnit'!J332</f>
        <v>0</v>
      </c>
      <c r="K332" s="55">
        <f>G332*J332</f>
        <v>0</v>
      </c>
      <c r="L332" s="57" t="s">
        <v>124</v>
      </c>
      <c r="Z332" s="55">
        <f>IF(AQ332="5",BJ332,0)</f>
        <v>0</v>
      </c>
      <c r="AB332" s="55">
        <f>IF(AQ332="1",BH332,0)</f>
        <v>0</v>
      </c>
      <c r="AC332" s="55">
        <f>IF(AQ332="1",BI332,0)</f>
        <v>0</v>
      </c>
      <c r="AD332" s="55">
        <f>IF(AQ332="7",BH332,0)</f>
        <v>0</v>
      </c>
      <c r="AE332" s="55">
        <f>IF(AQ332="7",BI332,0)</f>
        <v>0</v>
      </c>
      <c r="AF332" s="55">
        <f>IF(AQ332="2",BH332,0)</f>
        <v>0</v>
      </c>
      <c r="AG332" s="55">
        <f>IF(AQ332="2",BI332,0)</f>
        <v>0</v>
      </c>
      <c r="AH332" s="55">
        <f>IF(AQ332="0",BJ332,0)</f>
        <v>0</v>
      </c>
      <c r="AI332" s="34" t="s">
        <v>116</v>
      </c>
      <c r="AJ332" s="55">
        <f>IF(AN332=0,I332,0)</f>
        <v>0</v>
      </c>
      <c r="AK332" s="55">
        <f>IF(AN332=12,I332,0)</f>
        <v>0</v>
      </c>
      <c r="AL332" s="55">
        <f>IF(AN332=21,I332,0)</f>
        <v>0</v>
      </c>
      <c r="AN332" s="55">
        <v>21</v>
      </c>
      <c r="AO332" s="55">
        <f>H332*0</f>
        <v>0</v>
      </c>
      <c r="AP332" s="55">
        <f>H332*(1-0)</f>
        <v>0</v>
      </c>
      <c r="AQ332" s="58" t="s">
        <v>120</v>
      </c>
      <c r="AV332" s="55">
        <f>AW332+AX332</f>
        <v>0</v>
      </c>
      <c r="AW332" s="55">
        <f>G332*AO332</f>
        <v>0</v>
      </c>
      <c r="AX332" s="55">
        <f>G332*AP332</f>
        <v>0</v>
      </c>
      <c r="AY332" s="58" t="s">
        <v>670</v>
      </c>
      <c r="AZ332" s="58" t="s">
        <v>443</v>
      </c>
      <c r="BA332" s="34" t="s">
        <v>128</v>
      </c>
      <c r="BB332" s="67">
        <v>100138</v>
      </c>
      <c r="BC332" s="55">
        <f>AW332+AX332</f>
        <v>0</v>
      </c>
      <c r="BD332" s="55">
        <f>H332/(100-BE332)*100</f>
        <v>0</v>
      </c>
      <c r="BE332" s="55">
        <v>0</v>
      </c>
      <c r="BF332" s="55">
        <f>K332</f>
        <v>0</v>
      </c>
      <c r="BH332" s="55">
        <f>G332*AO332</f>
        <v>0</v>
      </c>
      <c r="BI332" s="55">
        <f>G332*AP332</f>
        <v>0</v>
      </c>
      <c r="BJ332" s="55">
        <f>G332*H332</f>
        <v>0</v>
      </c>
      <c r="BK332" s="55"/>
      <c r="BL332" s="55">
        <v>2225</v>
      </c>
      <c r="BW332" s="55">
        <v>21</v>
      </c>
    </row>
    <row r="333" spans="1:75" ht="13.5" customHeight="1">
      <c r="A333" s="1" t="s">
        <v>738</v>
      </c>
      <c r="B333" s="2" t="s">
        <v>116</v>
      </c>
      <c r="C333" s="2" t="s">
        <v>739</v>
      </c>
      <c r="D333" s="147" t="s">
        <v>592</v>
      </c>
      <c r="E333" s="148"/>
      <c r="F333" s="2" t="s">
        <v>360</v>
      </c>
      <c r="G333" s="55">
        <f>'Stavební rozpočet-vyplnit'!G333</f>
        <v>8</v>
      </c>
      <c r="H333" s="55">
        <f>'Stavební rozpočet-vyplnit'!H333</f>
        <v>0</v>
      </c>
      <c r="I333" s="55">
        <f>G333*H333</f>
        <v>0</v>
      </c>
      <c r="J333" s="55">
        <f>'Stavební rozpočet-vyplnit'!J333</f>
        <v>0</v>
      </c>
      <c r="K333" s="55">
        <f>G333*J333</f>
        <v>0</v>
      </c>
      <c r="L333" s="57" t="s">
        <v>124</v>
      </c>
      <c r="Z333" s="55">
        <f>IF(AQ333="5",BJ333,0)</f>
        <v>0</v>
      </c>
      <c r="AB333" s="55">
        <f>IF(AQ333="1",BH333,0)</f>
        <v>0</v>
      </c>
      <c r="AC333" s="55">
        <f>IF(AQ333="1",BI333,0)</f>
        <v>0</v>
      </c>
      <c r="AD333" s="55">
        <f>IF(AQ333="7",BH333,0)</f>
        <v>0</v>
      </c>
      <c r="AE333" s="55">
        <f>IF(AQ333="7",BI333,0)</f>
        <v>0</v>
      </c>
      <c r="AF333" s="55">
        <f>IF(AQ333="2",BH333,0)</f>
        <v>0</v>
      </c>
      <c r="AG333" s="55">
        <f>IF(AQ333="2",BI333,0)</f>
        <v>0</v>
      </c>
      <c r="AH333" s="55">
        <f>IF(AQ333="0",BJ333,0)</f>
        <v>0</v>
      </c>
      <c r="AI333" s="34" t="s">
        <v>116</v>
      </c>
      <c r="AJ333" s="55">
        <f>IF(AN333=0,I333,0)</f>
        <v>0</v>
      </c>
      <c r="AK333" s="55">
        <f>IF(AN333=12,I333,0)</f>
        <v>0</v>
      </c>
      <c r="AL333" s="55">
        <f>IF(AN333=21,I333,0)</f>
        <v>0</v>
      </c>
      <c r="AN333" s="55">
        <v>21</v>
      </c>
      <c r="AO333" s="55">
        <f>H333*0</f>
        <v>0</v>
      </c>
      <c r="AP333" s="55">
        <f>H333*(1-0)</f>
        <v>0</v>
      </c>
      <c r="AQ333" s="58" t="s">
        <v>120</v>
      </c>
      <c r="AV333" s="55">
        <f>AW333+AX333</f>
        <v>0</v>
      </c>
      <c r="AW333" s="55">
        <f>G333*AO333</f>
        <v>0</v>
      </c>
      <c r="AX333" s="55">
        <f>G333*AP333</f>
        <v>0</v>
      </c>
      <c r="AY333" s="58" t="s">
        <v>670</v>
      </c>
      <c r="AZ333" s="58" t="s">
        <v>443</v>
      </c>
      <c r="BA333" s="34" t="s">
        <v>128</v>
      </c>
      <c r="BB333" s="67">
        <v>100138</v>
      </c>
      <c r="BC333" s="55">
        <f>AW333+AX333</f>
        <v>0</v>
      </c>
      <c r="BD333" s="55">
        <f>H333/(100-BE333)*100</f>
        <v>0</v>
      </c>
      <c r="BE333" s="55">
        <v>0</v>
      </c>
      <c r="BF333" s="55">
        <f>K333</f>
        <v>0</v>
      </c>
      <c r="BH333" s="55">
        <f>G333*AO333</f>
        <v>0</v>
      </c>
      <c r="BI333" s="55">
        <f>G333*AP333</f>
        <v>0</v>
      </c>
      <c r="BJ333" s="55">
        <f>G333*H333</f>
        <v>0</v>
      </c>
      <c r="BK333" s="55"/>
      <c r="BL333" s="55">
        <v>2225</v>
      </c>
      <c r="BW333" s="55">
        <v>21</v>
      </c>
    </row>
    <row r="334" spans="1:75" ht="13.5" customHeight="1">
      <c r="A334" s="1" t="s">
        <v>740</v>
      </c>
      <c r="B334" s="2" t="s">
        <v>116</v>
      </c>
      <c r="C334" s="2" t="s">
        <v>741</v>
      </c>
      <c r="D334" s="147" t="s">
        <v>742</v>
      </c>
      <c r="E334" s="148"/>
      <c r="F334" s="2" t="s">
        <v>360</v>
      </c>
      <c r="G334" s="55">
        <f>'Stavební rozpočet-vyplnit'!G334</f>
        <v>8</v>
      </c>
      <c r="H334" s="55">
        <f>'Stavební rozpočet-vyplnit'!H334</f>
        <v>0</v>
      </c>
      <c r="I334" s="55">
        <f>G334*H334</f>
        <v>0</v>
      </c>
      <c r="J334" s="55">
        <f>'Stavební rozpočet-vyplnit'!J334</f>
        <v>0</v>
      </c>
      <c r="K334" s="55">
        <f>G334*J334</f>
        <v>0</v>
      </c>
      <c r="L334" s="57" t="s">
        <v>124</v>
      </c>
      <c r="Z334" s="55">
        <f>IF(AQ334="5",BJ334,0)</f>
        <v>0</v>
      </c>
      <c r="AB334" s="55">
        <f>IF(AQ334="1",BH334,0)</f>
        <v>0</v>
      </c>
      <c r="AC334" s="55">
        <f>IF(AQ334="1",BI334,0)</f>
        <v>0</v>
      </c>
      <c r="AD334" s="55">
        <f>IF(AQ334="7",BH334,0)</f>
        <v>0</v>
      </c>
      <c r="AE334" s="55">
        <f>IF(AQ334="7",BI334,0)</f>
        <v>0</v>
      </c>
      <c r="AF334" s="55">
        <f>IF(AQ334="2",BH334,0)</f>
        <v>0</v>
      </c>
      <c r="AG334" s="55">
        <f>IF(AQ334="2",BI334,0)</f>
        <v>0</v>
      </c>
      <c r="AH334" s="55">
        <f>IF(AQ334="0",BJ334,0)</f>
        <v>0</v>
      </c>
      <c r="AI334" s="34" t="s">
        <v>116</v>
      </c>
      <c r="AJ334" s="55">
        <f>IF(AN334=0,I334,0)</f>
        <v>0</v>
      </c>
      <c r="AK334" s="55">
        <f>IF(AN334=12,I334,0)</f>
        <v>0</v>
      </c>
      <c r="AL334" s="55">
        <f>IF(AN334=21,I334,0)</f>
        <v>0</v>
      </c>
      <c r="AN334" s="55">
        <v>21</v>
      </c>
      <c r="AO334" s="55">
        <f>H334*0</f>
        <v>0</v>
      </c>
      <c r="AP334" s="55">
        <f>H334*(1-0)</f>
        <v>0</v>
      </c>
      <c r="AQ334" s="58" t="s">
        <v>120</v>
      </c>
      <c r="AV334" s="55">
        <f>AW334+AX334</f>
        <v>0</v>
      </c>
      <c r="AW334" s="55">
        <f>G334*AO334</f>
        <v>0</v>
      </c>
      <c r="AX334" s="55">
        <f>G334*AP334</f>
        <v>0</v>
      </c>
      <c r="AY334" s="58" t="s">
        <v>670</v>
      </c>
      <c r="AZ334" s="58" t="s">
        <v>443</v>
      </c>
      <c r="BA334" s="34" t="s">
        <v>128</v>
      </c>
      <c r="BB334" s="67">
        <v>100138</v>
      </c>
      <c r="BC334" s="55">
        <f>AW334+AX334</f>
        <v>0</v>
      </c>
      <c r="BD334" s="55">
        <f>H334/(100-BE334)*100</f>
        <v>0</v>
      </c>
      <c r="BE334" s="55">
        <v>0</v>
      </c>
      <c r="BF334" s="55">
        <f>K334</f>
        <v>0</v>
      </c>
      <c r="BH334" s="55">
        <f>G334*AO334</f>
        <v>0</v>
      </c>
      <c r="BI334" s="55">
        <f>G334*AP334</f>
        <v>0</v>
      </c>
      <c r="BJ334" s="55">
        <f>G334*H334</f>
        <v>0</v>
      </c>
      <c r="BK334" s="55"/>
      <c r="BL334" s="55">
        <v>2225</v>
      </c>
      <c r="BW334" s="55">
        <v>21</v>
      </c>
    </row>
    <row r="335" spans="1:47" ht="14.4">
      <c r="A335" s="50" t="s">
        <v>4</v>
      </c>
      <c r="B335" s="51" t="s">
        <v>116</v>
      </c>
      <c r="C335" s="51" t="s">
        <v>743</v>
      </c>
      <c r="D335" s="222" t="s">
        <v>744</v>
      </c>
      <c r="E335" s="223"/>
      <c r="F335" s="52" t="s">
        <v>79</v>
      </c>
      <c r="G335" s="52" t="s">
        <v>79</v>
      </c>
      <c r="H335" s="52" t="s">
        <v>79</v>
      </c>
      <c r="I335" s="27">
        <f>SUM(I336:I355)</f>
        <v>0</v>
      </c>
      <c r="J335" s="34" t="s">
        <v>4</v>
      </c>
      <c r="K335" s="27">
        <f>SUM(K336:K355)</f>
        <v>0</v>
      </c>
      <c r="L335" s="54" t="s">
        <v>4</v>
      </c>
      <c r="AI335" s="34" t="s">
        <v>116</v>
      </c>
      <c r="AS335" s="27">
        <f>SUM(AJ336:AJ355)</f>
        <v>0</v>
      </c>
      <c r="AT335" s="27">
        <f>SUM(AK336:AK355)</f>
        <v>0</v>
      </c>
      <c r="AU335" s="27">
        <f>SUM(AL336:AL355)</f>
        <v>0</v>
      </c>
    </row>
    <row r="336" spans="1:75" ht="27" customHeight="1">
      <c r="A336" s="1" t="s">
        <v>745</v>
      </c>
      <c r="B336" s="2" t="s">
        <v>116</v>
      </c>
      <c r="C336" s="2" t="s">
        <v>746</v>
      </c>
      <c r="D336" s="147" t="s">
        <v>747</v>
      </c>
      <c r="E336" s="148"/>
      <c r="F336" s="2" t="s">
        <v>123</v>
      </c>
      <c r="G336" s="55">
        <f>'Stavební rozpočet-vyplnit'!G336</f>
        <v>3</v>
      </c>
      <c r="H336" s="55">
        <f>'Stavební rozpočet-vyplnit'!H336</f>
        <v>0</v>
      </c>
      <c r="I336" s="55">
        <f>G336*H336</f>
        <v>0</v>
      </c>
      <c r="J336" s="55">
        <f>'Stavební rozpočet-vyplnit'!J336</f>
        <v>0</v>
      </c>
      <c r="K336" s="55">
        <f>G336*J336</f>
        <v>0</v>
      </c>
      <c r="L336" s="57" t="s">
        <v>124</v>
      </c>
      <c r="Z336" s="55">
        <f>IF(AQ336="5",BJ336,0)</f>
        <v>0</v>
      </c>
      <c r="AB336" s="55">
        <f>IF(AQ336="1",BH336,0)</f>
        <v>0</v>
      </c>
      <c r="AC336" s="55">
        <f>IF(AQ336="1",BI336,0)</f>
        <v>0</v>
      </c>
      <c r="AD336" s="55">
        <f>IF(AQ336="7",BH336,0)</f>
        <v>0</v>
      </c>
      <c r="AE336" s="55">
        <f>IF(AQ336="7",BI336,0)</f>
        <v>0</v>
      </c>
      <c r="AF336" s="55">
        <f>IF(AQ336="2",BH336,0)</f>
        <v>0</v>
      </c>
      <c r="AG336" s="55">
        <f>IF(AQ336="2",BI336,0)</f>
        <v>0</v>
      </c>
      <c r="AH336" s="55">
        <f>IF(AQ336="0",BJ336,0)</f>
        <v>0</v>
      </c>
      <c r="AI336" s="34" t="s">
        <v>116</v>
      </c>
      <c r="AJ336" s="55">
        <f>IF(AN336=0,I336,0)</f>
        <v>0</v>
      </c>
      <c r="AK336" s="55">
        <f>IF(AN336=12,I336,0)</f>
        <v>0</v>
      </c>
      <c r="AL336" s="55">
        <f>IF(AN336=21,I336,0)</f>
        <v>0</v>
      </c>
      <c r="AN336" s="55">
        <v>21</v>
      </c>
      <c r="AO336" s="55">
        <f>H336*0.863238512</f>
        <v>0</v>
      </c>
      <c r="AP336" s="55">
        <f>H336*(1-0.863238512)</f>
        <v>0</v>
      </c>
      <c r="AQ336" s="58" t="s">
        <v>120</v>
      </c>
      <c r="AV336" s="55">
        <f>AW336+AX336</f>
        <v>0</v>
      </c>
      <c r="AW336" s="55">
        <f>G336*AO336</f>
        <v>0</v>
      </c>
      <c r="AX336" s="55">
        <f>G336*AP336</f>
        <v>0</v>
      </c>
      <c r="AY336" s="58" t="s">
        <v>748</v>
      </c>
      <c r="AZ336" s="58" t="s">
        <v>443</v>
      </c>
      <c r="BA336" s="34" t="s">
        <v>128</v>
      </c>
      <c r="BB336" s="67">
        <v>100134</v>
      </c>
      <c r="BC336" s="55">
        <f>AW336+AX336</f>
        <v>0</v>
      </c>
      <c r="BD336" s="55">
        <f>H336/(100-BE336)*100</f>
        <v>0</v>
      </c>
      <c r="BE336" s="55">
        <v>0</v>
      </c>
      <c r="BF336" s="55">
        <f>K336</f>
        <v>0</v>
      </c>
      <c r="BH336" s="55">
        <f>G336*AO336</f>
        <v>0</v>
      </c>
      <c r="BI336" s="55">
        <f>G336*AP336</f>
        <v>0</v>
      </c>
      <c r="BJ336" s="55">
        <f>G336*H336</f>
        <v>0</v>
      </c>
      <c r="BK336" s="55"/>
      <c r="BL336" s="55">
        <v>2227</v>
      </c>
      <c r="BW336" s="55">
        <v>21</v>
      </c>
    </row>
    <row r="337" spans="1:12" ht="13.5" customHeight="1">
      <c r="A337" s="59"/>
      <c r="D337" s="218" t="s">
        <v>129</v>
      </c>
      <c r="E337" s="219"/>
      <c r="F337" s="219"/>
      <c r="G337" s="219"/>
      <c r="H337" s="219"/>
      <c r="I337" s="219"/>
      <c r="J337" s="219"/>
      <c r="K337" s="219"/>
      <c r="L337" s="221"/>
    </row>
    <row r="338" spans="1:75" ht="13.5" customHeight="1">
      <c r="A338" s="1" t="s">
        <v>749</v>
      </c>
      <c r="B338" s="2" t="s">
        <v>116</v>
      </c>
      <c r="C338" s="2" t="s">
        <v>750</v>
      </c>
      <c r="D338" s="147" t="s">
        <v>751</v>
      </c>
      <c r="E338" s="148"/>
      <c r="F338" s="2" t="s">
        <v>123</v>
      </c>
      <c r="G338" s="55">
        <f>'Stavební rozpočet-vyplnit'!G338</f>
        <v>3</v>
      </c>
      <c r="H338" s="55">
        <f>'Stavební rozpočet-vyplnit'!H338</f>
        <v>0</v>
      </c>
      <c r="I338" s="55">
        <f>G338*H338</f>
        <v>0</v>
      </c>
      <c r="J338" s="55">
        <f>'Stavební rozpočet-vyplnit'!J338</f>
        <v>0</v>
      </c>
      <c r="K338" s="55">
        <f>G338*J338</f>
        <v>0</v>
      </c>
      <c r="L338" s="57" t="s">
        <v>124</v>
      </c>
      <c r="Z338" s="55">
        <f>IF(AQ338="5",BJ338,0)</f>
        <v>0</v>
      </c>
      <c r="AB338" s="55">
        <f>IF(AQ338="1",BH338,0)</f>
        <v>0</v>
      </c>
      <c r="AC338" s="55">
        <f>IF(AQ338="1",BI338,0)</f>
        <v>0</v>
      </c>
      <c r="AD338" s="55">
        <f>IF(AQ338="7",BH338,0)</f>
        <v>0</v>
      </c>
      <c r="AE338" s="55">
        <f>IF(AQ338="7",BI338,0)</f>
        <v>0</v>
      </c>
      <c r="AF338" s="55">
        <f>IF(AQ338="2",BH338,0)</f>
        <v>0</v>
      </c>
      <c r="AG338" s="55">
        <f>IF(AQ338="2",BI338,0)</f>
        <v>0</v>
      </c>
      <c r="AH338" s="55">
        <f>IF(AQ338="0",BJ338,0)</f>
        <v>0</v>
      </c>
      <c r="AI338" s="34" t="s">
        <v>116</v>
      </c>
      <c r="AJ338" s="55">
        <f>IF(AN338=0,I338,0)</f>
        <v>0</v>
      </c>
      <c r="AK338" s="55">
        <f>IF(AN338=12,I338,0)</f>
        <v>0</v>
      </c>
      <c r="AL338" s="55">
        <f>IF(AN338=21,I338,0)</f>
        <v>0</v>
      </c>
      <c r="AN338" s="55">
        <v>21</v>
      </c>
      <c r="AO338" s="55">
        <f>H338*0.578313253</f>
        <v>0</v>
      </c>
      <c r="AP338" s="55">
        <f>H338*(1-0.578313253)</f>
        <v>0</v>
      </c>
      <c r="AQ338" s="58" t="s">
        <v>120</v>
      </c>
      <c r="AV338" s="55">
        <f>AW338+AX338</f>
        <v>0</v>
      </c>
      <c r="AW338" s="55">
        <f>G338*AO338</f>
        <v>0</v>
      </c>
      <c r="AX338" s="55">
        <f>G338*AP338</f>
        <v>0</v>
      </c>
      <c r="AY338" s="58" t="s">
        <v>748</v>
      </c>
      <c r="AZ338" s="58" t="s">
        <v>443</v>
      </c>
      <c r="BA338" s="34" t="s">
        <v>128</v>
      </c>
      <c r="BB338" s="67">
        <v>100134</v>
      </c>
      <c r="BC338" s="55">
        <f>AW338+AX338</f>
        <v>0</v>
      </c>
      <c r="BD338" s="55">
        <f>H338/(100-BE338)*100</f>
        <v>0</v>
      </c>
      <c r="BE338" s="55">
        <v>0</v>
      </c>
      <c r="BF338" s="55">
        <f>K338</f>
        <v>0</v>
      </c>
      <c r="BH338" s="55">
        <f>G338*AO338</f>
        <v>0</v>
      </c>
      <c r="BI338" s="55">
        <f>G338*AP338</f>
        <v>0</v>
      </c>
      <c r="BJ338" s="55">
        <f>G338*H338</f>
        <v>0</v>
      </c>
      <c r="BK338" s="55"/>
      <c r="BL338" s="55">
        <v>2227</v>
      </c>
      <c r="BW338" s="55">
        <v>21</v>
      </c>
    </row>
    <row r="339" spans="1:12" ht="13.5" customHeight="1">
      <c r="A339" s="59"/>
      <c r="D339" s="218" t="s">
        <v>129</v>
      </c>
      <c r="E339" s="219"/>
      <c r="F339" s="219"/>
      <c r="G339" s="219"/>
      <c r="H339" s="219"/>
      <c r="I339" s="219"/>
      <c r="J339" s="219"/>
      <c r="K339" s="219"/>
      <c r="L339" s="221"/>
    </row>
    <row r="340" spans="1:75" ht="27" customHeight="1">
      <c r="A340" s="1" t="s">
        <v>752</v>
      </c>
      <c r="B340" s="2" t="s">
        <v>116</v>
      </c>
      <c r="C340" s="2" t="s">
        <v>753</v>
      </c>
      <c r="D340" s="147" t="s">
        <v>754</v>
      </c>
      <c r="E340" s="148"/>
      <c r="F340" s="2" t="s">
        <v>123</v>
      </c>
      <c r="G340" s="55">
        <f>'Stavební rozpočet-vyplnit'!G340</f>
        <v>1</v>
      </c>
      <c r="H340" s="55">
        <f>'Stavební rozpočet-vyplnit'!H340</f>
        <v>0</v>
      </c>
      <c r="I340" s="55">
        <f>G340*H340</f>
        <v>0</v>
      </c>
      <c r="J340" s="55">
        <f>'Stavební rozpočet-vyplnit'!J340</f>
        <v>0</v>
      </c>
      <c r="K340" s="55">
        <f>G340*J340</f>
        <v>0</v>
      </c>
      <c r="L340" s="57" t="s">
        <v>124</v>
      </c>
      <c r="Z340" s="55">
        <f>IF(AQ340="5",BJ340,0)</f>
        <v>0</v>
      </c>
      <c r="AB340" s="55">
        <f>IF(AQ340="1",BH340,0)</f>
        <v>0</v>
      </c>
      <c r="AC340" s="55">
        <f>IF(AQ340="1",BI340,0)</f>
        <v>0</v>
      </c>
      <c r="AD340" s="55">
        <f>IF(AQ340="7",BH340,0)</f>
        <v>0</v>
      </c>
      <c r="AE340" s="55">
        <f>IF(AQ340="7",BI340,0)</f>
        <v>0</v>
      </c>
      <c r="AF340" s="55">
        <f>IF(AQ340="2",BH340,0)</f>
        <v>0</v>
      </c>
      <c r="AG340" s="55">
        <f>IF(AQ340="2",BI340,0)</f>
        <v>0</v>
      </c>
      <c r="AH340" s="55">
        <f>IF(AQ340="0",BJ340,0)</f>
        <v>0</v>
      </c>
      <c r="AI340" s="34" t="s">
        <v>116</v>
      </c>
      <c r="AJ340" s="55">
        <f>IF(AN340=0,I340,0)</f>
        <v>0</v>
      </c>
      <c r="AK340" s="55">
        <f>IF(AN340=12,I340,0)</f>
        <v>0</v>
      </c>
      <c r="AL340" s="55">
        <f>IF(AN340=21,I340,0)</f>
        <v>0</v>
      </c>
      <c r="AN340" s="55">
        <v>21</v>
      </c>
      <c r="AO340" s="55">
        <f>H340*0.922552664</f>
        <v>0</v>
      </c>
      <c r="AP340" s="55">
        <f>H340*(1-0.922552664)</f>
        <v>0</v>
      </c>
      <c r="AQ340" s="58" t="s">
        <v>120</v>
      </c>
      <c r="AV340" s="55">
        <f>AW340+AX340</f>
        <v>0</v>
      </c>
      <c r="AW340" s="55">
        <f>G340*AO340</f>
        <v>0</v>
      </c>
      <c r="AX340" s="55">
        <f>G340*AP340</f>
        <v>0</v>
      </c>
      <c r="AY340" s="58" t="s">
        <v>748</v>
      </c>
      <c r="AZ340" s="58" t="s">
        <v>443</v>
      </c>
      <c r="BA340" s="34" t="s">
        <v>128</v>
      </c>
      <c r="BB340" s="67">
        <v>100134</v>
      </c>
      <c r="BC340" s="55">
        <f>AW340+AX340</f>
        <v>0</v>
      </c>
      <c r="BD340" s="55">
        <f>H340/(100-BE340)*100</f>
        <v>0</v>
      </c>
      <c r="BE340" s="55">
        <v>0</v>
      </c>
      <c r="BF340" s="55">
        <f>K340</f>
        <v>0</v>
      </c>
      <c r="BH340" s="55">
        <f>G340*AO340</f>
        <v>0</v>
      </c>
      <c r="BI340" s="55">
        <f>G340*AP340</f>
        <v>0</v>
      </c>
      <c r="BJ340" s="55">
        <f>G340*H340</f>
        <v>0</v>
      </c>
      <c r="BK340" s="55"/>
      <c r="BL340" s="55">
        <v>2227</v>
      </c>
      <c r="BW340" s="55">
        <v>21</v>
      </c>
    </row>
    <row r="341" spans="1:12" ht="13.5" customHeight="1">
      <c r="A341" s="59"/>
      <c r="D341" s="218" t="s">
        <v>755</v>
      </c>
      <c r="E341" s="219"/>
      <c r="F341" s="219"/>
      <c r="G341" s="219"/>
      <c r="H341" s="219"/>
      <c r="I341" s="219"/>
      <c r="J341" s="219"/>
      <c r="K341" s="219"/>
      <c r="L341" s="221"/>
    </row>
    <row r="342" spans="1:75" ht="13.5" customHeight="1">
      <c r="A342" s="1" t="s">
        <v>756</v>
      </c>
      <c r="B342" s="2" t="s">
        <v>116</v>
      </c>
      <c r="C342" s="2" t="s">
        <v>757</v>
      </c>
      <c r="D342" s="147" t="s">
        <v>758</v>
      </c>
      <c r="E342" s="148"/>
      <c r="F342" s="2" t="s">
        <v>123</v>
      </c>
      <c r="G342" s="55">
        <f>'Stavební rozpočet-vyplnit'!G342</f>
        <v>2</v>
      </c>
      <c r="H342" s="55">
        <f>'Stavební rozpočet-vyplnit'!H342</f>
        <v>0</v>
      </c>
      <c r="I342" s="55">
        <f>G342*H342</f>
        <v>0</v>
      </c>
      <c r="J342" s="55">
        <f>'Stavební rozpočet-vyplnit'!J342</f>
        <v>0</v>
      </c>
      <c r="K342" s="55">
        <f>G342*J342</f>
        <v>0</v>
      </c>
      <c r="L342" s="57" t="s">
        <v>124</v>
      </c>
      <c r="Z342" s="55">
        <f>IF(AQ342="5",BJ342,0)</f>
        <v>0</v>
      </c>
      <c r="AB342" s="55">
        <f>IF(AQ342="1",BH342,0)</f>
        <v>0</v>
      </c>
      <c r="AC342" s="55">
        <f>IF(AQ342="1",BI342,0)</f>
        <v>0</v>
      </c>
      <c r="AD342" s="55">
        <f>IF(AQ342="7",BH342,0)</f>
        <v>0</v>
      </c>
      <c r="AE342" s="55">
        <f>IF(AQ342="7",BI342,0)</f>
        <v>0</v>
      </c>
      <c r="AF342" s="55">
        <f>IF(AQ342="2",BH342,0)</f>
        <v>0</v>
      </c>
      <c r="AG342" s="55">
        <f>IF(AQ342="2",BI342,0)</f>
        <v>0</v>
      </c>
      <c r="AH342" s="55">
        <f>IF(AQ342="0",BJ342,0)</f>
        <v>0</v>
      </c>
      <c r="AI342" s="34" t="s">
        <v>116</v>
      </c>
      <c r="AJ342" s="55">
        <f>IF(AN342=0,I342,0)</f>
        <v>0</v>
      </c>
      <c r="AK342" s="55">
        <f>IF(AN342=12,I342,0)</f>
        <v>0</v>
      </c>
      <c r="AL342" s="55">
        <f>IF(AN342=21,I342,0)</f>
        <v>0</v>
      </c>
      <c r="AN342" s="55">
        <v>21</v>
      </c>
      <c r="AO342" s="55">
        <f>H342*0.805912213</f>
        <v>0</v>
      </c>
      <c r="AP342" s="55">
        <f>H342*(1-0.805912213)</f>
        <v>0</v>
      </c>
      <c r="AQ342" s="58" t="s">
        <v>120</v>
      </c>
      <c r="AV342" s="55">
        <f>AW342+AX342</f>
        <v>0</v>
      </c>
      <c r="AW342" s="55">
        <f>G342*AO342</f>
        <v>0</v>
      </c>
      <c r="AX342" s="55">
        <f>G342*AP342</f>
        <v>0</v>
      </c>
      <c r="AY342" s="58" t="s">
        <v>748</v>
      </c>
      <c r="AZ342" s="58" t="s">
        <v>443</v>
      </c>
      <c r="BA342" s="34" t="s">
        <v>128</v>
      </c>
      <c r="BB342" s="67">
        <v>100134</v>
      </c>
      <c r="BC342" s="55">
        <f>AW342+AX342</f>
        <v>0</v>
      </c>
      <c r="BD342" s="55">
        <f>H342/(100-BE342)*100</f>
        <v>0</v>
      </c>
      <c r="BE342" s="55">
        <v>0</v>
      </c>
      <c r="BF342" s="55">
        <f>K342</f>
        <v>0</v>
      </c>
      <c r="BH342" s="55">
        <f>G342*AO342</f>
        <v>0</v>
      </c>
      <c r="BI342" s="55">
        <f>G342*AP342</f>
        <v>0</v>
      </c>
      <c r="BJ342" s="55">
        <f>G342*H342</f>
        <v>0</v>
      </c>
      <c r="BK342" s="55"/>
      <c r="BL342" s="55">
        <v>2227</v>
      </c>
      <c r="BW342" s="55">
        <v>21</v>
      </c>
    </row>
    <row r="343" spans="1:12" ht="13.5" customHeight="1">
      <c r="A343" s="59"/>
      <c r="D343" s="218" t="s">
        <v>755</v>
      </c>
      <c r="E343" s="219"/>
      <c r="F343" s="219"/>
      <c r="G343" s="219"/>
      <c r="H343" s="219"/>
      <c r="I343" s="219"/>
      <c r="J343" s="219"/>
      <c r="K343" s="219"/>
      <c r="L343" s="221"/>
    </row>
    <row r="344" spans="1:75" ht="13.5" customHeight="1">
      <c r="A344" s="1" t="s">
        <v>759</v>
      </c>
      <c r="B344" s="2" t="s">
        <v>116</v>
      </c>
      <c r="C344" s="2" t="s">
        <v>760</v>
      </c>
      <c r="D344" s="147" t="s">
        <v>761</v>
      </c>
      <c r="E344" s="148"/>
      <c r="F344" s="2" t="s">
        <v>123</v>
      </c>
      <c r="G344" s="55">
        <f>'Stavební rozpočet-vyplnit'!G344</f>
        <v>1</v>
      </c>
      <c r="H344" s="55">
        <f>'Stavební rozpočet-vyplnit'!H344</f>
        <v>0</v>
      </c>
      <c r="I344" s="55">
        <f>G344*H344</f>
        <v>0</v>
      </c>
      <c r="J344" s="55">
        <f>'Stavební rozpočet-vyplnit'!J344</f>
        <v>0</v>
      </c>
      <c r="K344" s="55">
        <f>G344*J344</f>
        <v>0</v>
      </c>
      <c r="L344" s="57" t="s">
        <v>124</v>
      </c>
      <c r="Z344" s="55">
        <f>IF(AQ344="5",BJ344,0)</f>
        <v>0</v>
      </c>
      <c r="AB344" s="55">
        <f>IF(AQ344="1",BH344,0)</f>
        <v>0</v>
      </c>
      <c r="AC344" s="55">
        <f>IF(AQ344="1",BI344,0)</f>
        <v>0</v>
      </c>
      <c r="AD344" s="55">
        <f>IF(AQ344="7",BH344,0)</f>
        <v>0</v>
      </c>
      <c r="AE344" s="55">
        <f>IF(AQ344="7",BI344,0)</f>
        <v>0</v>
      </c>
      <c r="AF344" s="55">
        <f>IF(AQ344="2",BH344,0)</f>
        <v>0</v>
      </c>
      <c r="AG344" s="55">
        <f>IF(AQ344="2",BI344,0)</f>
        <v>0</v>
      </c>
      <c r="AH344" s="55">
        <f>IF(AQ344="0",BJ344,0)</f>
        <v>0</v>
      </c>
      <c r="AI344" s="34" t="s">
        <v>116</v>
      </c>
      <c r="AJ344" s="55">
        <f>IF(AN344=0,I344,0)</f>
        <v>0</v>
      </c>
      <c r="AK344" s="55">
        <f>IF(AN344=12,I344,0)</f>
        <v>0</v>
      </c>
      <c r="AL344" s="55">
        <f>IF(AN344=21,I344,0)</f>
        <v>0</v>
      </c>
      <c r="AN344" s="55">
        <v>21</v>
      </c>
      <c r="AO344" s="55">
        <f>H344*0</f>
        <v>0</v>
      </c>
      <c r="AP344" s="55">
        <f>H344*(1-0)</f>
        <v>0</v>
      </c>
      <c r="AQ344" s="58" t="s">
        <v>120</v>
      </c>
      <c r="AV344" s="55">
        <f>AW344+AX344</f>
        <v>0</v>
      </c>
      <c r="AW344" s="55">
        <f>G344*AO344</f>
        <v>0</v>
      </c>
      <c r="AX344" s="55">
        <f>G344*AP344</f>
        <v>0</v>
      </c>
      <c r="AY344" s="58" t="s">
        <v>748</v>
      </c>
      <c r="AZ344" s="58" t="s">
        <v>443</v>
      </c>
      <c r="BA344" s="34" t="s">
        <v>128</v>
      </c>
      <c r="BB344" s="67">
        <v>100134</v>
      </c>
      <c r="BC344" s="55">
        <f>AW344+AX344</f>
        <v>0</v>
      </c>
      <c r="BD344" s="55">
        <f>H344/(100-BE344)*100</f>
        <v>0</v>
      </c>
      <c r="BE344" s="55">
        <v>0</v>
      </c>
      <c r="BF344" s="55">
        <f>K344</f>
        <v>0</v>
      </c>
      <c r="BH344" s="55">
        <f>G344*AO344</f>
        <v>0</v>
      </c>
      <c r="BI344" s="55">
        <f>G344*AP344</f>
        <v>0</v>
      </c>
      <c r="BJ344" s="55">
        <f>G344*H344</f>
        <v>0</v>
      </c>
      <c r="BK344" s="55"/>
      <c r="BL344" s="55">
        <v>2227</v>
      </c>
      <c r="BW344" s="55">
        <v>21</v>
      </c>
    </row>
    <row r="345" spans="1:12" ht="13.5" customHeight="1">
      <c r="A345" s="59"/>
      <c r="D345" s="218" t="s">
        <v>762</v>
      </c>
      <c r="E345" s="219"/>
      <c r="F345" s="219"/>
      <c r="G345" s="219"/>
      <c r="H345" s="219"/>
      <c r="I345" s="219"/>
      <c r="J345" s="219"/>
      <c r="K345" s="219"/>
      <c r="L345" s="221"/>
    </row>
    <row r="346" spans="1:75" ht="27" customHeight="1">
      <c r="A346" s="1" t="s">
        <v>763</v>
      </c>
      <c r="B346" s="2" t="s">
        <v>116</v>
      </c>
      <c r="C346" s="2" t="s">
        <v>764</v>
      </c>
      <c r="D346" s="147" t="s">
        <v>441</v>
      </c>
      <c r="E346" s="148"/>
      <c r="F346" s="2" t="s">
        <v>174</v>
      </c>
      <c r="G346" s="55">
        <f>'Stavební rozpočet-vyplnit'!G346</f>
        <v>180</v>
      </c>
      <c r="H346" s="55">
        <f>'Stavební rozpočet-vyplnit'!H346</f>
        <v>0</v>
      </c>
      <c r="I346" s="55">
        <f>G346*H346</f>
        <v>0</v>
      </c>
      <c r="J346" s="55">
        <f>'Stavební rozpočet-vyplnit'!J346</f>
        <v>0</v>
      </c>
      <c r="K346" s="55">
        <f>G346*J346</f>
        <v>0</v>
      </c>
      <c r="L346" s="57" t="s">
        <v>124</v>
      </c>
      <c r="Z346" s="55">
        <f>IF(AQ346="5",BJ346,0)</f>
        <v>0</v>
      </c>
      <c r="AB346" s="55">
        <f>IF(AQ346="1",BH346,0)</f>
        <v>0</v>
      </c>
      <c r="AC346" s="55">
        <f>IF(AQ346="1",BI346,0)</f>
        <v>0</v>
      </c>
      <c r="AD346" s="55">
        <f>IF(AQ346="7",BH346,0)</f>
        <v>0</v>
      </c>
      <c r="AE346" s="55">
        <f>IF(AQ346="7",BI346,0)</f>
        <v>0</v>
      </c>
      <c r="AF346" s="55">
        <f>IF(AQ346="2",BH346,0)</f>
        <v>0</v>
      </c>
      <c r="AG346" s="55">
        <f>IF(AQ346="2",BI346,0)</f>
        <v>0</v>
      </c>
      <c r="AH346" s="55">
        <f>IF(AQ346="0",BJ346,0)</f>
        <v>0</v>
      </c>
      <c r="AI346" s="34" t="s">
        <v>116</v>
      </c>
      <c r="AJ346" s="55">
        <f>IF(AN346=0,I346,0)</f>
        <v>0</v>
      </c>
      <c r="AK346" s="55">
        <f>IF(AN346=12,I346,0)</f>
        <v>0</v>
      </c>
      <c r="AL346" s="55">
        <f>IF(AN346=21,I346,0)</f>
        <v>0</v>
      </c>
      <c r="AN346" s="55">
        <v>21</v>
      </c>
      <c r="AO346" s="55">
        <f>H346*0.403794038</f>
        <v>0</v>
      </c>
      <c r="AP346" s="55">
        <f>H346*(1-0.403794038)</f>
        <v>0</v>
      </c>
      <c r="AQ346" s="58" t="s">
        <v>120</v>
      </c>
      <c r="AV346" s="55">
        <f>AW346+AX346</f>
        <v>0</v>
      </c>
      <c r="AW346" s="55">
        <f>G346*AO346</f>
        <v>0</v>
      </c>
      <c r="AX346" s="55">
        <f>G346*AP346</f>
        <v>0</v>
      </c>
      <c r="AY346" s="58" t="s">
        <v>748</v>
      </c>
      <c r="AZ346" s="58" t="s">
        <v>443</v>
      </c>
      <c r="BA346" s="34" t="s">
        <v>128</v>
      </c>
      <c r="BB346" s="67">
        <v>100134</v>
      </c>
      <c r="BC346" s="55">
        <f>AW346+AX346</f>
        <v>0</v>
      </c>
      <c r="BD346" s="55">
        <f>H346/(100-BE346)*100</f>
        <v>0</v>
      </c>
      <c r="BE346" s="55">
        <v>0</v>
      </c>
      <c r="BF346" s="55">
        <f>K346</f>
        <v>0</v>
      </c>
      <c r="BH346" s="55">
        <f>G346*AO346</f>
        <v>0</v>
      </c>
      <c r="BI346" s="55">
        <f>G346*AP346</f>
        <v>0</v>
      </c>
      <c r="BJ346" s="55">
        <f>G346*H346</f>
        <v>0</v>
      </c>
      <c r="BK346" s="55"/>
      <c r="BL346" s="55">
        <v>2227</v>
      </c>
      <c r="BW346" s="55">
        <v>21</v>
      </c>
    </row>
    <row r="347" spans="1:12" ht="13.5" customHeight="1">
      <c r="A347" s="59"/>
      <c r="D347" s="218" t="s">
        <v>129</v>
      </c>
      <c r="E347" s="219"/>
      <c r="F347" s="219"/>
      <c r="G347" s="219"/>
      <c r="H347" s="219"/>
      <c r="I347" s="219"/>
      <c r="J347" s="219"/>
      <c r="K347" s="219"/>
      <c r="L347" s="221"/>
    </row>
    <row r="348" spans="1:75" ht="13.5" customHeight="1">
      <c r="A348" s="1" t="s">
        <v>765</v>
      </c>
      <c r="B348" s="2" t="s">
        <v>116</v>
      </c>
      <c r="C348" s="2" t="s">
        <v>766</v>
      </c>
      <c r="D348" s="147" t="s">
        <v>449</v>
      </c>
      <c r="E348" s="148"/>
      <c r="F348" s="2" t="s">
        <v>123</v>
      </c>
      <c r="G348" s="55">
        <f>'Stavební rozpočet-vyplnit'!G348</f>
        <v>35</v>
      </c>
      <c r="H348" s="55">
        <f>'Stavební rozpočet-vyplnit'!H348</f>
        <v>0</v>
      </c>
      <c r="I348" s="55">
        <f>G348*H348</f>
        <v>0</v>
      </c>
      <c r="J348" s="55">
        <f>'Stavební rozpočet-vyplnit'!J348</f>
        <v>0</v>
      </c>
      <c r="K348" s="55">
        <f>G348*J348</f>
        <v>0</v>
      </c>
      <c r="L348" s="57" t="s">
        <v>124</v>
      </c>
      <c r="Z348" s="55">
        <f>IF(AQ348="5",BJ348,0)</f>
        <v>0</v>
      </c>
      <c r="AB348" s="55">
        <f>IF(AQ348="1",BH348,0)</f>
        <v>0</v>
      </c>
      <c r="AC348" s="55">
        <f>IF(AQ348="1",BI348,0)</f>
        <v>0</v>
      </c>
      <c r="AD348" s="55">
        <f>IF(AQ348="7",BH348,0)</f>
        <v>0</v>
      </c>
      <c r="AE348" s="55">
        <f>IF(AQ348="7",BI348,0)</f>
        <v>0</v>
      </c>
      <c r="AF348" s="55">
        <f>IF(AQ348="2",BH348,0)</f>
        <v>0</v>
      </c>
      <c r="AG348" s="55">
        <f>IF(AQ348="2",BI348,0)</f>
        <v>0</v>
      </c>
      <c r="AH348" s="55">
        <f>IF(AQ348="0",BJ348,0)</f>
        <v>0</v>
      </c>
      <c r="AI348" s="34" t="s">
        <v>116</v>
      </c>
      <c r="AJ348" s="55">
        <f>IF(AN348=0,I348,0)</f>
        <v>0</v>
      </c>
      <c r="AK348" s="55">
        <f>IF(AN348=12,I348,0)</f>
        <v>0</v>
      </c>
      <c r="AL348" s="55">
        <f>IF(AN348=21,I348,0)</f>
        <v>0</v>
      </c>
      <c r="AN348" s="55">
        <v>21</v>
      </c>
      <c r="AO348" s="55">
        <f>H348*0.848101266</f>
        <v>0</v>
      </c>
      <c r="AP348" s="55">
        <f>H348*(1-0.848101266)</f>
        <v>0</v>
      </c>
      <c r="AQ348" s="58" t="s">
        <v>120</v>
      </c>
      <c r="AV348" s="55">
        <f>AW348+AX348</f>
        <v>0</v>
      </c>
      <c r="AW348" s="55">
        <f>G348*AO348</f>
        <v>0</v>
      </c>
      <c r="AX348" s="55">
        <f>G348*AP348</f>
        <v>0</v>
      </c>
      <c r="AY348" s="58" t="s">
        <v>748</v>
      </c>
      <c r="AZ348" s="58" t="s">
        <v>443</v>
      </c>
      <c r="BA348" s="34" t="s">
        <v>128</v>
      </c>
      <c r="BB348" s="67">
        <v>100134</v>
      </c>
      <c r="BC348" s="55">
        <f>AW348+AX348</f>
        <v>0</v>
      </c>
      <c r="BD348" s="55">
        <f>H348/(100-BE348)*100</f>
        <v>0</v>
      </c>
      <c r="BE348" s="55">
        <v>0</v>
      </c>
      <c r="BF348" s="55">
        <f>K348</f>
        <v>0</v>
      </c>
      <c r="BH348" s="55">
        <f>G348*AO348</f>
        <v>0</v>
      </c>
      <c r="BI348" s="55">
        <f>G348*AP348</f>
        <v>0</v>
      </c>
      <c r="BJ348" s="55">
        <f>G348*H348</f>
        <v>0</v>
      </c>
      <c r="BK348" s="55"/>
      <c r="BL348" s="55">
        <v>2227</v>
      </c>
      <c r="BW348" s="55">
        <v>21</v>
      </c>
    </row>
    <row r="349" spans="1:12" ht="13.5" customHeight="1">
      <c r="A349" s="59"/>
      <c r="D349" s="218" t="s">
        <v>129</v>
      </c>
      <c r="E349" s="219"/>
      <c r="F349" s="219"/>
      <c r="G349" s="219"/>
      <c r="H349" s="219"/>
      <c r="I349" s="219"/>
      <c r="J349" s="219"/>
      <c r="K349" s="219"/>
      <c r="L349" s="221"/>
    </row>
    <row r="350" spans="1:75" ht="13.5" customHeight="1">
      <c r="A350" s="1" t="s">
        <v>767</v>
      </c>
      <c r="B350" s="2" t="s">
        <v>116</v>
      </c>
      <c r="C350" s="2" t="s">
        <v>768</v>
      </c>
      <c r="D350" s="147" t="s">
        <v>769</v>
      </c>
      <c r="E350" s="148"/>
      <c r="F350" s="2" t="s">
        <v>770</v>
      </c>
      <c r="G350" s="55">
        <f>'Stavební rozpočet-vyplnit'!G350</f>
        <v>1</v>
      </c>
      <c r="H350" s="55">
        <f>'Stavební rozpočet-vyplnit'!H350</f>
        <v>0</v>
      </c>
      <c r="I350" s="55">
        <f>G350*H350</f>
        <v>0</v>
      </c>
      <c r="J350" s="55">
        <f>'Stavební rozpočet-vyplnit'!J350</f>
        <v>0</v>
      </c>
      <c r="K350" s="55">
        <f>G350*J350</f>
        <v>0</v>
      </c>
      <c r="L350" s="57" t="s">
        <v>124</v>
      </c>
      <c r="Z350" s="55">
        <f>IF(AQ350="5",BJ350,0)</f>
        <v>0</v>
      </c>
      <c r="AB350" s="55">
        <f>IF(AQ350="1",BH350,0)</f>
        <v>0</v>
      </c>
      <c r="AC350" s="55">
        <f>IF(AQ350="1",BI350,0)</f>
        <v>0</v>
      </c>
      <c r="AD350" s="55">
        <f>IF(AQ350="7",BH350,0)</f>
        <v>0</v>
      </c>
      <c r="AE350" s="55">
        <f>IF(AQ350="7",BI350,0)</f>
        <v>0</v>
      </c>
      <c r="AF350" s="55">
        <f>IF(AQ350="2",BH350,0)</f>
        <v>0</v>
      </c>
      <c r="AG350" s="55">
        <f>IF(AQ350="2",BI350,0)</f>
        <v>0</v>
      </c>
      <c r="AH350" s="55">
        <f>IF(AQ350="0",BJ350,0)</f>
        <v>0</v>
      </c>
      <c r="AI350" s="34" t="s">
        <v>116</v>
      </c>
      <c r="AJ350" s="55">
        <f>IF(AN350=0,I350,0)</f>
        <v>0</v>
      </c>
      <c r="AK350" s="55">
        <f>IF(AN350=12,I350,0)</f>
        <v>0</v>
      </c>
      <c r="AL350" s="55">
        <f>IF(AN350=21,I350,0)</f>
        <v>0</v>
      </c>
      <c r="AN350" s="55">
        <v>21</v>
      </c>
      <c r="AO350" s="55">
        <f>H350*0.5</f>
        <v>0</v>
      </c>
      <c r="AP350" s="55">
        <f>H350*(1-0.5)</f>
        <v>0</v>
      </c>
      <c r="AQ350" s="58" t="s">
        <v>120</v>
      </c>
      <c r="AV350" s="55">
        <f>AW350+AX350</f>
        <v>0</v>
      </c>
      <c r="AW350" s="55">
        <f>G350*AO350</f>
        <v>0</v>
      </c>
      <c r="AX350" s="55">
        <f>G350*AP350</f>
        <v>0</v>
      </c>
      <c r="AY350" s="58" t="s">
        <v>748</v>
      </c>
      <c r="AZ350" s="58" t="s">
        <v>443</v>
      </c>
      <c r="BA350" s="34" t="s">
        <v>128</v>
      </c>
      <c r="BB350" s="67">
        <v>100134</v>
      </c>
      <c r="BC350" s="55">
        <f>AW350+AX350</f>
        <v>0</v>
      </c>
      <c r="BD350" s="55">
        <f>H350/(100-BE350)*100</f>
        <v>0</v>
      </c>
      <c r="BE350" s="55">
        <v>0</v>
      </c>
      <c r="BF350" s="55">
        <f>K350</f>
        <v>0</v>
      </c>
      <c r="BH350" s="55">
        <f>G350*AO350</f>
        <v>0</v>
      </c>
      <c r="BI350" s="55">
        <f>G350*AP350</f>
        <v>0</v>
      </c>
      <c r="BJ350" s="55">
        <f>G350*H350</f>
        <v>0</v>
      </c>
      <c r="BK350" s="55"/>
      <c r="BL350" s="55">
        <v>2227</v>
      </c>
      <c r="BW350" s="55">
        <v>21</v>
      </c>
    </row>
    <row r="351" spans="1:12" ht="13.5" customHeight="1">
      <c r="A351" s="59"/>
      <c r="D351" s="218" t="s">
        <v>129</v>
      </c>
      <c r="E351" s="219"/>
      <c r="F351" s="219"/>
      <c r="G351" s="219"/>
      <c r="H351" s="219"/>
      <c r="I351" s="219"/>
      <c r="J351" s="219"/>
      <c r="K351" s="219"/>
      <c r="L351" s="221"/>
    </row>
    <row r="352" spans="1:75" ht="13.5" customHeight="1">
      <c r="A352" s="1" t="s">
        <v>771</v>
      </c>
      <c r="B352" s="2" t="s">
        <v>116</v>
      </c>
      <c r="C352" s="2" t="s">
        <v>772</v>
      </c>
      <c r="D352" s="147" t="s">
        <v>773</v>
      </c>
      <c r="E352" s="148"/>
      <c r="F352" s="2" t="s">
        <v>360</v>
      </c>
      <c r="G352" s="55">
        <f>'Stavební rozpočet-vyplnit'!G352</f>
        <v>2</v>
      </c>
      <c r="H352" s="55">
        <f>'Stavební rozpočet-vyplnit'!H352</f>
        <v>0</v>
      </c>
      <c r="I352" s="55">
        <f>G352*H352</f>
        <v>0</v>
      </c>
      <c r="J352" s="55">
        <f>'Stavební rozpočet-vyplnit'!J352</f>
        <v>0</v>
      </c>
      <c r="K352" s="55">
        <f>G352*J352</f>
        <v>0</v>
      </c>
      <c r="L352" s="57" t="s">
        <v>124</v>
      </c>
      <c r="Z352" s="55">
        <f>IF(AQ352="5",BJ352,0)</f>
        <v>0</v>
      </c>
      <c r="AB352" s="55">
        <f>IF(AQ352="1",BH352,0)</f>
        <v>0</v>
      </c>
      <c r="AC352" s="55">
        <f>IF(AQ352="1",BI352,0)</f>
        <v>0</v>
      </c>
      <c r="AD352" s="55">
        <f>IF(AQ352="7",BH352,0)</f>
        <v>0</v>
      </c>
      <c r="AE352" s="55">
        <f>IF(AQ352="7",BI352,0)</f>
        <v>0</v>
      </c>
      <c r="AF352" s="55">
        <f>IF(AQ352="2",BH352,0)</f>
        <v>0</v>
      </c>
      <c r="AG352" s="55">
        <f>IF(AQ352="2",BI352,0)</f>
        <v>0</v>
      </c>
      <c r="AH352" s="55">
        <f>IF(AQ352="0",BJ352,0)</f>
        <v>0</v>
      </c>
      <c r="AI352" s="34" t="s">
        <v>116</v>
      </c>
      <c r="AJ352" s="55">
        <f>IF(AN352=0,I352,0)</f>
        <v>0</v>
      </c>
      <c r="AK352" s="55">
        <f>IF(AN352=12,I352,0)</f>
        <v>0</v>
      </c>
      <c r="AL352" s="55">
        <f>IF(AN352=21,I352,0)</f>
        <v>0</v>
      </c>
      <c r="AN352" s="55">
        <v>21</v>
      </c>
      <c r="AO352" s="55">
        <f>H352*0</f>
        <v>0</v>
      </c>
      <c r="AP352" s="55">
        <f>H352*(1-0)</f>
        <v>0</v>
      </c>
      <c r="AQ352" s="58" t="s">
        <v>120</v>
      </c>
      <c r="AV352" s="55">
        <f>AW352+AX352</f>
        <v>0</v>
      </c>
      <c r="AW352" s="55">
        <f>G352*AO352</f>
        <v>0</v>
      </c>
      <c r="AX352" s="55">
        <f>G352*AP352</f>
        <v>0</v>
      </c>
      <c r="AY352" s="58" t="s">
        <v>748</v>
      </c>
      <c r="AZ352" s="58" t="s">
        <v>443</v>
      </c>
      <c r="BA352" s="34" t="s">
        <v>128</v>
      </c>
      <c r="BB352" s="67">
        <v>100134</v>
      </c>
      <c r="BC352" s="55">
        <f>AW352+AX352</f>
        <v>0</v>
      </c>
      <c r="BD352" s="55">
        <f>H352/(100-BE352)*100</f>
        <v>0</v>
      </c>
      <c r="BE352" s="55">
        <v>0</v>
      </c>
      <c r="BF352" s="55">
        <f>K352</f>
        <v>0</v>
      </c>
      <c r="BH352" s="55">
        <f>G352*AO352</f>
        <v>0</v>
      </c>
      <c r="BI352" s="55">
        <f>G352*AP352</f>
        <v>0</v>
      </c>
      <c r="BJ352" s="55">
        <f>G352*H352</f>
        <v>0</v>
      </c>
      <c r="BK352" s="55"/>
      <c r="BL352" s="55">
        <v>2227</v>
      </c>
      <c r="BW352" s="55">
        <v>21</v>
      </c>
    </row>
    <row r="353" spans="1:75" ht="13.5" customHeight="1">
      <c r="A353" s="1" t="s">
        <v>774</v>
      </c>
      <c r="B353" s="2" t="s">
        <v>116</v>
      </c>
      <c r="C353" s="2" t="s">
        <v>775</v>
      </c>
      <c r="D353" s="147" t="s">
        <v>592</v>
      </c>
      <c r="E353" s="148"/>
      <c r="F353" s="2" t="s">
        <v>360</v>
      </c>
      <c r="G353" s="55">
        <f>'Stavební rozpočet-vyplnit'!G353</f>
        <v>4</v>
      </c>
      <c r="H353" s="55">
        <f>'Stavební rozpočet-vyplnit'!H353</f>
        <v>0</v>
      </c>
      <c r="I353" s="55">
        <f>G353*H353</f>
        <v>0</v>
      </c>
      <c r="J353" s="55">
        <f>'Stavební rozpočet-vyplnit'!J353</f>
        <v>0</v>
      </c>
      <c r="K353" s="55">
        <f>G353*J353</f>
        <v>0</v>
      </c>
      <c r="L353" s="57" t="s">
        <v>124</v>
      </c>
      <c r="Z353" s="55">
        <f>IF(AQ353="5",BJ353,0)</f>
        <v>0</v>
      </c>
      <c r="AB353" s="55">
        <f>IF(AQ353="1",BH353,0)</f>
        <v>0</v>
      </c>
      <c r="AC353" s="55">
        <f>IF(AQ353="1",BI353,0)</f>
        <v>0</v>
      </c>
      <c r="AD353" s="55">
        <f>IF(AQ353="7",BH353,0)</f>
        <v>0</v>
      </c>
      <c r="AE353" s="55">
        <f>IF(AQ353="7",BI353,0)</f>
        <v>0</v>
      </c>
      <c r="AF353" s="55">
        <f>IF(AQ353="2",BH353,0)</f>
        <v>0</v>
      </c>
      <c r="AG353" s="55">
        <f>IF(AQ353="2",BI353,0)</f>
        <v>0</v>
      </c>
      <c r="AH353" s="55">
        <f>IF(AQ353="0",BJ353,0)</f>
        <v>0</v>
      </c>
      <c r="AI353" s="34" t="s">
        <v>116</v>
      </c>
      <c r="AJ353" s="55">
        <f>IF(AN353=0,I353,0)</f>
        <v>0</v>
      </c>
      <c r="AK353" s="55">
        <f>IF(AN353=12,I353,0)</f>
        <v>0</v>
      </c>
      <c r="AL353" s="55">
        <f>IF(AN353=21,I353,0)</f>
        <v>0</v>
      </c>
      <c r="AN353" s="55">
        <v>21</v>
      </c>
      <c r="AO353" s="55">
        <f>H353*0</f>
        <v>0</v>
      </c>
      <c r="AP353" s="55">
        <f>H353*(1-0)</f>
        <v>0</v>
      </c>
      <c r="AQ353" s="58" t="s">
        <v>120</v>
      </c>
      <c r="AV353" s="55">
        <f>AW353+AX353</f>
        <v>0</v>
      </c>
      <c r="AW353" s="55">
        <f>G353*AO353</f>
        <v>0</v>
      </c>
      <c r="AX353" s="55">
        <f>G353*AP353</f>
        <v>0</v>
      </c>
      <c r="AY353" s="58" t="s">
        <v>748</v>
      </c>
      <c r="AZ353" s="58" t="s">
        <v>443</v>
      </c>
      <c r="BA353" s="34" t="s">
        <v>128</v>
      </c>
      <c r="BB353" s="67">
        <v>100134</v>
      </c>
      <c r="BC353" s="55">
        <f>AW353+AX353</f>
        <v>0</v>
      </c>
      <c r="BD353" s="55">
        <f>H353/(100-BE353)*100</f>
        <v>0</v>
      </c>
      <c r="BE353" s="55">
        <v>0</v>
      </c>
      <c r="BF353" s="55">
        <f>K353</f>
        <v>0</v>
      </c>
      <c r="BH353" s="55">
        <f>G353*AO353</f>
        <v>0</v>
      </c>
      <c r="BI353" s="55">
        <f>G353*AP353</f>
        <v>0</v>
      </c>
      <c r="BJ353" s="55">
        <f>G353*H353</f>
        <v>0</v>
      </c>
      <c r="BK353" s="55"/>
      <c r="BL353" s="55">
        <v>2227</v>
      </c>
      <c r="BW353" s="55">
        <v>21</v>
      </c>
    </row>
    <row r="354" spans="1:75" ht="13.5" customHeight="1">
      <c r="A354" s="1" t="s">
        <v>776</v>
      </c>
      <c r="B354" s="2" t="s">
        <v>116</v>
      </c>
      <c r="C354" s="2" t="s">
        <v>777</v>
      </c>
      <c r="D354" s="147" t="s">
        <v>476</v>
      </c>
      <c r="E354" s="148"/>
      <c r="F354" s="2" t="s">
        <v>360</v>
      </c>
      <c r="G354" s="55">
        <f>'Stavební rozpočet-vyplnit'!G354</f>
        <v>8</v>
      </c>
      <c r="H354" s="55">
        <f>'Stavební rozpočet-vyplnit'!H354</f>
        <v>0</v>
      </c>
      <c r="I354" s="55">
        <f>G354*H354</f>
        <v>0</v>
      </c>
      <c r="J354" s="55">
        <f>'Stavební rozpočet-vyplnit'!J354</f>
        <v>0</v>
      </c>
      <c r="K354" s="55">
        <f>G354*J354</f>
        <v>0</v>
      </c>
      <c r="L354" s="57" t="s">
        <v>124</v>
      </c>
      <c r="Z354" s="55">
        <f>IF(AQ354="5",BJ354,0)</f>
        <v>0</v>
      </c>
      <c r="AB354" s="55">
        <f>IF(AQ354="1",BH354,0)</f>
        <v>0</v>
      </c>
      <c r="AC354" s="55">
        <f>IF(AQ354="1",BI354,0)</f>
        <v>0</v>
      </c>
      <c r="AD354" s="55">
        <f>IF(AQ354="7",BH354,0)</f>
        <v>0</v>
      </c>
      <c r="AE354" s="55">
        <f>IF(AQ354="7",BI354,0)</f>
        <v>0</v>
      </c>
      <c r="AF354" s="55">
        <f>IF(AQ354="2",BH354,0)</f>
        <v>0</v>
      </c>
      <c r="AG354" s="55">
        <f>IF(AQ354="2",BI354,0)</f>
        <v>0</v>
      </c>
      <c r="AH354" s="55">
        <f>IF(AQ354="0",BJ354,0)</f>
        <v>0</v>
      </c>
      <c r="AI354" s="34" t="s">
        <v>116</v>
      </c>
      <c r="AJ354" s="55">
        <f>IF(AN354=0,I354,0)</f>
        <v>0</v>
      </c>
      <c r="AK354" s="55">
        <f>IF(AN354=12,I354,0)</f>
        <v>0</v>
      </c>
      <c r="AL354" s="55">
        <f>IF(AN354=21,I354,0)</f>
        <v>0</v>
      </c>
      <c r="AN354" s="55">
        <v>21</v>
      </c>
      <c r="AO354" s="55">
        <f>H354*0</f>
        <v>0</v>
      </c>
      <c r="AP354" s="55">
        <f>H354*(1-0)</f>
        <v>0</v>
      </c>
      <c r="AQ354" s="58" t="s">
        <v>120</v>
      </c>
      <c r="AV354" s="55">
        <f>AW354+AX354</f>
        <v>0</v>
      </c>
      <c r="AW354" s="55">
        <f>G354*AO354</f>
        <v>0</v>
      </c>
      <c r="AX354" s="55">
        <f>G354*AP354</f>
        <v>0</v>
      </c>
      <c r="AY354" s="58" t="s">
        <v>748</v>
      </c>
      <c r="AZ354" s="58" t="s">
        <v>443</v>
      </c>
      <c r="BA354" s="34" t="s">
        <v>128</v>
      </c>
      <c r="BB354" s="67">
        <v>100134</v>
      </c>
      <c r="BC354" s="55">
        <f>AW354+AX354</f>
        <v>0</v>
      </c>
      <c r="BD354" s="55">
        <f>H354/(100-BE354)*100</f>
        <v>0</v>
      </c>
      <c r="BE354" s="55">
        <v>0</v>
      </c>
      <c r="BF354" s="55">
        <f>K354</f>
        <v>0</v>
      </c>
      <c r="BH354" s="55">
        <f>G354*AO354</f>
        <v>0</v>
      </c>
      <c r="BI354" s="55">
        <f>G354*AP354</f>
        <v>0</v>
      </c>
      <c r="BJ354" s="55">
        <f>G354*H354</f>
        <v>0</v>
      </c>
      <c r="BK354" s="55"/>
      <c r="BL354" s="55">
        <v>2227</v>
      </c>
      <c r="BW354" s="55">
        <v>21</v>
      </c>
    </row>
    <row r="355" spans="1:75" ht="13.5" customHeight="1">
      <c r="A355" s="1" t="s">
        <v>778</v>
      </c>
      <c r="B355" s="2" t="s">
        <v>116</v>
      </c>
      <c r="C355" s="2" t="s">
        <v>779</v>
      </c>
      <c r="D355" s="147" t="s">
        <v>780</v>
      </c>
      <c r="E355" s="148"/>
      <c r="F355" s="2" t="s">
        <v>360</v>
      </c>
      <c r="G355" s="55">
        <f>'Stavební rozpočet-vyplnit'!G355</f>
        <v>4</v>
      </c>
      <c r="H355" s="55">
        <f>'Stavební rozpočet-vyplnit'!H355</f>
        <v>0</v>
      </c>
      <c r="I355" s="55">
        <f>G355*H355</f>
        <v>0</v>
      </c>
      <c r="J355" s="55">
        <f>'Stavební rozpočet-vyplnit'!J355</f>
        <v>0</v>
      </c>
      <c r="K355" s="55">
        <f>G355*J355</f>
        <v>0</v>
      </c>
      <c r="L355" s="57" t="s">
        <v>124</v>
      </c>
      <c r="Z355" s="55">
        <f>IF(AQ355="5",BJ355,0)</f>
        <v>0</v>
      </c>
      <c r="AB355" s="55">
        <f>IF(AQ355="1",BH355,0)</f>
        <v>0</v>
      </c>
      <c r="AC355" s="55">
        <f>IF(AQ355="1",BI355,0)</f>
        <v>0</v>
      </c>
      <c r="AD355" s="55">
        <f>IF(AQ355="7",BH355,0)</f>
        <v>0</v>
      </c>
      <c r="AE355" s="55">
        <f>IF(AQ355="7",BI355,0)</f>
        <v>0</v>
      </c>
      <c r="AF355" s="55">
        <f>IF(AQ355="2",BH355,0)</f>
        <v>0</v>
      </c>
      <c r="AG355" s="55">
        <f>IF(AQ355="2",BI355,0)</f>
        <v>0</v>
      </c>
      <c r="AH355" s="55">
        <f>IF(AQ355="0",BJ355,0)</f>
        <v>0</v>
      </c>
      <c r="AI355" s="34" t="s">
        <v>116</v>
      </c>
      <c r="AJ355" s="55">
        <f>IF(AN355=0,I355,0)</f>
        <v>0</v>
      </c>
      <c r="AK355" s="55">
        <f>IF(AN355=12,I355,0)</f>
        <v>0</v>
      </c>
      <c r="AL355" s="55">
        <f>IF(AN355=21,I355,0)</f>
        <v>0</v>
      </c>
      <c r="AN355" s="55">
        <v>21</v>
      </c>
      <c r="AO355" s="55">
        <f>H355*0</f>
        <v>0</v>
      </c>
      <c r="AP355" s="55">
        <f>H355*(1-0)</f>
        <v>0</v>
      </c>
      <c r="AQ355" s="58" t="s">
        <v>120</v>
      </c>
      <c r="AV355" s="55">
        <f>AW355+AX355</f>
        <v>0</v>
      </c>
      <c r="AW355" s="55">
        <f>G355*AO355</f>
        <v>0</v>
      </c>
      <c r="AX355" s="55">
        <f>G355*AP355</f>
        <v>0</v>
      </c>
      <c r="AY355" s="58" t="s">
        <v>748</v>
      </c>
      <c r="AZ355" s="58" t="s">
        <v>443</v>
      </c>
      <c r="BA355" s="34" t="s">
        <v>128</v>
      </c>
      <c r="BB355" s="67">
        <v>100134</v>
      </c>
      <c r="BC355" s="55">
        <f>AW355+AX355</f>
        <v>0</v>
      </c>
      <c r="BD355" s="55">
        <f>H355/(100-BE355)*100</f>
        <v>0</v>
      </c>
      <c r="BE355" s="55">
        <v>0</v>
      </c>
      <c r="BF355" s="55">
        <f>K355</f>
        <v>0</v>
      </c>
      <c r="BH355" s="55">
        <f>G355*AO355</f>
        <v>0</v>
      </c>
      <c r="BI355" s="55">
        <f>G355*AP355</f>
        <v>0</v>
      </c>
      <c r="BJ355" s="55">
        <f>G355*H355</f>
        <v>0</v>
      </c>
      <c r="BK355" s="55"/>
      <c r="BL355" s="55">
        <v>2227</v>
      </c>
      <c r="BW355" s="55">
        <v>21</v>
      </c>
    </row>
    <row r="356" spans="1:47" ht="14.4">
      <c r="A356" s="50" t="s">
        <v>4</v>
      </c>
      <c r="B356" s="51" t="s">
        <v>116</v>
      </c>
      <c r="C356" s="51" t="s">
        <v>217</v>
      </c>
      <c r="D356" s="222" t="s">
        <v>781</v>
      </c>
      <c r="E356" s="223"/>
      <c r="F356" s="52" t="s">
        <v>79</v>
      </c>
      <c r="G356" s="52" t="s">
        <v>79</v>
      </c>
      <c r="H356" s="52" t="s">
        <v>79</v>
      </c>
      <c r="I356" s="27">
        <f>SUM(I357:I363)</f>
        <v>0</v>
      </c>
      <c r="J356" s="34" t="s">
        <v>4</v>
      </c>
      <c r="K356" s="27">
        <f>SUM(K357:K363)</f>
        <v>2.9924122000000004</v>
      </c>
      <c r="L356" s="54" t="s">
        <v>4</v>
      </c>
      <c r="AI356" s="34" t="s">
        <v>116</v>
      </c>
      <c r="AS356" s="27">
        <f>SUM(AJ357:AJ363)</f>
        <v>0</v>
      </c>
      <c r="AT356" s="27">
        <f>SUM(AK357:AK363)</f>
        <v>0</v>
      </c>
      <c r="AU356" s="27">
        <f>SUM(AL357:AL363)</f>
        <v>0</v>
      </c>
    </row>
    <row r="357" spans="1:75" ht="13.5" customHeight="1">
      <c r="A357" s="1" t="s">
        <v>782</v>
      </c>
      <c r="B357" s="2" t="s">
        <v>116</v>
      </c>
      <c r="C357" s="2" t="s">
        <v>783</v>
      </c>
      <c r="D357" s="147" t="s">
        <v>784</v>
      </c>
      <c r="E357" s="148"/>
      <c r="F357" s="2" t="s">
        <v>374</v>
      </c>
      <c r="G357" s="55">
        <f>'Stavební rozpočet-vyplnit'!G357</f>
        <v>4</v>
      </c>
      <c r="H357" s="55">
        <f>'Stavební rozpočet-vyplnit'!H357</f>
        <v>0</v>
      </c>
      <c r="I357" s="55">
        <f>G357*H357</f>
        <v>0</v>
      </c>
      <c r="J357" s="55">
        <f>'Stavební rozpočet-vyplnit'!J357</f>
        <v>0.02797</v>
      </c>
      <c r="K357" s="55">
        <f>G357*J357</f>
        <v>0.11188</v>
      </c>
      <c r="L357" s="57" t="s">
        <v>785</v>
      </c>
      <c r="Z357" s="55">
        <f>IF(AQ357="5",BJ357,0)</f>
        <v>0</v>
      </c>
      <c r="AB357" s="55">
        <f>IF(AQ357="1",BH357,0)</f>
        <v>0</v>
      </c>
      <c r="AC357" s="55">
        <f>IF(AQ357="1",BI357,0)</f>
        <v>0</v>
      </c>
      <c r="AD357" s="55">
        <f>IF(AQ357="7",BH357,0)</f>
        <v>0</v>
      </c>
      <c r="AE357" s="55">
        <f>IF(AQ357="7",BI357,0)</f>
        <v>0</v>
      </c>
      <c r="AF357" s="55">
        <f>IF(AQ357="2",BH357,0)</f>
        <v>0</v>
      </c>
      <c r="AG357" s="55">
        <f>IF(AQ357="2",BI357,0)</f>
        <v>0</v>
      </c>
      <c r="AH357" s="55">
        <f>IF(AQ357="0",BJ357,0)</f>
        <v>0</v>
      </c>
      <c r="AI357" s="34" t="s">
        <v>116</v>
      </c>
      <c r="AJ357" s="55">
        <f>IF(AN357=0,I357,0)</f>
        <v>0</v>
      </c>
      <c r="AK357" s="55">
        <f>IF(AN357=12,I357,0)</f>
        <v>0</v>
      </c>
      <c r="AL357" s="55">
        <f>IF(AN357=21,I357,0)</f>
        <v>0</v>
      </c>
      <c r="AN357" s="55">
        <v>21</v>
      </c>
      <c r="AO357" s="55">
        <f>H357*0.185536332</f>
        <v>0</v>
      </c>
      <c r="AP357" s="55">
        <f>H357*(1-0.185536332)</f>
        <v>0</v>
      </c>
      <c r="AQ357" s="58" t="s">
        <v>120</v>
      </c>
      <c r="AV357" s="55">
        <f>AW357+AX357</f>
        <v>0</v>
      </c>
      <c r="AW357" s="55">
        <f>G357*AO357</f>
        <v>0</v>
      </c>
      <c r="AX357" s="55">
        <f>G357*AP357</f>
        <v>0</v>
      </c>
      <c r="AY357" s="58" t="s">
        <v>786</v>
      </c>
      <c r="AZ357" s="58" t="s">
        <v>787</v>
      </c>
      <c r="BA357" s="34" t="s">
        <v>128</v>
      </c>
      <c r="BB357" s="67">
        <v>100044</v>
      </c>
      <c r="BC357" s="55">
        <f>AW357+AX357</f>
        <v>0</v>
      </c>
      <c r="BD357" s="55">
        <f>H357/(100-BE357)*100</f>
        <v>0</v>
      </c>
      <c r="BE357" s="55">
        <v>0</v>
      </c>
      <c r="BF357" s="55">
        <f>K357</f>
        <v>0.11188</v>
      </c>
      <c r="BH357" s="55">
        <f>G357*AO357</f>
        <v>0</v>
      </c>
      <c r="BI357" s="55">
        <f>G357*AP357</f>
        <v>0</v>
      </c>
      <c r="BJ357" s="55">
        <f>G357*H357</f>
        <v>0</v>
      </c>
      <c r="BK357" s="55"/>
      <c r="BL357" s="55">
        <v>31</v>
      </c>
      <c r="BW357" s="55">
        <v>21</v>
      </c>
    </row>
    <row r="358" spans="1:12" ht="13.5" customHeight="1">
      <c r="A358" s="59"/>
      <c r="D358" s="218" t="s">
        <v>788</v>
      </c>
      <c r="E358" s="219"/>
      <c r="F358" s="219"/>
      <c r="G358" s="219"/>
      <c r="H358" s="219"/>
      <c r="I358" s="219"/>
      <c r="J358" s="219"/>
      <c r="K358" s="219"/>
      <c r="L358" s="221"/>
    </row>
    <row r="359" spans="1:12" ht="14.4">
      <c r="A359" s="59"/>
      <c r="D359" s="60" t="s">
        <v>136</v>
      </c>
      <c r="E359" s="60" t="s">
        <v>4</v>
      </c>
      <c r="G359" s="68">
        <v>4</v>
      </c>
      <c r="L359" s="69"/>
    </row>
    <row r="360" spans="1:75" ht="13.5" customHeight="1">
      <c r="A360" s="1" t="s">
        <v>789</v>
      </c>
      <c r="B360" s="2" t="s">
        <v>116</v>
      </c>
      <c r="C360" s="2" t="s">
        <v>790</v>
      </c>
      <c r="D360" s="147" t="s">
        <v>791</v>
      </c>
      <c r="E360" s="148"/>
      <c r="F360" s="2" t="s">
        <v>792</v>
      </c>
      <c r="G360" s="55">
        <f>'Stavební rozpočet-vyplnit'!G360</f>
        <v>0.42</v>
      </c>
      <c r="H360" s="55">
        <f>'Stavební rozpočet-vyplnit'!H360</f>
        <v>0</v>
      </c>
      <c r="I360" s="55">
        <f>G360*H360</f>
        <v>0</v>
      </c>
      <c r="J360" s="55">
        <f>'Stavební rozpočet-vyplnit'!J360</f>
        <v>1.62836</v>
      </c>
      <c r="K360" s="55">
        <f>G360*J360</f>
        <v>0.6839111999999999</v>
      </c>
      <c r="L360" s="57" t="s">
        <v>785</v>
      </c>
      <c r="Z360" s="55">
        <f>IF(AQ360="5",BJ360,0)</f>
        <v>0</v>
      </c>
      <c r="AB360" s="55">
        <f>IF(AQ360="1",BH360,0)</f>
        <v>0</v>
      </c>
      <c r="AC360" s="55">
        <f>IF(AQ360="1",BI360,0)</f>
        <v>0</v>
      </c>
      <c r="AD360" s="55">
        <f>IF(AQ360="7",BH360,0)</f>
        <v>0</v>
      </c>
      <c r="AE360" s="55">
        <f>IF(AQ360="7",BI360,0)</f>
        <v>0</v>
      </c>
      <c r="AF360" s="55">
        <f>IF(AQ360="2",BH360,0)</f>
        <v>0</v>
      </c>
      <c r="AG360" s="55">
        <f>IF(AQ360="2",BI360,0)</f>
        <v>0</v>
      </c>
      <c r="AH360" s="55">
        <f>IF(AQ360="0",BJ360,0)</f>
        <v>0</v>
      </c>
      <c r="AI360" s="34" t="s">
        <v>116</v>
      </c>
      <c r="AJ360" s="55">
        <f>IF(AN360=0,I360,0)</f>
        <v>0</v>
      </c>
      <c r="AK360" s="55">
        <f>IF(AN360=12,I360,0)</f>
        <v>0</v>
      </c>
      <c r="AL360" s="55">
        <f>IF(AN360=21,I360,0)</f>
        <v>0</v>
      </c>
      <c r="AN360" s="55">
        <v>21</v>
      </c>
      <c r="AO360" s="55">
        <f>H360*0.722294591</f>
        <v>0</v>
      </c>
      <c r="AP360" s="55">
        <f>H360*(1-0.722294591)</f>
        <v>0</v>
      </c>
      <c r="AQ360" s="58" t="s">
        <v>120</v>
      </c>
      <c r="AV360" s="55">
        <f>AW360+AX360</f>
        <v>0</v>
      </c>
      <c r="AW360" s="55">
        <f>G360*AO360</f>
        <v>0</v>
      </c>
      <c r="AX360" s="55">
        <f>G360*AP360</f>
        <v>0</v>
      </c>
      <c r="AY360" s="58" t="s">
        <v>786</v>
      </c>
      <c r="AZ360" s="58" t="s">
        <v>787</v>
      </c>
      <c r="BA360" s="34" t="s">
        <v>128</v>
      </c>
      <c r="BB360" s="67">
        <v>100044</v>
      </c>
      <c r="BC360" s="55">
        <f>AW360+AX360</f>
        <v>0</v>
      </c>
      <c r="BD360" s="55">
        <f>H360/(100-BE360)*100</f>
        <v>0</v>
      </c>
      <c r="BE360" s="55">
        <v>0</v>
      </c>
      <c r="BF360" s="55">
        <f>K360</f>
        <v>0.6839111999999999</v>
      </c>
      <c r="BH360" s="55">
        <f>G360*AO360</f>
        <v>0</v>
      </c>
      <c r="BI360" s="55">
        <f>G360*AP360</f>
        <v>0</v>
      </c>
      <c r="BJ360" s="55">
        <f>G360*H360</f>
        <v>0</v>
      </c>
      <c r="BK360" s="55"/>
      <c r="BL360" s="55">
        <v>31</v>
      </c>
      <c r="BW360" s="55">
        <v>21</v>
      </c>
    </row>
    <row r="361" spans="1:12" ht="13.5" customHeight="1">
      <c r="A361" s="59"/>
      <c r="D361" s="218" t="s">
        <v>793</v>
      </c>
      <c r="E361" s="219"/>
      <c r="F361" s="219"/>
      <c r="G361" s="219"/>
      <c r="H361" s="219"/>
      <c r="I361" s="219"/>
      <c r="J361" s="219"/>
      <c r="K361" s="219"/>
      <c r="L361" s="221"/>
    </row>
    <row r="362" spans="1:12" ht="14.4">
      <c r="A362" s="59"/>
      <c r="D362" s="60" t="s">
        <v>794</v>
      </c>
      <c r="E362" s="60" t="s">
        <v>4</v>
      </c>
      <c r="G362" s="68">
        <v>0.42</v>
      </c>
      <c r="L362" s="69"/>
    </row>
    <row r="363" spans="1:75" ht="13.5" customHeight="1">
      <c r="A363" s="1" t="s">
        <v>795</v>
      </c>
      <c r="B363" s="2" t="s">
        <v>116</v>
      </c>
      <c r="C363" s="2" t="s">
        <v>796</v>
      </c>
      <c r="D363" s="147" t="s">
        <v>797</v>
      </c>
      <c r="E363" s="148"/>
      <c r="F363" s="2" t="s">
        <v>792</v>
      </c>
      <c r="G363" s="55">
        <f>'Stavební rozpočet-vyplnit'!G363</f>
        <v>1.05</v>
      </c>
      <c r="H363" s="55">
        <f>'Stavební rozpočet-vyplnit'!H363</f>
        <v>0</v>
      </c>
      <c r="I363" s="55">
        <f>G363*H363</f>
        <v>0</v>
      </c>
      <c r="J363" s="55">
        <f>'Stavební rozpočet-vyplnit'!J363</f>
        <v>2.09202</v>
      </c>
      <c r="K363" s="55">
        <f>G363*J363</f>
        <v>2.1966210000000004</v>
      </c>
      <c r="L363" s="57" t="s">
        <v>785</v>
      </c>
      <c r="Z363" s="55">
        <f>IF(AQ363="5",BJ363,0)</f>
        <v>0</v>
      </c>
      <c r="AB363" s="55">
        <f>IF(AQ363="1",BH363,0)</f>
        <v>0</v>
      </c>
      <c r="AC363" s="55">
        <f>IF(AQ363="1",BI363,0)</f>
        <v>0</v>
      </c>
      <c r="AD363" s="55">
        <f>IF(AQ363="7",BH363,0)</f>
        <v>0</v>
      </c>
      <c r="AE363" s="55">
        <f>IF(AQ363="7",BI363,0)</f>
        <v>0</v>
      </c>
      <c r="AF363" s="55">
        <f>IF(AQ363="2",BH363,0)</f>
        <v>0</v>
      </c>
      <c r="AG363" s="55">
        <f>IF(AQ363="2",BI363,0)</f>
        <v>0</v>
      </c>
      <c r="AH363" s="55">
        <f>IF(AQ363="0",BJ363,0)</f>
        <v>0</v>
      </c>
      <c r="AI363" s="34" t="s">
        <v>116</v>
      </c>
      <c r="AJ363" s="55">
        <f>IF(AN363=0,I363,0)</f>
        <v>0</v>
      </c>
      <c r="AK363" s="55">
        <f>IF(AN363=12,I363,0)</f>
        <v>0</v>
      </c>
      <c r="AL363" s="55">
        <f>IF(AN363=21,I363,0)</f>
        <v>0</v>
      </c>
      <c r="AN363" s="55">
        <v>21</v>
      </c>
      <c r="AO363" s="55">
        <f>H363*0.727527778</f>
        <v>0</v>
      </c>
      <c r="AP363" s="55">
        <f>H363*(1-0.727527778)</f>
        <v>0</v>
      </c>
      <c r="AQ363" s="58" t="s">
        <v>120</v>
      </c>
      <c r="AV363" s="55">
        <f>AW363+AX363</f>
        <v>0</v>
      </c>
      <c r="AW363" s="55">
        <f>G363*AO363</f>
        <v>0</v>
      </c>
      <c r="AX363" s="55">
        <f>G363*AP363</f>
        <v>0</v>
      </c>
      <c r="AY363" s="58" t="s">
        <v>786</v>
      </c>
      <c r="AZ363" s="58" t="s">
        <v>787</v>
      </c>
      <c r="BA363" s="34" t="s">
        <v>128</v>
      </c>
      <c r="BB363" s="67">
        <v>100044</v>
      </c>
      <c r="BC363" s="55">
        <f>AW363+AX363</f>
        <v>0</v>
      </c>
      <c r="BD363" s="55">
        <f>H363/(100-BE363)*100</f>
        <v>0</v>
      </c>
      <c r="BE363" s="55">
        <v>0</v>
      </c>
      <c r="BF363" s="55">
        <f>K363</f>
        <v>2.1966210000000004</v>
      </c>
      <c r="BH363" s="55">
        <f>G363*AO363</f>
        <v>0</v>
      </c>
      <c r="BI363" s="55">
        <f>G363*AP363</f>
        <v>0</v>
      </c>
      <c r="BJ363" s="55">
        <f>G363*H363</f>
        <v>0</v>
      </c>
      <c r="BK363" s="55"/>
      <c r="BL363" s="55">
        <v>31</v>
      </c>
      <c r="BW363" s="55">
        <v>21</v>
      </c>
    </row>
    <row r="364" spans="1:12" ht="14.4">
      <c r="A364" s="59"/>
      <c r="D364" s="60" t="s">
        <v>798</v>
      </c>
      <c r="E364" s="60" t="s">
        <v>799</v>
      </c>
      <c r="G364" s="68">
        <v>1.05</v>
      </c>
      <c r="L364" s="69"/>
    </row>
    <row r="365" spans="1:47" ht="14.4">
      <c r="A365" s="50" t="s">
        <v>4</v>
      </c>
      <c r="B365" s="51" t="s">
        <v>116</v>
      </c>
      <c r="C365" s="51" t="s">
        <v>223</v>
      </c>
      <c r="D365" s="222" t="s">
        <v>800</v>
      </c>
      <c r="E365" s="223"/>
      <c r="F365" s="52" t="s">
        <v>79</v>
      </c>
      <c r="G365" s="52" t="s">
        <v>79</v>
      </c>
      <c r="H365" s="52" t="s">
        <v>79</v>
      </c>
      <c r="I365" s="27">
        <f>SUM(I366:I366)</f>
        <v>0</v>
      </c>
      <c r="J365" s="34" t="s">
        <v>4</v>
      </c>
      <c r="K365" s="27">
        <f>SUM(K366:K366)</f>
        <v>0.7048734</v>
      </c>
      <c r="L365" s="54" t="s">
        <v>4</v>
      </c>
      <c r="AI365" s="34" t="s">
        <v>116</v>
      </c>
      <c r="AS365" s="27">
        <f>SUM(AJ366:AJ366)</f>
        <v>0</v>
      </c>
      <c r="AT365" s="27">
        <f>SUM(AK366:AK366)</f>
        <v>0</v>
      </c>
      <c r="AU365" s="27">
        <f>SUM(AL366:AL366)</f>
        <v>0</v>
      </c>
    </row>
    <row r="366" spans="1:75" ht="13.5" customHeight="1">
      <c r="A366" s="1" t="s">
        <v>801</v>
      </c>
      <c r="B366" s="2" t="s">
        <v>116</v>
      </c>
      <c r="C366" s="2" t="s">
        <v>802</v>
      </c>
      <c r="D366" s="147" t="s">
        <v>803</v>
      </c>
      <c r="E366" s="148"/>
      <c r="F366" s="2" t="s">
        <v>792</v>
      </c>
      <c r="G366" s="55">
        <f>'Stavební rozpočet-vyplnit'!G366</f>
        <v>0.33</v>
      </c>
      <c r="H366" s="55">
        <f>'Stavební rozpočet-vyplnit'!H366</f>
        <v>0</v>
      </c>
      <c r="I366" s="55">
        <f>G366*H366</f>
        <v>0</v>
      </c>
      <c r="J366" s="55">
        <f>'Stavební rozpočet-vyplnit'!J366</f>
        <v>2.13598</v>
      </c>
      <c r="K366" s="55">
        <f>G366*J366</f>
        <v>0.7048734</v>
      </c>
      <c r="L366" s="57" t="s">
        <v>785</v>
      </c>
      <c r="Z366" s="55">
        <f>IF(AQ366="5",BJ366,0)</f>
        <v>0</v>
      </c>
      <c r="AB366" s="55">
        <f>IF(AQ366="1",BH366,0)</f>
        <v>0</v>
      </c>
      <c r="AC366" s="55">
        <f>IF(AQ366="1",BI366,0)</f>
        <v>0</v>
      </c>
      <c r="AD366" s="55">
        <f>IF(AQ366="7",BH366,0)</f>
        <v>0</v>
      </c>
      <c r="AE366" s="55">
        <f>IF(AQ366="7",BI366,0)</f>
        <v>0</v>
      </c>
      <c r="AF366" s="55">
        <f>IF(AQ366="2",BH366,0)</f>
        <v>0</v>
      </c>
      <c r="AG366" s="55">
        <f>IF(AQ366="2",BI366,0)</f>
        <v>0</v>
      </c>
      <c r="AH366" s="55">
        <f>IF(AQ366="0",BJ366,0)</f>
        <v>0</v>
      </c>
      <c r="AI366" s="34" t="s">
        <v>116</v>
      </c>
      <c r="AJ366" s="55">
        <f>IF(AN366=0,I366,0)</f>
        <v>0</v>
      </c>
      <c r="AK366" s="55">
        <f>IF(AN366=12,I366,0)</f>
        <v>0</v>
      </c>
      <c r="AL366" s="55">
        <f>IF(AN366=21,I366,0)</f>
        <v>0</v>
      </c>
      <c r="AN366" s="55">
        <v>21</v>
      </c>
      <c r="AO366" s="55">
        <f>H366*0.675730736</f>
        <v>0</v>
      </c>
      <c r="AP366" s="55">
        <f>H366*(1-0.675730736)</f>
        <v>0</v>
      </c>
      <c r="AQ366" s="58" t="s">
        <v>120</v>
      </c>
      <c r="AV366" s="55">
        <f>AW366+AX366</f>
        <v>0</v>
      </c>
      <c r="AW366" s="55">
        <f>G366*AO366</f>
        <v>0</v>
      </c>
      <c r="AX366" s="55">
        <f>G366*AP366</f>
        <v>0</v>
      </c>
      <c r="AY366" s="58" t="s">
        <v>804</v>
      </c>
      <c r="AZ366" s="58" t="s">
        <v>787</v>
      </c>
      <c r="BA366" s="34" t="s">
        <v>128</v>
      </c>
      <c r="BB366" s="67">
        <v>100049</v>
      </c>
      <c r="BC366" s="55">
        <f>AW366+AX366</f>
        <v>0</v>
      </c>
      <c r="BD366" s="55">
        <f>H366/(100-BE366)*100</f>
        <v>0</v>
      </c>
      <c r="BE366" s="55">
        <v>0</v>
      </c>
      <c r="BF366" s="55">
        <f>K366</f>
        <v>0.7048734</v>
      </c>
      <c r="BH366" s="55">
        <f>G366*AO366</f>
        <v>0</v>
      </c>
      <c r="BI366" s="55">
        <f>G366*AP366</f>
        <v>0</v>
      </c>
      <c r="BJ366" s="55">
        <f>G366*H366</f>
        <v>0</v>
      </c>
      <c r="BK366" s="55"/>
      <c r="BL366" s="55">
        <v>33</v>
      </c>
      <c r="BW366" s="55">
        <v>21</v>
      </c>
    </row>
    <row r="367" spans="1:12" ht="14.4">
      <c r="A367" s="59"/>
      <c r="D367" s="60" t="s">
        <v>805</v>
      </c>
      <c r="E367" s="60" t="s">
        <v>806</v>
      </c>
      <c r="G367" s="68">
        <v>0.06</v>
      </c>
      <c r="L367" s="69"/>
    </row>
    <row r="368" spans="1:12" ht="14.4">
      <c r="A368" s="59"/>
      <c r="D368" s="60" t="s">
        <v>807</v>
      </c>
      <c r="E368" s="60" t="s">
        <v>808</v>
      </c>
      <c r="G368" s="68">
        <v>0.27</v>
      </c>
      <c r="L368" s="69"/>
    </row>
    <row r="369" spans="1:47" ht="14.4">
      <c r="A369" s="50" t="s">
        <v>4</v>
      </c>
      <c r="B369" s="51" t="s">
        <v>116</v>
      </c>
      <c r="C369" s="51" t="s">
        <v>226</v>
      </c>
      <c r="D369" s="222" t="s">
        <v>809</v>
      </c>
      <c r="E369" s="223"/>
      <c r="F369" s="52" t="s">
        <v>79</v>
      </c>
      <c r="G369" s="52" t="s">
        <v>79</v>
      </c>
      <c r="H369" s="52" t="s">
        <v>79</v>
      </c>
      <c r="I369" s="27">
        <f>SUM(I370:I437)</f>
        <v>0</v>
      </c>
      <c r="J369" s="34" t="s">
        <v>4</v>
      </c>
      <c r="K369" s="27">
        <f>SUM(K370:K437)</f>
        <v>32.4302842</v>
      </c>
      <c r="L369" s="54" t="s">
        <v>4</v>
      </c>
      <c r="AI369" s="34" t="s">
        <v>116</v>
      </c>
      <c r="AS369" s="27">
        <f>SUM(AJ370:AJ437)</f>
        <v>0</v>
      </c>
      <c r="AT369" s="27">
        <f>SUM(AK370:AK437)</f>
        <v>0</v>
      </c>
      <c r="AU369" s="27">
        <f>SUM(AL370:AL437)</f>
        <v>0</v>
      </c>
    </row>
    <row r="370" spans="1:75" ht="13.5" customHeight="1">
      <c r="A370" s="1" t="s">
        <v>810</v>
      </c>
      <c r="B370" s="2" t="s">
        <v>116</v>
      </c>
      <c r="C370" s="2" t="s">
        <v>811</v>
      </c>
      <c r="D370" s="147" t="s">
        <v>812</v>
      </c>
      <c r="E370" s="148"/>
      <c r="F370" s="2" t="s">
        <v>729</v>
      </c>
      <c r="G370" s="55">
        <f>'Stavební rozpočet-vyplnit'!G370</f>
        <v>13.8</v>
      </c>
      <c r="H370" s="55">
        <f>'Stavební rozpočet-vyplnit'!H370</f>
        <v>0</v>
      </c>
      <c r="I370" s="55">
        <f>G370*H370</f>
        <v>0</v>
      </c>
      <c r="J370" s="55">
        <f>'Stavební rozpočet-vyplnit'!J370</f>
        <v>0.03627</v>
      </c>
      <c r="K370" s="55">
        <f>G370*J370</f>
        <v>0.500526</v>
      </c>
      <c r="L370" s="57" t="s">
        <v>785</v>
      </c>
      <c r="Z370" s="55">
        <f>IF(AQ370="5",BJ370,0)</f>
        <v>0</v>
      </c>
      <c r="AB370" s="55">
        <f>IF(AQ370="1",BH370,0)</f>
        <v>0</v>
      </c>
      <c r="AC370" s="55">
        <f>IF(AQ370="1",BI370,0)</f>
        <v>0</v>
      </c>
      <c r="AD370" s="55">
        <f>IF(AQ370="7",BH370,0)</f>
        <v>0</v>
      </c>
      <c r="AE370" s="55">
        <f>IF(AQ370="7",BI370,0)</f>
        <v>0</v>
      </c>
      <c r="AF370" s="55">
        <f>IF(AQ370="2",BH370,0)</f>
        <v>0</v>
      </c>
      <c r="AG370" s="55">
        <f>IF(AQ370="2",BI370,0)</f>
        <v>0</v>
      </c>
      <c r="AH370" s="55">
        <f>IF(AQ370="0",BJ370,0)</f>
        <v>0</v>
      </c>
      <c r="AI370" s="34" t="s">
        <v>116</v>
      </c>
      <c r="AJ370" s="55">
        <f>IF(AN370=0,I370,0)</f>
        <v>0</v>
      </c>
      <c r="AK370" s="55">
        <f>IF(AN370=12,I370,0)</f>
        <v>0</v>
      </c>
      <c r="AL370" s="55">
        <f>IF(AN370=21,I370,0)</f>
        <v>0</v>
      </c>
      <c r="AN370" s="55">
        <v>21</v>
      </c>
      <c r="AO370" s="55">
        <f>H370*0.60623605</f>
        <v>0</v>
      </c>
      <c r="AP370" s="55">
        <f>H370*(1-0.60623605)</f>
        <v>0</v>
      </c>
      <c r="AQ370" s="58" t="s">
        <v>120</v>
      </c>
      <c r="AV370" s="55">
        <f>AW370+AX370</f>
        <v>0</v>
      </c>
      <c r="AW370" s="55">
        <f>G370*AO370</f>
        <v>0</v>
      </c>
      <c r="AX370" s="55">
        <f>G370*AP370</f>
        <v>0</v>
      </c>
      <c r="AY370" s="58" t="s">
        <v>813</v>
      </c>
      <c r="AZ370" s="58" t="s">
        <v>787</v>
      </c>
      <c r="BA370" s="34" t="s">
        <v>128</v>
      </c>
      <c r="BB370" s="67">
        <v>100002</v>
      </c>
      <c r="BC370" s="55">
        <f>AW370+AX370</f>
        <v>0</v>
      </c>
      <c r="BD370" s="55">
        <f>H370/(100-BE370)*100</f>
        <v>0</v>
      </c>
      <c r="BE370" s="55">
        <v>0</v>
      </c>
      <c r="BF370" s="55">
        <f>K370</f>
        <v>0.500526</v>
      </c>
      <c r="BH370" s="55">
        <f>G370*AO370</f>
        <v>0</v>
      </c>
      <c r="BI370" s="55">
        <f>G370*AP370</f>
        <v>0</v>
      </c>
      <c r="BJ370" s="55">
        <f>G370*H370</f>
        <v>0</v>
      </c>
      <c r="BK370" s="55"/>
      <c r="BL370" s="55">
        <v>34</v>
      </c>
      <c r="BW370" s="55">
        <v>21</v>
      </c>
    </row>
    <row r="371" spans="1:12" ht="13.5" customHeight="1">
      <c r="A371" s="59"/>
      <c r="D371" s="218" t="s">
        <v>814</v>
      </c>
      <c r="E371" s="219"/>
      <c r="F371" s="219"/>
      <c r="G371" s="219"/>
      <c r="H371" s="219"/>
      <c r="I371" s="219"/>
      <c r="J371" s="219"/>
      <c r="K371" s="219"/>
      <c r="L371" s="221"/>
    </row>
    <row r="372" spans="1:12" ht="14.4">
      <c r="A372" s="59"/>
      <c r="D372" s="60" t="s">
        <v>815</v>
      </c>
      <c r="E372" s="60" t="s">
        <v>816</v>
      </c>
      <c r="G372" s="68">
        <v>13.8</v>
      </c>
      <c r="L372" s="69"/>
    </row>
    <row r="373" spans="1:75" ht="13.5" customHeight="1">
      <c r="A373" s="1" t="s">
        <v>817</v>
      </c>
      <c r="B373" s="2" t="s">
        <v>116</v>
      </c>
      <c r="C373" s="2" t="s">
        <v>818</v>
      </c>
      <c r="D373" s="147" t="s">
        <v>819</v>
      </c>
      <c r="E373" s="148"/>
      <c r="F373" s="2" t="s">
        <v>729</v>
      </c>
      <c r="G373" s="55">
        <f>'Stavební rozpočet-vyplnit'!G373</f>
        <v>82.5</v>
      </c>
      <c r="H373" s="55">
        <f>'Stavební rozpočet-vyplnit'!H373</f>
        <v>0</v>
      </c>
      <c r="I373" s="55">
        <f>G373*H373</f>
        <v>0</v>
      </c>
      <c r="J373" s="55">
        <f>'Stavební rozpočet-vyplnit'!J373</f>
        <v>0.03713</v>
      </c>
      <c r="K373" s="55">
        <f>G373*J373</f>
        <v>3.063225</v>
      </c>
      <c r="L373" s="57" t="s">
        <v>785</v>
      </c>
      <c r="Z373" s="55">
        <f>IF(AQ373="5",BJ373,0)</f>
        <v>0</v>
      </c>
      <c r="AB373" s="55">
        <f>IF(AQ373="1",BH373,0)</f>
        <v>0</v>
      </c>
      <c r="AC373" s="55">
        <f>IF(AQ373="1",BI373,0)</f>
        <v>0</v>
      </c>
      <c r="AD373" s="55">
        <f>IF(AQ373="7",BH373,0)</f>
        <v>0</v>
      </c>
      <c r="AE373" s="55">
        <f>IF(AQ373="7",BI373,0)</f>
        <v>0</v>
      </c>
      <c r="AF373" s="55">
        <f>IF(AQ373="2",BH373,0)</f>
        <v>0</v>
      </c>
      <c r="AG373" s="55">
        <f>IF(AQ373="2",BI373,0)</f>
        <v>0</v>
      </c>
      <c r="AH373" s="55">
        <f>IF(AQ373="0",BJ373,0)</f>
        <v>0</v>
      </c>
      <c r="AI373" s="34" t="s">
        <v>116</v>
      </c>
      <c r="AJ373" s="55">
        <f>IF(AN373=0,I373,0)</f>
        <v>0</v>
      </c>
      <c r="AK373" s="55">
        <f>IF(AN373=12,I373,0)</f>
        <v>0</v>
      </c>
      <c r="AL373" s="55">
        <f>IF(AN373=21,I373,0)</f>
        <v>0</v>
      </c>
      <c r="AN373" s="55">
        <v>21</v>
      </c>
      <c r="AO373" s="55">
        <f>H373*0.642834208</f>
        <v>0</v>
      </c>
      <c r="AP373" s="55">
        <f>H373*(1-0.642834208)</f>
        <v>0</v>
      </c>
      <c r="AQ373" s="58" t="s">
        <v>120</v>
      </c>
      <c r="AV373" s="55">
        <f>AW373+AX373</f>
        <v>0</v>
      </c>
      <c r="AW373" s="55">
        <f>G373*AO373</f>
        <v>0</v>
      </c>
      <c r="AX373" s="55">
        <f>G373*AP373</f>
        <v>0</v>
      </c>
      <c r="AY373" s="58" t="s">
        <v>813</v>
      </c>
      <c r="AZ373" s="58" t="s">
        <v>787</v>
      </c>
      <c r="BA373" s="34" t="s">
        <v>128</v>
      </c>
      <c r="BB373" s="67">
        <v>100002</v>
      </c>
      <c r="BC373" s="55">
        <f>AW373+AX373</f>
        <v>0</v>
      </c>
      <c r="BD373" s="55">
        <f>H373/(100-BE373)*100</f>
        <v>0</v>
      </c>
      <c r="BE373" s="55">
        <v>0</v>
      </c>
      <c r="BF373" s="55">
        <f>K373</f>
        <v>3.063225</v>
      </c>
      <c r="BH373" s="55">
        <f>G373*AO373</f>
        <v>0</v>
      </c>
      <c r="BI373" s="55">
        <f>G373*AP373</f>
        <v>0</v>
      </c>
      <c r="BJ373" s="55">
        <f>G373*H373</f>
        <v>0</v>
      </c>
      <c r="BK373" s="55"/>
      <c r="BL373" s="55">
        <v>34</v>
      </c>
      <c r="BW373" s="55">
        <v>21</v>
      </c>
    </row>
    <row r="374" spans="1:12" ht="13.5" customHeight="1">
      <c r="A374" s="59"/>
      <c r="D374" s="218" t="s">
        <v>820</v>
      </c>
      <c r="E374" s="219"/>
      <c r="F374" s="219"/>
      <c r="G374" s="219"/>
      <c r="H374" s="219"/>
      <c r="I374" s="219"/>
      <c r="J374" s="219"/>
      <c r="K374" s="219"/>
      <c r="L374" s="221"/>
    </row>
    <row r="375" spans="1:12" ht="14.4">
      <c r="A375" s="59"/>
      <c r="D375" s="60" t="s">
        <v>821</v>
      </c>
      <c r="E375" s="60" t="s">
        <v>816</v>
      </c>
      <c r="G375" s="68">
        <v>82.5</v>
      </c>
      <c r="L375" s="69"/>
    </row>
    <row r="376" spans="1:75" ht="13.5" customHeight="1">
      <c r="A376" s="1" t="s">
        <v>822</v>
      </c>
      <c r="B376" s="2" t="s">
        <v>116</v>
      </c>
      <c r="C376" s="2" t="s">
        <v>823</v>
      </c>
      <c r="D376" s="147" t="s">
        <v>824</v>
      </c>
      <c r="E376" s="148"/>
      <c r="F376" s="2" t="s">
        <v>374</v>
      </c>
      <c r="G376" s="55">
        <f>'Stavební rozpočet-vyplnit'!G376</f>
        <v>2</v>
      </c>
      <c r="H376" s="55">
        <f>'Stavební rozpočet-vyplnit'!H376</f>
        <v>0</v>
      </c>
      <c r="I376" s="55">
        <f>G376*H376</f>
        <v>0</v>
      </c>
      <c r="J376" s="55">
        <f>'Stavební rozpočet-vyplnit'!J376</f>
        <v>0.00495</v>
      </c>
      <c r="K376" s="55">
        <f>G376*J376</f>
        <v>0.0099</v>
      </c>
      <c r="L376" s="57" t="s">
        <v>785</v>
      </c>
      <c r="Z376" s="55">
        <f>IF(AQ376="5",BJ376,0)</f>
        <v>0</v>
      </c>
      <c r="AB376" s="55">
        <f>IF(AQ376="1",BH376,0)</f>
        <v>0</v>
      </c>
      <c r="AC376" s="55">
        <f>IF(AQ376="1",BI376,0)</f>
        <v>0</v>
      </c>
      <c r="AD376" s="55">
        <f>IF(AQ376="7",BH376,0)</f>
        <v>0</v>
      </c>
      <c r="AE376" s="55">
        <f>IF(AQ376="7",BI376,0)</f>
        <v>0</v>
      </c>
      <c r="AF376" s="55">
        <f>IF(AQ376="2",BH376,0)</f>
        <v>0</v>
      </c>
      <c r="AG376" s="55">
        <f>IF(AQ376="2",BI376,0)</f>
        <v>0</v>
      </c>
      <c r="AH376" s="55">
        <f>IF(AQ376="0",BJ376,0)</f>
        <v>0</v>
      </c>
      <c r="AI376" s="34" t="s">
        <v>116</v>
      </c>
      <c r="AJ376" s="55">
        <f>IF(AN376=0,I376,0)</f>
        <v>0</v>
      </c>
      <c r="AK376" s="55">
        <f>IF(AN376=12,I376,0)</f>
        <v>0</v>
      </c>
      <c r="AL376" s="55">
        <f>IF(AN376=21,I376,0)</f>
        <v>0</v>
      </c>
      <c r="AN376" s="55">
        <v>21</v>
      </c>
      <c r="AO376" s="55">
        <f>H376*0.540410959</f>
        <v>0</v>
      </c>
      <c r="AP376" s="55">
        <f>H376*(1-0.540410959)</f>
        <v>0</v>
      </c>
      <c r="AQ376" s="58" t="s">
        <v>120</v>
      </c>
      <c r="AV376" s="55">
        <f>AW376+AX376</f>
        <v>0</v>
      </c>
      <c r="AW376" s="55">
        <f>G376*AO376</f>
        <v>0</v>
      </c>
      <c r="AX376" s="55">
        <f>G376*AP376</f>
        <v>0</v>
      </c>
      <c r="AY376" s="58" t="s">
        <v>813</v>
      </c>
      <c r="AZ376" s="58" t="s">
        <v>787</v>
      </c>
      <c r="BA376" s="34" t="s">
        <v>128</v>
      </c>
      <c r="BB376" s="67">
        <v>100002</v>
      </c>
      <c r="BC376" s="55">
        <f>AW376+AX376</f>
        <v>0</v>
      </c>
      <c r="BD376" s="55">
        <f>H376/(100-BE376)*100</f>
        <v>0</v>
      </c>
      <c r="BE376" s="55">
        <v>0</v>
      </c>
      <c r="BF376" s="55">
        <f>K376</f>
        <v>0.0099</v>
      </c>
      <c r="BH376" s="55">
        <f>G376*AO376</f>
        <v>0</v>
      </c>
      <c r="BI376" s="55">
        <f>G376*AP376</f>
        <v>0</v>
      </c>
      <c r="BJ376" s="55">
        <f>G376*H376</f>
        <v>0</v>
      </c>
      <c r="BK376" s="55"/>
      <c r="BL376" s="55">
        <v>34</v>
      </c>
      <c r="BW376" s="55">
        <v>21</v>
      </c>
    </row>
    <row r="377" spans="1:12" ht="14.4">
      <c r="A377" s="59"/>
      <c r="D377" s="60" t="s">
        <v>130</v>
      </c>
      <c r="E377" s="60" t="s">
        <v>4</v>
      </c>
      <c r="G377" s="68">
        <v>2</v>
      </c>
      <c r="L377" s="69"/>
    </row>
    <row r="378" spans="1:75" ht="13.5" customHeight="1">
      <c r="A378" s="1" t="s">
        <v>825</v>
      </c>
      <c r="B378" s="2" t="s">
        <v>116</v>
      </c>
      <c r="C378" s="2" t="s">
        <v>826</v>
      </c>
      <c r="D378" s="147" t="s">
        <v>827</v>
      </c>
      <c r="E378" s="148"/>
      <c r="F378" s="2" t="s">
        <v>374</v>
      </c>
      <c r="G378" s="55">
        <f>'Stavební rozpočet-vyplnit'!G378</f>
        <v>9</v>
      </c>
      <c r="H378" s="55">
        <f>'Stavební rozpočet-vyplnit'!H378</f>
        <v>0</v>
      </c>
      <c r="I378" s="55">
        <f>G378*H378</f>
        <v>0</v>
      </c>
      <c r="J378" s="55">
        <f>'Stavební rozpočet-vyplnit'!J378</f>
        <v>0.00569</v>
      </c>
      <c r="K378" s="55">
        <f>G378*J378</f>
        <v>0.05121</v>
      </c>
      <c r="L378" s="57" t="s">
        <v>785</v>
      </c>
      <c r="Z378" s="55">
        <f>IF(AQ378="5",BJ378,0)</f>
        <v>0</v>
      </c>
      <c r="AB378" s="55">
        <f>IF(AQ378="1",BH378,0)</f>
        <v>0</v>
      </c>
      <c r="AC378" s="55">
        <f>IF(AQ378="1",BI378,0)</f>
        <v>0</v>
      </c>
      <c r="AD378" s="55">
        <f>IF(AQ378="7",BH378,0)</f>
        <v>0</v>
      </c>
      <c r="AE378" s="55">
        <f>IF(AQ378="7",BI378,0)</f>
        <v>0</v>
      </c>
      <c r="AF378" s="55">
        <f>IF(AQ378="2",BH378,0)</f>
        <v>0</v>
      </c>
      <c r="AG378" s="55">
        <f>IF(AQ378="2",BI378,0)</f>
        <v>0</v>
      </c>
      <c r="AH378" s="55">
        <f>IF(AQ378="0",BJ378,0)</f>
        <v>0</v>
      </c>
      <c r="AI378" s="34" t="s">
        <v>116</v>
      </c>
      <c r="AJ378" s="55">
        <f>IF(AN378=0,I378,0)</f>
        <v>0</v>
      </c>
      <c r="AK378" s="55">
        <f>IF(AN378=12,I378,0)</f>
        <v>0</v>
      </c>
      <c r="AL378" s="55">
        <f>IF(AN378=21,I378,0)</f>
        <v>0</v>
      </c>
      <c r="AN378" s="55">
        <v>21</v>
      </c>
      <c r="AO378" s="55">
        <f>H378*0.58192475</f>
        <v>0</v>
      </c>
      <c r="AP378" s="55">
        <f>H378*(1-0.58192475)</f>
        <v>0</v>
      </c>
      <c r="AQ378" s="58" t="s">
        <v>120</v>
      </c>
      <c r="AV378" s="55">
        <f>AW378+AX378</f>
        <v>0</v>
      </c>
      <c r="AW378" s="55">
        <f>G378*AO378</f>
        <v>0</v>
      </c>
      <c r="AX378" s="55">
        <f>G378*AP378</f>
        <v>0</v>
      </c>
      <c r="AY378" s="58" t="s">
        <v>813</v>
      </c>
      <c r="AZ378" s="58" t="s">
        <v>787</v>
      </c>
      <c r="BA378" s="34" t="s">
        <v>128</v>
      </c>
      <c r="BB378" s="67">
        <v>100002</v>
      </c>
      <c r="BC378" s="55">
        <f>AW378+AX378</f>
        <v>0</v>
      </c>
      <c r="BD378" s="55">
        <f>H378/(100-BE378)*100</f>
        <v>0</v>
      </c>
      <c r="BE378" s="55">
        <v>0</v>
      </c>
      <c r="BF378" s="55">
        <f>K378</f>
        <v>0.05121</v>
      </c>
      <c r="BH378" s="55">
        <f>G378*AO378</f>
        <v>0</v>
      </c>
      <c r="BI378" s="55">
        <f>G378*AP378</f>
        <v>0</v>
      </c>
      <c r="BJ378" s="55">
        <f>G378*H378</f>
        <v>0</v>
      </c>
      <c r="BK378" s="55"/>
      <c r="BL378" s="55">
        <v>34</v>
      </c>
      <c r="BW378" s="55">
        <v>21</v>
      </c>
    </row>
    <row r="379" spans="1:12" ht="14.4">
      <c r="A379" s="59"/>
      <c r="D379" s="60" t="s">
        <v>150</v>
      </c>
      <c r="E379" s="60" t="s">
        <v>4</v>
      </c>
      <c r="G379" s="68">
        <v>9</v>
      </c>
      <c r="L379" s="69"/>
    </row>
    <row r="380" spans="1:75" ht="13.5" customHeight="1">
      <c r="A380" s="1" t="s">
        <v>828</v>
      </c>
      <c r="B380" s="2" t="s">
        <v>116</v>
      </c>
      <c r="C380" s="2" t="s">
        <v>829</v>
      </c>
      <c r="D380" s="147" t="s">
        <v>830</v>
      </c>
      <c r="E380" s="148"/>
      <c r="F380" s="2" t="s">
        <v>374</v>
      </c>
      <c r="G380" s="55">
        <f>'Stavební rozpočet-vyplnit'!G380</f>
        <v>12</v>
      </c>
      <c r="H380" s="55">
        <f>'Stavební rozpočet-vyplnit'!H380</f>
        <v>0</v>
      </c>
      <c r="I380" s="55">
        <f>G380*H380</f>
        <v>0</v>
      </c>
      <c r="J380" s="55">
        <f>'Stavební rozpočet-vyplnit'!J380</f>
        <v>0.00632</v>
      </c>
      <c r="K380" s="55">
        <f>G380*J380</f>
        <v>0.07584</v>
      </c>
      <c r="L380" s="57" t="s">
        <v>785</v>
      </c>
      <c r="Z380" s="55">
        <f>IF(AQ380="5",BJ380,0)</f>
        <v>0</v>
      </c>
      <c r="AB380" s="55">
        <f>IF(AQ380="1",BH380,0)</f>
        <v>0</v>
      </c>
      <c r="AC380" s="55">
        <f>IF(AQ380="1",BI380,0)</f>
        <v>0</v>
      </c>
      <c r="AD380" s="55">
        <f>IF(AQ380="7",BH380,0)</f>
        <v>0</v>
      </c>
      <c r="AE380" s="55">
        <f>IF(AQ380="7",BI380,0)</f>
        <v>0</v>
      </c>
      <c r="AF380" s="55">
        <f>IF(AQ380="2",BH380,0)</f>
        <v>0</v>
      </c>
      <c r="AG380" s="55">
        <f>IF(AQ380="2",BI380,0)</f>
        <v>0</v>
      </c>
      <c r="AH380" s="55">
        <f>IF(AQ380="0",BJ380,0)</f>
        <v>0</v>
      </c>
      <c r="AI380" s="34" t="s">
        <v>116</v>
      </c>
      <c r="AJ380" s="55">
        <f>IF(AN380=0,I380,0)</f>
        <v>0</v>
      </c>
      <c r="AK380" s="55">
        <f>IF(AN380=12,I380,0)</f>
        <v>0</v>
      </c>
      <c r="AL380" s="55">
        <f>IF(AN380=21,I380,0)</f>
        <v>0</v>
      </c>
      <c r="AN380" s="55">
        <v>21</v>
      </c>
      <c r="AO380" s="55">
        <f>H380*0.516738411</f>
        <v>0</v>
      </c>
      <c r="AP380" s="55">
        <f>H380*(1-0.516738411)</f>
        <v>0</v>
      </c>
      <c r="AQ380" s="58" t="s">
        <v>120</v>
      </c>
      <c r="AV380" s="55">
        <f>AW380+AX380</f>
        <v>0</v>
      </c>
      <c r="AW380" s="55">
        <f>G380*AO380</f>
        <v>0</v>
      </c>
      <c r="AX380" s="55">
        <f>G380*AP380</f>
        <v>0</v>
      </c>
      <c r="AY380" s="58" t="s">
        <v>813</v>
      </c>
      <c r="AZ380" s="58" t="s">
        <v>787</v>
      </c>
      <c r="BA380" s="34" t="s">
        <v>128</v>
      </c>
      <c r="BB380" s="67">
        <v>100002</v>
      </c>
      <c r="BC380" s="55">
        <f>AW380+AX380</f>
        <v>0</v>
      </c>
      <c r="BD380" s="55">
        <f>H380/(100-BE380)*100</f>
        <v>0</v>
      </c>
      <c r="BE380" s="55">
        <v>0</v>
      </c>
      <c r="BF380" s="55">
        <f>K380</f>
        <v>0.07584</v>
      </c>
      <c r="BH380" s="55">
        <f>G380*AO380</f>
        <v>0</v>
      </c>
      <c r="BI380" s="55">
        <f>G380*AP380</f>
        <v>0</v>
      </c>
      <c r="BJ380" s="55">
        <f>G380*H380</f>
        <v>0</v>
      </c>
      <c r="BK380" s="55"/>
      <c r="BL380" s="55">
        <v>34</v>
      </c>
      <c r="BW380" s="55">
        <v>21</v>
      </c>
    </row>
    <row r="381" spans="1:12" ht="14.4">
      <c r="A381" s="59"/>
      <c r="D381" s="60" t="s">
        <v>159</v>
      </c>
      <c r="E381" s="60" t="s">
        <v>4</v>
      </c>
      <c r="G381" s="68">
        <v>12</v>
      </c>
      <c r="L381" s="69"/>
    </row>
    <row r="382" spans="1:75" ht="13.5" customHeight="1">
      <c r="A382" s="1" t="s">
        <v>831</v>
      </c>
      <c r="B382" s="2" t="s">
        <v>116</v>
      </c>
      <c r="C382" s="2" t="s">
        <v>832</v>
      </c>
      <c r="D382" s="147" t="s">
        <v>833</v>
      </c>
      <c r="E382" s="148"/>
      <c r="F382" s="2" t="s">
        <v>374</v>
      </c>
      <c r="G382" s="55">
        <f>'Stavební rozpočet-vyplnit'!G382</f>
        <v>2</v>
      </c>
      <c r="H382" s="55">
        <f>'Stavební rozpočet-vyplnit'!H382</f>
        <v>0</v>
      </c>
      <c r="I382" s="55">
        <f>G382*H382</f>
        <v>0</v>
      </c>
      <c r="J382" s="55">
        <f>'Stavební rozpočet-vyplnit'!J382</f>
        <v>0.0298</v>
      </c>
      <c r="K382" s="55">
        <f>G382*J382</f>
        <v>0.0596</v>
      </c>
      <c r="L382" s="57" t="s">
        <v>785</v>
      </c>
      <c r="Z382" s="55">
        <f>IF(AQ382="5",BJ382,0)</f>
        <v>0</v>
      </c>
      <c r="AB382" s="55">
        <f>IF(AQ382="1",BH382,0)</f>
        <v>0</v>
      </c>
      <c r="AC382" s="55">
        <f>IF(AQ382="1",BI382,0)</f>
        <v>0</v>
      </c>
      <c r="AD382" s="55">
        <f>IF(AQ382="7",BH382,0)</f>
        <v>0</v>
      </c>
      <c r="AE382" s="55">
        <f>IF(AQ382="7",BI382,0)</f>
        <v>0</v>
      </c>
      <c r="AF382" s="55">
        <f>IF(AQ382="2",BH382,0)</f>
        <v>0</v>
      </c>
      <c r="AG382" s="55">
        <f>IF(AQ382="2",BI382,0)</f>
        <v>0</v>
      </c>
      <c r="AH382" s="55">
        <f>IF(AQ382="0",BJ382,0)</f>
        <v>0</v>
      </c>
      <c r="AI382" s="34" t="s">
        <v>116</v>
      </c>
      <c r="AJ382" s="55">
        <f>IF(AN382=0,I382,0)</f>
        <v>0</v>
      </c>
      <c r="AK382" s="55">
        <f>IF(AN382=12,I382,0)</f>
        <v>0</v>
      </c>
      <c r="AL382" s="55">
        <f>IF(AN382=21,I382,0)</f>
        <v>0</v>
      </c>
      <c r="AN382" s="55">
        <v>21</v>
      </c>
      <c r="AO382" s="55">
        <f>H382*0.761762786</f>
        <v>0</v>
      </c>
      <c r="AP382" s="55">
        <f>H382*(1-0.761762786)</f>
        <v>0</v>
      </c>
      <c r="AQ382" s="58" t="s">
        <v>120</v>
      </c>
      <c r="AV382" s="55">
        <f>AW382+AX382</f>
        <v>0</v>
      </c>
      <c r="AW382" s="55">
        <f>G382*AO382</f>
        <v>0</v>
      </c>
      <c r="AX382" s="55">
        <f>G382*AP382</f>
        <v>0</v>
      </c>
      <c r="AY382" s="58" t="s">
        <v>813</v>
      </c>
      <c r="AZ382" s="58" t="s">
        <v>787</v>
      </c>
      <c r="BA382" s="34" t="s">
        <v>128</v>
      </c>
      <c r="BB382" s="67">
        <v>100002</v>
      </c>
      <c r="BC382" s="55">
        <f>AW382+AX382</f>
        <v>0</v>
      </c>
      <c r="BD382" s="55">
        <f>H382/(100-BE382)*100</f>
        <v>0</v>
      </c>
      <c r="BE382" s="55">
        <v>0</v>
      </c>
      <c r="BF382" s="55">
        <f>K382</f>
        <v>0.0596</v>
      </c>
      <c r="BH382" s="55">
        <f>G382*AO382</f>
        <v>0</v>
      </c>
      <c r="BI382" s="55">
        <f>G382*AP382</f>
        <v>0</v>
      </c>
      <c r="BJ382" s="55">
        <f>G382*H382</f>
        <v>0</v>
      </c>
      <c r="BK382" s="55"/>
      <c r="BL382" s="55">
        <v>34</v>
      </c>
      <c r="BW382" s="55">
        <v>21</v>
      </c>
    </row>
    <row r="383" spans="1:12" ht="14.4">
      <c r="A383" s="59"/>
      <c r="D383" s="60" t="s">
        <v>120</v>
      </c>
      <c r="E383" s="60" t="s">
        <v>834</v>
      </c>
      <c r="G383" s="68">
        <v>1</v>
      </c>
      <c r="L383" s="69"/>
    </row>
    <row r="384" spans="1:12" ht="14.4">
      <c r="A384" s="59"/>
      <c r="D384" s="60" t="s">
        <v>120</v>
      </c>
      <c r="E384" s="60" t="s">
        <v>835</v>
      </c>
      <c r="G384" s="68">
        <v>1</v>
      </c>
      <c r="L384" s="69"/>
    </row>
    <row r="385" spans="1:75" ht="13.5" customHeight="1">
      <c r="A385" s="1" t="s">
        <v>836</v>
      </c>
      <c r="B385" s="2" t="s">
        <v>116</v>
      </c>
      <c r="C385" s="2" t="s">
        <v>837</v>
      </c>
      <c r="D385" s="147" t="s">
        <v>838</v>
      </c>
      <c r="E385" s="148"/>
      <c r="F385" s="2" t="s">
        <v>729</v>
      </c>
      <c r="G385" s="55">
        <f>'Stavební rozpočet-vyplnit'!G385</f>
        <v>254.9</v>
      </c>
      <c r="H385" s="55">
        <f>'Stavební rozpočet-vyplnit'!H385</f>
        <v>0</v>
      </c>
      <c r="I385" s="55">
        <f>G385*H385</f>
        <v>0</v>
      </c>
      <c r="J385" s="55">
        <f>'Stavební rozpočet-vyplnit'!J385</f>
        <v>0.05174</v>
      </c>
      <c r="K385" s="55">
        <f>G385*J385</f>
        <v>13.188526000000001</v>
      </c>
      <c r="L385" s="57" t="s">
        <v>124</v>
      </c>
      <c r="Z385" s="55">
        <f>IF(AQ385="5",BJ385,0)</f>
        <v>0</v>
      </c>
      <c r="AB385" s="55">
        <f>IF(AQ385="1",BH385,0)</f>
        <v>0</v>
      </c>
      <c r="AC385" s="55">
        <f>IF(AQ385="1",BI385,0)</f>
        <v>0</v>
      </c>
      <c r="AD385" s="55">
        <f>IF(AQ385="7",BH385,0)</f>
        <v>0</v>
      </c>
      <c r="AE385" s="55">
        <f>IF(AQ385="7",BI385,0)</f>
        <v>0</v>
      </c>
      <c r="AF385" s="55">
        <f>IF(AQ385="2",BH385,0)</f>
        <v>0</v>
      </c>
      <c r="AG385" s="55">
        <f>IF(AQ385="2",BI385,0)</f>
        <v>0</v>
      </c>
      <c r="AH385" s="55">
        <f>IF(AQ385="0",BJ385,0)</f>
        <v>0</v>
      </c>
      <c r="AI385" s="34" t="s">
        <v>116</v>
      </c>
      <c r="AJ385" s="55">
        <f>IF(AN385=0,I385,0)</f>
        <v>0</v>
      </c>
      <c r="AK385" s="55">
        <f>IF(AN385=12,I385,0)</f>
        <v>0</v>
      </c>
      <c r="AL385" s="55">
        <f>IF(AN385=21,I385,0)</f>
        <v>0</v>
      </c>
      <c r="AN385" s="55">
        <v>21</v>
      </c>
      <c r="AO385" s="55">
        <f>H385*0.658284444</f>
        <v>0</v>
      </c>
      <c r="AP385" s="55">
        <f>H385*(1-0.658284444)</f>
        <v>0</v>
      </c>
      <c r="AQ385" s="58" t="s">
        <v>120</v>
      </c>
      <c r="AV385" s="55">
        <f>AW385+AX385</f>
        <v>0</v>
      </c>
      <c r="AW385" s="55">
        <f>G385*AO385</f>
        <v>0</v>
      </c>
      <c r="AX385" s="55">
        <f>G385*AP385</f>
        <v>0</v>
      </c>
      <c r="AY385" s="58" t="s">
        <v>813</v>
      </c>
      <c r="AZ385" s="58" t="s">
        <v>787</v>
      </c>
      <c r="BA385" s="34" t="s">
        <v>128</v>
      </c>
      <c r="BB385" s="67">
        <v>100002</v>
      </c>
      <c r="BC385" s="55">
        <f>AW385+AX385</f>
        <v>0</v>
      </c>
      <c r="BD385" s="55">
        <f>H385/(100-BE385)*100</f>
        <v>0</v>
      </c>
      <c r="BE385" s="55">
        <v>0</v>
      </c>
      <c r="BF385" s="55">
        <f>K385</f>
        <v>13.188526000000001</v>
      </c>
      <c r="BH385" s="55">
        <f>G385*AO385</f>
        <v>0</v>
      </c>
      <c r="BI385" s="55">
        <f>G385*AP385</f>
        <v>0</v>
      </c>
      <c r="BJ385" s="55">
        <f>G385*H385</f>
        <v>0</v>
      </c>
      <c r="BK385" s="55"/>
      <c r="BL385" s="55">
        <v>34</v>
      </c>
      <c r="BW385" s="55">
        <v>21</v>
      </c>
    </row>
    <row r="386" spans="1:12" ht="13.5" customHeight="1">
      <c r="A386" s="59"/>
      <c r="D386" s="218" t="s">
        <v>839</v>
      </c>
      <c r="E386" s="219"/>
      <c r="F386" s="219"/>
      <c r="G386" s="219"/>
      <c r="H386" s="219"/>
      <c r="I386" s="219"/>
      <c r="J386" s="219"/>
      <c r="K386" s="219"/>
      <c r="L386" s="221"/>
    </row>
    <row r="387" spans="1:12" ht="14.4">
      <c r="A387" s="59"/>
      <c r="D387" s="60" t="s">
        <v>840</v>
      </c>
      <c r="E387" s="60" t="s">
        <v>816</v>
      </c>
      <c r="G387" s="68">
        <v>254.9</v>
      </c>
      <c r="L387" s="69"/>
    </row>
    <row r="388" spans="1:75" ht="13.5" customHeight="1">
      <c r="A388" s="1" t="s">
        <v>841</v>
      </c>
      <c r="B388" s="2" t="s">
        <v>116</v>
      </c>
      <c r="C388" s="2" t="s">
        <v>842</v>
      </c>
      <c r="D388" s="147" t="s">
        <v>843</v>
      </c>
      <c r="E388" s="148"/>
      <c r="F388" s="2" t="s">
        <v>729</v>
      </c>
      <c r="G388" s="55">
        <f>'Stavební rozpočet-vyplnit'!G388</f>
        <v>4</v>
      </c>
      <c r="H388" s="55">
        <f>'Stavební rozpočet-vyplnit'!H388</f>
        <v>0</v>
      </c>
      <c r="I388" s="55">
        <f>G388*H388</f>
        <v>0</v>
      </c>
      <c r="J388" s="55">
        <f>'Stavební rozpočet-vyplnit'!J388</f>
        <v>0.05508</v>
      </c>
      <c r="K388" s="55">
        <f>G388*J388</f>
        <v>0.22032</v>
      </c>
      <c r="L388" s="57" t="s">
        <v>785</v>
      </c>
      <c r="Z388" s="55">
        <f>IF(AQ388="5",BJ388,0)</f>
        <v>0</v>
      </c>
      <c r="AB388" s="55">
        <f>IF(AQ388="1",BH388,0)</f>
        <v>0</v>
      </c>
      <c r="AC388" s="55">
        <f>IF(AQ388="1",BI388,0)</f>
        <v>0</v>
      </c>
      <c r="AD388" s="55">
        <f>IF(AQ388="7",BH388,0)</f>
        <v>0</v>
      </c>
      <c r="AE388" s="55">
        <f>IF(AQ388="7",BI388,0)</f>
        <v>0</v>
      </c>
      <c r="AF388" s="55">
        <f>IF(AQ388="2",BH388,0)</f>
        <v>0</v>
      </c>
      <c r="AG388" s="55">
        <f>IF(AQ388="2",BI388,0)</f>
        <v>0</v>
      </c>
      <c r="AH388" s="55">
        <f>IF(AQ388="0",BJ388,0)</f>
        <v>0</v>
      </c>
      <c r="AI388" s="34" t="s">
        <v>116</v>
      </c>
      <c r="AJ388" s="55">
        <f>IF(AN388=0,I388,0)</f>
        <v>0</v>
      </c>
      <c r="AK388" s="55">
        <f>IF(AN388=12,I388,0)</f>
        <v>0</v>
      </c>
      <c r="AL388" s="55">
        <f>IF(AN388=21,I388,0)</f>
        <v>0</v>
      </c>
      <c r="AN388" s="55">
        <v>21</v>
      </c>
      <c r="AO388" s="55">
        <f>H388*0.623104317</f>
        <v>0</v>
      </c>
      <c r="AP388" s="55">
        <f>H388*(1-0.623104317)</f>
        <v>0</v>
      </c>
      <c r="AQ388" s="58" t="s">
        <v>120</v>
      </c>
      <c r="AV388" s="55">
        <f>AW388+AX388</f>
        <v>0</v>
      </c>
      <c r="AW388" s="55">
        <f>G388*AO388</f>
        <v>0</v>
      </c>
      <c r="AX388" s="55">
        <f>G388*AP388</f>
        <v>0</v>
      </c>
      <c r="AY388" s="58" t="s">
        <v>813</v>
      </c>
      <c r="AZ388" s="58" t="s">
        <v>787</v>
      </c>
      <c r="BA388" s="34" t="s">
        <v>128</v>
      </c>
      <c r="BC388" s="55">
        <f>AW388+AX388</f>
        <v>0</v>
      </c>
      <c r="BD388" s="55">
        <f>H388/(100-BE388)*100</f>
        <v>0</v>
      </c>
      <c r="BE388" s="55">
        <v>0</v>
      </c>
      <c r="BF388" s="55">
        <f>K388</f>
        <v>0.22032</v>
      </c>
      <c r="BH388" s="55">
        <f>G388*AO388</f>
        <v>0</v>
      </c>
      <c r="BI388" s="55">
        <f>G388*AP388</f>
        <v>0</v>
      </c>
      <c r="BJ388" s="55">
        <f>G388*H388</f>
        <v>0</v>
      </c>
      <c r="BK388" s="55"/>
      <c r="BL388" s="55">
        <v>34</v>
      </c>
      <c r="BW388" s="55">
        <v>21</v>
      </c>
    </row>
    <row r="389" spans="1:12" ht="13.5" customHeight="1">
      <c r="A389" s="59"/>
      <c r="D389" s="218" t="s">
        <v>844</v>
      </c>
      <c r="E389" s="219"/>
      <c r="F389" s="219"/>
      <c r="G389" s="219"/>
      <c r="H389" s="219"/>
      <c r="I389" s="219"/>
      <c r="J389" s="219"/>
      <c r="K389" s="219"/>
      <c r="L389" s="221"/>
    </row>
    <row r="390" spans="1:12" ht="14.4">
      <c r="A390" s="59"/>
      <c r="D390" s="60" t="s">
        <v>136</v>
      </c>
      <c r="E390" s="60" t="s">
        <v>816</v>
      </c>
      <c r="G390" s="68">
        <v>4</v>
      </c>
      <c r="L390" s="69"/>
    </row>
    <row r="391" spans="1:75" ht="13.5" customHeight="1">
      <c r="A391" s="1" t="s">
        <v>845</v>
      </c>
      <c r="B391" s="2" t="s">
        <v>116</v>
      </c>
      <c r="C391" s="2" t="s">
        <v>846</v>
      </c>
      <c r="D391" s="147" t="s">
        <v>847</v>
      </c>
      <c r="E391" s="148"/>
      <c r="F391" s="2" t="s">
        <v>729</v>
      </c>
      <c r="G391" s="55">
        <f>'Stavební rozpočet-vyplnit'!G391</f>
        <v>3.54</v>
      </c>
      <c r="H391" s="55">
        <f>'Stavební rozpočet-vyplnit'!H391</f>
        <v>0</v>
      </c>
      <c r="I391" s="55">
        <f>G391*H391</f>
        <v>0</v>
      </c>
      <c r="J391" s="55">
        <f>'Stavební rozpočet-vyplnit'!J391</f>
        <v>0.05713</v>
      </c>
      <c r="K391" s="55">
        <f>G391*J391</f>
        <v>0.2022402</v>
      </c>
      <c r="L391" s="57" t="s">
        <v>785</v>
      </c>
      <c r="Z391" s="55">
        <f>IF(AQ391="5",BJ391,0)</f>
        <v>0</v>
      </c>
      <c r="AB391" s="55">
        <f>IF(AQ391="1",BH391,0)</f>
        <v>0</v>
      </c>
      <c r="AC391" s="55">
        <f>IF(AQ391="1",BI391,0)</f>
        <v>0</v>
      </c>
      <c r="AD391" s="55">
        <f>IF(AQ391="7",BH391,0)</f>
        <v>0</v>
      </c>
      <c r="AE391" s="55">
        <f>IF(AQ391="7",BI391,0)</f>
        <v>0</v>
      </c>
      <c r="AF391" s="55">
        <f>IF(AQ391="2",BH391,0)</f>
        <v>0</v>
      </c>
      <c r="AG391" s="55">
        <f>IF(AQ391="2",BI391,0)</f>
        <v>0</v>
      </c>
      <c r="AH391" s="55">
        <f>IF(AQ391="0",BJ391,0)</f>
        <v>0</v>
      </c>
      <c r="AI391" s="34" t="s">
        <v>116</v>
      </c>
      <c r="AJ391" s="55">
        <f>IF(AN391=0,I391,0)</f>
        <v>0</v>
      </c>
      <c r="AK391" s="55">
        <f>IF(AN391=12,I391,0)</f>
        <v>0</v>
      </c>
      <c r="AL391" s="55">
        <f>IF(AN391=21,I391,0)</f>
        <v>0</v>
      </c>
      <c r="AN391" s="55">
        <v>21</v>
      </c>
      <c r="AO391" s="55">
        <f>H391*0.636742574</f>
        <v>0</v>
      </c>
      <c r="AP391" s="55">
        <f>H391*(1-0.636742574)</f>
        <v>0</v>
      </c>
      <c r="AQ391" s="58" t="s">
        <v>120</v>
      </c>
      <c r="AV391" s="55">
        <f>AW391+AX391</f>
        <v>0</v>
      </c>
      <c r="AW391" s="55">
        <f>G391*AO391</f>
        <v>0</v>
      </c>
      <c r="AX391" s="55">
        <f>G391*AP391</f>
        <v>0</v>
      </c>
      <c r="AY391" s="58" t="s">
        <v>813</v>
      </c>
      <c r="AZ391" s="58" t="s">
        <v>787</v>
      </c>
      <c r="BA391" s="34" t="s">
        <v>128</v>
      </c>
      <c r="BC391" s="55">
        <f>AW391+AX391</f>
        <v>0</v>
      </c>
      <c r="BD391" s="55">
        <f>H391/(100-BE391)*100</f>
        <v>0</v>
      </c>
      <c r="BE391" s="55">
        <v>0</v>
      </c>
      <c r="BF391" s="55">
        <f>K391</f>
        <v>0.2022402</v>
      </c>
      <c r="BH391" s="55">
        <f>G391*AO391</f>
        <v>0</v>
      </c>
      <c r="BI391" s="55">
        <f>G391*AP391</f>
        <v>0</v>
      </c>
      <c r="BJ391" s="55">
        <f>G391*H391</f>
        <v>0</v>
      </c>
      <c r="BK391" s="55"/>
      <c r="BL391" s="55">
        <v>34</v>
      </c>
      <c r="BW391" s="55">
        <v>21</v>
      </c>
    </row>
    <row r="392" spans="1:12" ht="13.5" customHeight="1">
      <c r="A392" s="59"/>
      <c r="D392" s="218" t="s">
        <v>848</v>
      </c>
      <c r="E392" s="219"/>
      <c r="F392" s="219"/>
      <c r="G392" s="219"/>
      <c r="H392" s="219"/>
      <c r="I392" s="219"/>
      <c r="J392" s="219"/>
      <c r="K392" s="219"/>
      <c r="L392" s="221"/>
    </row>
    <row r="393" spans="1:12" ht="14.4">
      <c r="A393" s="59"/>
      <c r="D393" s="60" t="s">
        <v>849</v>
      </c>
      <c r="E393" s="60" t="s">
        <v>816</v>
      </c>
      <c r="G393" s="68">
        <v>3.54</v>
      </c>
      <c r="L393" s="69"/>
    </row>
    <row r="394" spans="1:75" ht="13.5" customHeight="1">
      <c r="A394" s="1" t="s">
        <v>850</v>
      </c>
      <c r="B394" s="2" t="s">
        <v>116</v>
      </c>
      <c r="C394" s="2" t="s">
        <v>846</v>
      </c>
      <c r="D394" s="147" t="s">
        <v>851</v>
      </c>
      <c r="E394" s="148"/>
      <c r="F394" s="2" t="s">
        <v>729</v>
      </c>
      <c r="G394" s="55">
        <f>'Stavební rozpočet-vyplnit'!G394</f>
        <v>53</v>
      </c>
      <c r="H394" s="55">
        <f>'Stavební rozpočet-vyplnit'!H394</f>
        <v>0</v>
      </c>
      <c r="I394" s="55">
        <f>G394*H394</f>
        <v>0</v>
      </c>
      <c r="J394" s="55">
        <f>'Stavební rozpočet-vyplnit'!J394</f>
        <v>0.05713</v>
      </c>
      <c r="K394" s="55">
        <f>G394*J394</f>
        <v>3.02789</v>
      </c>
      <c r="L394" s="57" t="s">
        <v>785</v>
      </c>
      <c r="Z394" s="55">
        <f>IF(AQ394="5",BJ394,0)</f>
        <v>0</v>
      </c>
      <c r="AB394" s="55">
        <f>IF(AQ394="1",BH394,0)</f>
        <v>0</v>
      </c>
      <c r="AC394" s="55">
        <f>IF(AQ394="1",BI394,0)</f>
        <v>0</v>
      </c>
      <c r="AD394" s="55">
        <f>IF(AQ394="7",BH394,0)</f>
        <v>0</v>
      </c>
      <c r="AE394" s="55">
        <f>IF(AQ394="7",BI394,0)</f>
        <v>0</v>
      </c>
      <c r="AF394" s="55">
        <f>IF(AQ394="2",BH394,0)</f>
        <v>0</v>
      </c>
      <c r="AG394" s="55">
        <f>IF(AQ394="2",BI394,0)</f>
        <v>0</v>
      </c>
      <c r="AH394" s="55">
        <f>IF(AQ394="0",BJ394,0)</f>
        <v>0</v>
      </c>
      <c r="AI394" s="34" t="s">
        <v>116</v>
      </c>
      <c r="AJ394" s="55">
        <f>IF(AN394=0,I394,0)</f>
        <v>0</v>
      </c>
      <c r="AK394" s="55">
        <f>IF(AN394=12,I394,0)</f>
        <v>0</v>
      </c>
      <c r="AL394" s="55">
        <f>IF(AN394=21,I394,0)</f>
        <v>0</v>
      </c>
      <c r="AN394" s="55">
        <v>21</v>
      </c>
      <c r="AO394" s="55">
        <f>H394*0.636740592</f>
        <v>0</v>
      </c>
      <c r="AP394" s="55">
        <f>H394*(1-0.636740592)</f>
        <v>0</v>
      </c>
      <c r="AQ394" s="58" t="s">
        <v>120</v>
      </c>
      <c r="AV394" s="55">
        <f>AW394+AX394</f>
        <v>0</v>
      </c>
      <c r="AW394" s="55">
        <f>G394*AO394</f>
        <v>0</v>
      </c>
      <c r="AX394" s="55">
        <f>G394*AP394</f>
        <v>0</v>
      </c>
      <c r="AY394" s="58" t="s">
        <v>813</v>
      </c>
      <c r="AZ394" s="58" t="s">
        <v>787</v>
      </c>
      <c r="BA394" s="34" t="s">
        <v>128</v>
      </c>
      <c r="BB394" s="67">
        <v>100002</v>
      </c>
      <c r="BC394" s="55">
        <f>AW394+AX394</f>
        <v>0</v>
      </c>
      <c r="BD394" s="55">
        <f>H394/(100-BE394)*100</f>
        <v>0</v>
      </c>
      <c r="BE394" s="55">
        <v>0</v>
      </c>
      <c r="BF394" s="55">
        <f>K394</f>
        <v>3.02789</v>
      </c>
      <c r="BH394" s="55">
        <f>G394*AO394</f>
        <v>0</v>
      </c>
      <c r="BI394" s="55">
        <f>G394*AP394</f>
        <v>0</v>
      </c>
      <c r="BJ394" s="55">
        <f>G394*H394</f>
        <v>0</v>
      </c>
      <c r="BK394" s="55"/>
      <c r="BL394" s="55">
        <v>34</v>
      </c>
      <c r="BW394" s="55">
        <v>21</v>
      </c>
    </row>
    <row r="395" spans="1:12" ht="13.5" customHeight="1">
      <c r="A395" s="59"/>
      <c r="D395" s="218" t="s">
        <v>848</v>
      </c>
      <c r="E395" s="219"/>
      <c r="F395" s="219"/>
      <c r="G395" s="219"/>
      <c r="H395" s="219"/>
      <c r="I395" s="219"/>
      <c r="J395" s="219"/>
      <c r="K395" s="219"/>
      <c r="L395" s="221"/>
    </row>
    <row r="396" spans="1:12" ht="14.4">
      <c r="A396" s="59"/>
      <c r="D396" s="60" t="s">
        <v>289</v>
      </c>
      <c r="E396" s="60" t="s">
        <v>816</v>
      </c>
      <c r="G396" s="68">
        <v>53</v>
      </c>
      <c r="L396" s="69"/>
    </row>
    <row r="397" spans="1:75" ht="27" customHeight="1">
      <c r="A397" s="1" t="s">
        <v>852</v>
      </c>
      <c r="B397" s="2" t="s">
        <v>116</v>
      </c>
      <c r="C397" s="2" t="s">
        <v>853</v>
      </c>
      <c r="D397" s="147" t="s">
        <v>854</v>
      </c>
      <c r="E397" s="148"/>
      <c r="F397" s="2" t="s">
        <v>729</v>
      </c>
      <c r="G397" s="55">
        <f>'Stavební rozpočet-vyplnit'!G397</f>
        <v>315.44</v>
      </c>
      <c r="H397" s="55">
        <f>'Stavební rozpočet-vyplnit'!H397</f>
        <v>0</v>
      </c>
      <c r="I397" s="55">
        <f>G397*H397</f>
        <v>0</v>
      </c>
      <c r="J397" s="55">
        <f>'Stavební rozpočet-vyplnit'!J397</f>
        <v>0.0078</v>
      </c>
      <c r="K397" s="55">
        <f>G397*J397</f>
        <v>2.460432</v>
      </c>
      <c r="L397" s="57" t="s">
        <v>785</v>
      </c>
      <c r="Z397" s="55">
        <f>IF(AQ397="5",BJ397,0)</f>
        <v>0</v>
      </c>
      <c r="AB397" s="55">
        <f>IF(AQ397="1",BH397,0)</f>
        <v>0</v>
      </c>
      <c r="AC397" s="55">
        <f>IF(AQ397="1",BI397,0)</f>
        <v>0</v>
      </c>
      <c r="AD397" s="55">
        <f>IF(AQ397="7",BH397,0)</f>
        <v>0</v>
      </c>
      <c r="AE397" s="55">
        <f>IF(AQ397="7",BI397,0)</f>
        <v>0</v>
      </c>
      <c r="AF397" s="55">
        <f>IF(AQ397="2",BH397,0)</f>
        <v>0</v>
      </c>
      <c r="AG397" s="55">
        <f>IF(AQ397="2",BI397,0)</f>
        <v>0</v>
      </c>
      <c r="AH397" s="55">
        <f>IF(AQ397="0",BJ397,0)</f>
        <v>0</v>
      </c>
      <c r="AI397" s="34" t="s">
        <v>116</v>
      </c>
      <c r="AJ397" s="55">
        <f>IF(AN397=0,I397,0)</f>
        <v>0</v>
      </c>
      <c r="AK397" s="55">
        <f>IF(AN397=12,I397,0)</f>
        <v>0</v>
      </c>
      <c r="AL397" s="55">
        <f>IF(AN397=21,I397,0)</f>
        <v>0</v>
      </c>
      <c r="AN397" s="55">
        <v>21</v>
      </c>
      <c r="AO397" s="55">
        <f>H397*1</f>
        <v>0</v>
      </c>
      <c r="AP397" s="55">
        <f>H397*(1-1)</f>
        <v>0</v>
      </c>
      <c r="AQ397" s="58" t="s">
        <v>120</v>
      </c>
      <c r="AV397" s="55">
        <f>AW397+AX397</f>
        <v>0</v>
      </c>
      <c r="AW397" s="55">
        <f>G397*AO397</f>
        <v>0</v>
      </c>
      <c r="AX397" s="55">
        <f>G397*AP397</f>
        <v>0</v>
      </c>
      <c r="AY397" s="58" t="s">
        <v>813</v>
      </c>
      <c r="AZ397" s="58" t="s">
        <v>787</v>
      </c>
      <c r="BA397" s="34" t="s">
        <v>128</v>
      </c>
      <c r="BB397" s="67">
        <v>100002</v>
      </c>
      <c r="BC397" s="55">
        <f>AW397+AX397</f>
        <v>0</v>
      </c>
      <c r="BD397" s="55">
        <f>H397/(100-BE397)*100</f>
        <v>0</v>
      </c>
      <c r="BE397" s="55">
        <v>0</v>
      </c>
      <c r="BF397" s="55">
        <f>K397</f>
        <v>2.460432</v>
      </c>
      <c r="BH397" s="55">
        <f>G397*AO397</f>
        <v>0</v>
      </c>
      <c r="BI397" s="55">
        <f>G397*AP397</f>
        <v>0</v>
      </c>
      <c r="BJ397" s="55">
        <f>G397*H397</f>
        <v>0</v>
      </c>
      <c r="BK397" s="55"/>
      <c r="BL397" s="55">
        <v>34</v>
      </c>
      <c r="BW397" s="55">
        <v>21</v>
      </c>
    </row>
    <row r="398" spans="1:12" ht="13.5" customHeight="1">
      <c r="A398" s="59"/>
      <c r="D398" s="218" t="s">
        <v>855</v>
      </c>
      <c r="E398" s="219"/>
      <c r="F398" s="219"/>
      <c r="G398" s="219"/>
      <c r="H398" s="219"/>
      <c r="I398" s="219"/>
      <c r="J398" s="219"/>
      <c r="K398" s="219"/>
      <c r="L398" s="221"/>
    </row>
    <row r="399" spans="1:12" ht="14.4">
      <c r="A399" s="59"/>
      <c r="D399" s="60" t="s">
        <v>840</v>
      </c>
      <c r="E399" s="60" t="s">
        <v>856</v>
      </c>
      <c r="G399" s="68">
        <v>254.9</v>
      </c>
      <c r="L399" s="69"/>
    </row>
    <row r="400" spans="1:12" ht="14.4">
      <c r="A400" s="59"/>
      <c r="D400" s="60" t="s">
        <v>136</v>
      </c>
      <c r="E400" s="60" t="s">
        <v>857</v>
      </c>
      <c r="G400" s="68">
        <v>4</v>
      </c>
      <c r="L400" s="69"/>
    </row>
    <row r="401" spans="1:12" ht="14.4">
      <c r="A401" s="59"/>
      <c r="D401" s="60" t="s">
        <v>849</v>
      </c>
      <c r="E401" s="60" t="s">
        <v>858</v>
      </c>
      <c r="G401" s="68">
        <v>3.54</v>
      </c>
      <c r="L401" s="69"/>
    </row>
    <row r="402" spans="1:12" ht="14.4">
      <c r="A402" s="59"/>
      <c r="D402" s="60" t="s">
        <v>289</v>
      </c>
      <c r="E402" s="60" t="s">
        <v>859</v>
      </c>
      <c r="G402" s="68">
        <v>53</v>
      </c>
      <c r="L402" s="69"/>
    </row>
    <row r="403" spans="1:75" ht="13.5" customHeight="1">
      <c r="A403" s="1" t="s">
        <v>860</v>
      </c>
      <c r="B403" s="2" t="s">
        <v>116</v>
      </c>
      <c r="C403" s="2" t="s">
        <v>861</v>
      </c>
      <c r="D403" s="147" t="s">
        <v>862</v>
      </c>
      <c r="E403" s="148"/>
      <c r="F403" s="2" t="s">
        <v>729</v>
      </c>
      <c r="G403" s="55">
        <f>'Stavební rozpočet-vyplnit'!G403</f>
        <v>106</v>
      </c>
      <c r="H403" s="55">
        <f>'Stavební rozpočet-vyplnit'!H403</f>
        <v>0</v>
      </c>
      <c r="I403" s="55">
        <f>G403*H403</f>
        <v>0</v>
      </c>
      <c r="J403" s="55">
        <f>'Stavební rozpočet-vyplnit'!J403</f>
        <v>0.002</v>
      </c>
      <c r="K403" s="55">
        <f>G403*J403</f>
        <v>0.212</v>
      </c>
      <c r="L403" s="57" t="s">
        <v>785</v>
      </c>
      <c r="Z403" s="55">
        <f>IF(AQ403="5",BJ403,0)</f>
        <v>0</v>
      </c>
      <c r="AB403" s="55">
        <f>IF(AQ403="1",BH403,0)</f>
        <v>0</v>
      </c>
      <c r="AC403" s="55">
        <f>IF(AQ403="1",BI403,0)</f>
        <v>0</v>
      </c>
      <c r="AD403" s="55">
        <f>IF(AQ403="7",BH403,0)</f>
        <v>0</v>
      </c>
      <c r="AE403" s="55">
        <f>IF(AQ403="7",BI403,0)</f>
        <v>0</v>
      </c>
      <c r="AF403" s="55">
        <f>IF(AQ403="2",BH403,0)</f>
        <v>0</v>
      </c>
      <c r="AG403" s="55">
        <f>IF(AQ403="2",BI403,0)</f>
        <v>0</v>
      </c>
      <c r="AH403" s="55">
        <f>IF(AQ403="0",BJ403,0)</f>
        <v>0</v>
      </c>
      <c r="AI403" s="34" t="s">
        <v>116</v>
      </c>
      <c r="AJ403" s="55">
        <f>IF(AN403=0,I403,0)</f>
        <v>0</v>
      </c>
      <c r="AK403" s="55">
        <f>IF(AN403=12,I403,0)</f>
        <v>0</v>
      </c>
      <c r="AL403" s="55">
        <f>IF(AN403=21,I403,0)</f>
        <v>0</v>
      </c>
      <c r="AN403" s="55">
        <v>21</v>
      </c>
      <c r="AO403" s="55">
        <f>H403*1</f>
        <v>0</v>
      </c>
      <c r="AP403" s="55">
        <f>H403*(1-1)</f>
        <v>0</v>
      </c>
      <c r="AQ403" s="58" t="s">
        <v>120</v>
      </c>
      <c r="AV403" s="55">
        <f>AW403+AX403</f>
        <v>0</v>
      </c>
      <c r="AW403" s="55">
        <f>G403*AO403</f>
        <v>0</v>
      </c>
      <c r="AX403" s="55">
        <f>G403*AP403</f>
        <v>0</v>
      </c>
      <c r="AY403" s="58" t="s">
        <v>813</v>
      </c>
      <c r="AZ403" s="58" t="s">
        <v>787</v>
      </c>
      <c r="BA403" s="34" t="s">
        <v>128</v>
      </c>
      <c r="BB403" s="67">
        <v>100002</v>
      </c>
      <c r="BC403" s="55">
        <f>AW403+AX403</f>
        <v>0</v>
      </c>
      <c r="BD403" s="55">
        <f>H403/(100-BE403)*100</f>
        <v>0</v>
      </c>
      <c r="BE403" s="55">
        <v>0</v>
      </c>
      <c r="BF403" s="55">
        <f>K403</f>
        <v>0.212</v>
      </c>
      <c r="BH403" s="55">
        <f>G403*AO403</f>
        <v>0</v>
      </c>
      <c r="BI403" s="55">
        <f>G403*AP403</f>
        <v>0</v>
      </c>
      <c r="BJ403" s="55">
        <f>G403*H403</f>
        <v>0</v>
      </c>
      <c r="BK403" s="55"/>
      <c r="BL403" s="55">
        <v>34</v>
      </c>
      <c r="BW403" s="55">
        <v>21</v>
      </c>
    </row>
    <row r="404" spans="1:12" ht="14.4">
      <c r="A404" s="59"/>
      <c r="D404" s="60" t="s">
        <v>863</v>
      </c>
      <c r="E404" s="60" t="s">
        <v>859</v>
      </c>
      <c r="G404" s="68">
        <v>106</v>
      </c>
      <c r="L404" s="69"/>
    </row>
    <row r="405" spans="1:75" ht="13.5" customHeight="1">
      <c r="A405" s="1" t="s">
        <v>864</v>
      </c>
      <c r="B405" s="2" t="s">
        <v>116</v>
      </c>
      <c r="C405" s="2" t="s">
        <v>865</v>
      </c>
      <c r="D405" s="147" t="s">
        <v>866</v>
      </c>
      <c r="E405" s="148"/>
      <c r="F405" s="2" t="s">
        <v>729</v>
      </c>
      <c r="G405" s="55">
        <f>'Stavební rozpočet-vyplnit'!G405</f>
        <v>226.3</v>
      </c>
      <c r="H405" s="55">
        <f>'Stavební rozpočet-vyplnit'!H405</f>
        <v>0</v>
      </c>
      <c r="I405" s="55">
        <f>G405*H405</f>
        <v>0</v>
      </c>
      <c r="J405" s="55">
        <f>'Stavební rozpočet-vyplnit'!J405</f>
        <v>0.01625</v>
      </c>
      <c r="K405" s="55">
        <f>G405*J405</f>
        <v>3.6773750000000005</v>
      </c>
      <c r="L405" s="57" t="s">
        <v>785</v>
      </c>
      <c r="Z405" s="55">
        <f>IF(AQ405="5",BJ405,0)</f>
        <v>0</v>
      </c>
      <c r="AB405" s="55">
        <f>IF(AQ405="1",BH405,0)</f>
        <v>0</v>
      </c>
      <c r="AC405" s="55">
        <f>IF(AQ405="1",BI405,0)</f>
        <v>0</v>
      </c>
      <c r="AD405" s="55">
        <f>IF(AQ405="7",BH405,0)</f>
        <v>0</v>
      </c>
      <c r="AE405" s="55">
        <f>IF(AQ405="7",BI405,0)</f>
        <v>0</v>
      </c>
      <c r="AF405" s="55">
        <f>IF(AQ405="2",BH405,0)</f>
        <v>0</v>
      </c>
      <c r="AG405" s="55">
        <f>IF(AQ405="2",BI405,0)</f>
        <v>0</v>
      </c>
      <c r="AH405" s="55">
        <f>IF(AQ405="0",BJ405,0)</f>
        <v>0</v>
      </c>
      <c r="AI405" s="34" t="s">
        <v>116</v>
      </c>
      <c r="AJ405" s="55">
        <f>IF(AN405=0,I405,0)</f>
        <v>0</v>
      </c>
      <c r="AK405" s="55">
        <f>IF(AN405=12,I405,0)</f>
        <v>0</v>
      </c>
      <c r="AL405" s="55">
        <f>IF(AN405=21,I405,0)</f>
        <v>0</v>
      </c>
      <c r="AN405" s="55">
        <v>21</v>
      </c>
      <c r="AO405" s="55">
        <f>H405*0.503218841</f>
        <v>0</v>
      </c>
      <c r="AP405" s="55">
        <f>H405*(1-0.503218841)</f>
        <v>0</v>
      </c>
      <c r="AQ405" s="58" t="s">
        <v>120</v>
      </c>
      <c r="AV405" s="55">
        <f>AW405+AX405</f>
        <v>0</v>
      </c>
      <c r="AW405" s="55">
        <f>G405*AO405</f>
        <v>0</v>
      </c>
      <c r="AX405" s="55">
        <f>G405*AP405</f>
        <v>0</v>
      </c>
      <c r="AY405" s="58" t="s">
        <v>813</v>
      </c>
      <c r="AZ405" s="58" t="s">
        <v>787</v>
      </c>
      <c r="BA405" s="34" t="s">
        <v>128</v>
      </c>
      <c r="BB405" s="67">
        <v>100002</v>
      </c>
      <c r="BC405" s="55">
        <f>AW405+AX405</f>
        <v>0</v>
      </c>
      <c r="BD405" s="55">
        <f>H405/(100-BE405)*100</f>
        <v>0</v>
      </c>
      <c r="BE405" s="55">
        <v>0</v>
      </c>
      <c r="BF405" s="55">
        <f>K405</f>
        <v>3.6773750000000005</v>
      </c>
      <c r="BH405" s="55">
        <f>G405*AO405</f>
        <v>0</v>
      </c>
      <c r="BI405" s="55">
        <f>G405*AP405</f>
        <v>0</v>
      </c>
      <c r="BJ405" s="55">
        <f>G405*H405</f>
        <v>0</v>
      </c>
      <c r="BK405" s="55"/>
      <c r="BL405" s="55">
        <v>34</v>
      </c>
      <c r="BW405" s="55">
        <v>21</v>
      </c>
    </row>
    <row r="406" spans="1:12" ht="13.5" customHeight="1">
      <c r="A406" s="59"/>
      <c r="D406" s="218" t="s">
        <v>867</v>
      </c>
      <c r="E406" s="219"/>
      <c r="F406" s="219"/>
      <c r="G406" s="219"/>
      <c r="H406" s="219"/>
      <c r="I406" s="219"/>
      <c r="J406" s="219"/>
      <c r="K406" s="219"/>
      <c r="L406" s="221"/>
    </row>
    <row r="407" spans="1:12" ht="14.4">
      <c r="A407" s="59"/>
      <c r="D407" s="60" t="s">
        <v>868</v>
      </c>
      <c r="E407" s="60" t="s">
        <v>869</v>
      </c>
      <c r="G407" s="68">
        <v>226.3</v>
      </c>
      <c r="L407" s="69"/>
    </row>
    <row r="408" spans="1:75" ht="13.5" customHeight="1">
      <c r="A408" s="1" t="s">
        <v>870</v>
      </c>
      <c r="B408" s="2" t="s">
        <v>116</v>
      </c>
      <c r="C408" s="2" t="s">
        <v>871</v>
      </c>
      <c r="D408" s="147" t="s">
        <v>872</v>
      </c>
      <c r="E408" s="148"/>
      <c r="F408" s="2" t="s">
        <v>729</v>
      </c>
      <c r="G408" s="55">
        <f>'Stavební rozpočet-vyplnit'!G408</f>
        <v>136.8</v>
      </c>
      <c r="H408" s="55">
        <f>'Stavební rozpočet-vyplnit'!H408</f>
        <v>0</v>
      </c>
      <c r="I408" s="55">
        <f>G408*H408</f>
        <v>0</v>
      </c>
      <c r="J408" s="55">
        <f>'Stavební rozpočet-vyplnit'!J408</f>
        <v>0.01522</v>
      </c>
      <c r="K408" s="55">
        <f>G408*J408</f>
        <v>2.082096</v>
      </c>
      <c r="L408" s="57" t="s">
        <v>785</v>
      </c>
      <c r="Z408" s="55">
        <f>IF(AQ408="5",BJ408,0)</f>
        <v>0</v>
      </c>
      <c r="AB408" s="55">
        <f>IF(AQ408="1",BH408,0)</f>
        <v>0</v>
      </c>
      <c r="AC408" s="55">
        <f>IF(AQ408="1",BI408,0)</f>
        <v>0</v>
      </c>
      <c r="AD408" s="55">
        <f>IF(AQ408="7",BH408,0)</f>
        <v>0</v>
      </c>
      <c r="AE408" s="55">
        <f>IF(AQ408="7",BI408,0)</f>
        <v>0</v>
      </c>
      <c r="AF408" s="55">
        <f>IF(AQ408="2",BH408,0)</f>
        <v>0</v>
      </c>
      <c r="AG408" s="55">
        <f>IF(AQ408="2",BI408,0)</f>
        <v>0</v>
      </c>
      <c r="AH408" s="55">
        <f>IF(AQ408="0",BJ408,0)</f>
        <v>0</v>
      </c>
      <c r="AI408" s="34" t="s">
        <v>116</v>
      </c>
      <c r="AJ408" s="55">
        <f>IF(AN408=0,I408,0)</f>
        <v>0</v>
      </c>
      <c r="AK408" s="55">
        <f>IF(AN408=12,I408,0)</f>
        <v>0</v>
      </c>
      <c r="AL408" s="55">
        <f>IF(AN408=21,I408,0)</f>
        <v>0</v>
      </c>
      <c r="AN408" s="55">
        <v>21</v>
      </c>
      <c r="AO408" s="55">
        <f>H408*0.447779553</f>
        <v>0</v>
      </c>
      <c r="AP408" s="55">
        <f>H408*(1-0.447779553)</f>
        <v>0</v>
      </c>
      <c r="AQ408" s="58" t="s">
        <v>120</v>
      </c>
      <c r="AV408" s="55">
        <f>AW408+AX408</f>
        <v>0</v>
      </c>
      <c r="AW408" s="55">
        <f>G408*AO408</f>
        <v>0</v>
      </c>
      <c r="AX408" s="55">
        <f>G408*AP408</f>
        <v>0</v>
      </c>
      <c r="AY408" s="58" t="s">
        <v>813</v>
      </c>
      <c r="AZ408" s="58" t="s">
        <v>787</v>
      </c>
      <c r="BA408" s="34" t="s">
        <v>128</v>
      </c>
      <c r="BB408" s="67">
        <v>100002</v>
      </c>
      <c r="BC408" s="55">
        <f>AW408+AX408</f>
        <v>0</v>
      </c>
      <c r="BD408" s="55">
        <f>H408/(100-BE408)*100</f>
        <v>0</v>
      </c>
      <c r="BE408" s="55">
        <v>0</v>
      </c>
      <c r="BF408" s="55">
        <f>K408</f>
        <v>2.082096</v>
      </c>
      <c r="BH408" s="55">
        <f>G408*AO408</f>
        <v>0</v>
      </c>
      <c r="BI408" s="55">
        <f>G408*AP408</f>
        <v>0</v>
      </c>
      <c r="BJ408" s="55">
        <f>G408*H408</f>
        <v>0</v>
      </c>
      <c r="BK408" s="55"/>
      <c r="BL408" s="55">
        <v>34</v>
      </c>
      <c r="BW408" s="55">
        <v>21</v>
      </c>
    </row>
    <row r="409" spans="1:12" ht="13.5" customHeight="1">
      <c r="A409" s="59"/>
      <c r="D409" s="218" t="s">
        <v>867</v>
      </c>
      <c r="E409" s="219"/>
      <c r="F409" s="219"/>
      <c r="G409" s="219"/>
      <c r="H409" s="219"/>
      <c r="I409" s="219"/>
      <c r="J409" s="219"/>
      <c r="K409" s="219"/>
      <c r="L409" s="221"/>
    </row>
    <row r="410" spans="1:12" ht="14.4">
      <c r="A410" s="59"/>
      <c r="D410" s="60" t="s">
        <v>873</v>
      </c>
      <c r="E410" s="60" t="s">
        <v>869</v>
      </c>
      <c r="G410" s="68">
        <v>136.8</v>
      </c>
      <c r="L410" s="69"/>
    </row>
    <row r="411" spans="1:75" ht="13.5" customHeight="1">
      <c r="A411" s="1" t="s">
        <v>874</v>
      </c>
      <c r="B411" s="2" t="s">
        <v>116</v>
      </c>
      <c r="C411" s="2" t="s">
        <v>875</v>
      </c>
      <c r="D411" s="147" t="s">
        <v>876</v>
      </c>
      <c r="E411" s="148"/>
      <c r="F411" s="2" t="s">
        <v>729</v>
      </c>
      <c r="G411" s="55">
        <f>'Stavební rozpočet-vyplnit'!G411</f>
        <v>362.9</v>
      </c>
      <c r="H411" s="55">
        <f>'Stavební rozpočet-vyplnit'!H411</f>
        <v>0</v>
      </c>
      <c r="I411" s="55">
        <f>G411*H411</f>
        <v>0</v>
      </c>
      <c r="J411" s="55">
        <f>'Stavební rozpočet-vyplnit'!J411</f>
        <v>0.0039</v>
      </c>
      <c r="K411" s="55">
        <f>G411*J411</f>
        <v>1.4153099999999998</v>
      </c>
      <c r="L411" s="57" t="s">
        <v>785</v>
      </c>
      <c r="Z411" s="55">
        <f>IF(AQ411="5",BJ411,0)</f>
        <v>0</v>
      </c>
      <c r="AB411" s="55">
        <f>IF(AQ411="1",BH411,0)</f>
        <v>0</v>
      </c>
      <c r="AC411" s="55">
        <f>IF(AQ411="1",BI411,0)</f>
        <v>0</v>
      </c>
      <c r="AD411" s="55">
        <f>IF(AQ411="7",BH411,0)</f>
        <v>0</v>
      </c>
      <c r="AE411" s="55">
        <f>IF(AQ411="7",BI411,0)</f>
        <v>0</v>
      </c>
      <c r="AF411" s="55">
        <f>IF(AQ411="2",BH411,0)</f>
        <v>0</v>
      </c>
      <c r="AG411" s="55">
        <f>IF(AQ411="2",BI411,0)</f>
        <v>0</v>
      </c>
      <c r="AH411" s="55">
        <f>IF(AQ411="0",BJ411,0)</f>
        <v>0</v>
      </c>
      <c r="AI411" s="34" t="s">
        <v>116</v>
      </c>
      <c r="AJ411" s="55">
        <f>IF(AN411=0,I411,0)</f>
        <v>0</v>
      </c>
      <c r="AK411" s="55">
        <f>IF(AN411=12,I411,0)</f>
        <v>0</v>
      </c>
      <c r="AL411" s="55">
        <f>IF(AN411=21,I411,0)</f>
        <v>0</v>
      </c>
      <c r="AN411" s="55">
        <v>21</v>
      </c>
      <c r="AO411" s="55">
        <f>H411*0.999999026</f>
        <v>0</v>
      </c>
      <c r="AP411" s="55">
        <f>H411*(1-0.999999026)</f>
        <v>0</v>
      </c>
      <c r="AQ411" s="58" t="s">
        <v>120</v>
      </c>
      <c r="AV411" s="55">
        <f>AW411+AX411</f>
        <v>0</v>
      </c>
      <c r="AW411" s="55">
        <f>G411*AO411</f>
        <v>0</v>
      </c>
      <c r="AX411" s="55">
        <f>G411*AP411</f>
        <v>0</v>
      </c>
      <c r="AY411" s="58" t="s">
        <v>813</v>
      </c>
      <c r="AZ411" s="58" t="s">
        <v>787</v>
      </c>
      <c r="BA411" s="34" t="s">
        <v>128</v>
      </c>
      <c r="BB411" s="67">
        <v>100002</v>
      </c>
      <c r="BC411" s="55">
        <f>AW411+AX411</f>
        <v>0</v>
      </c>
      <c r="BD411" s="55">
        <f>H411/(100-BE411)*100</f>
        <v>0</v>
      </c>
      <c r="BE411" s="55">
        <v>0</v>
      </c>
      <c r="BF411" s="55">
        <f>K411</f>
        <v>1.4153099999999998</v>
      </c>
      <c r="BH411" s="55">
        <f>G411*AO411</f>
        <v>0</v>
      </c>
      <c r="BI411" s="55">
        <f>G411*AP411</f>
        <v>0</v>
      </c>
      <c r="BJ411" s="55">
        <f>G411*H411</f>
        <v>0</v>
      </c>
      <c r="BK411" s="55"/>
      <c r="BL411" s="55">
        <v>34</v>
      </c>
      <c r="BW411" s="55">
        <v>21</v>
      </c>
    </row>
    <row r="412" spans="1:12" ht="13.5" customHeight="1">
      <c r="A412" s="59"/>
      <c r="D412" s="218" t="s">
        <v>877</v>
      </c>
      <c r="E412" s="219"/>
      <c r="F412" s="219"/>
      <c r="G412" s="219"/>
      <c r="H412" s="219"/>
      <c r="I412" s="219"/>
      <c r="J412" s="219"/>
      <c r="K412" s="219"/>
      <c r="L412" s="221"/>
    </row>
    <row r="413" spans="1:12" ht="14.4">
      <c r="A413" s="59"/>
      <c r="D413" s="60" t="s">
        <v>878</v>
      </c>
      <c r="E413" s="60" t="s">
        <v>4</v>
      </c>
      <c r="G413" s="68">
        <v>362.9</v>
      </c>
      <c r="L413" s="69"/>
    </row>
    <row r="414" spans="1:75" ht="13.5" customHeight="1">
      <c r="A414" s="1" t="s">
        <v>879</v>
      </c>
      <c r="B414" s="2" t="s">
        <v>116</v>
      </c>
      <c r="C414" s="2" t="s">
        <v>880</v>
      </c>
      <c r="D414" s="147" t="s">
        <v>881</v>
      </c>
      <c r="E414" s="148"/>
      <c r="F414" s="2" t="s">
        <v>374</v>
      </c>
      <c r="G414" s="55">
        <f>'Stavební rozpočet-vyplnit'!G414</f>
        <v>8</v>
      </c>
      <c r="H414" s="55">
        <f>'Stavební rozpočet-vyplnit'!H414</f>
        <v>0</v>
      </c>
      <c r="I414" s="55">
        <f>G414*H414</f>
        <v>0</v>
      </c>
      <c r="J414" s="55">
        <f>'Stavební rozpočet-vyplnit'!J414</f>
        <v>0.01668</v>
      </c>
      <c r="K414" s="55">
        <f>G414*J414</f>
        <v>0.13344</v>
      </c>
      <c r="L414" s="57" t="s">
        <v>785</v>
      </c>
      <c r="Z414" s="55">
        <f>IF(AQ414="5",BJ414,0)</f>
        <v>0</v>
      </c>
      <c r="AB414" s="55">
        <f>IF(AQ414="1",BH414,0)</f>
        <v>0</v>
      </c>
      <c r="AC414" s="55">
        <f>IF(AQ414="1",BI414,0)</f>
        <v>0</v>
      </c>
      <c r="AD414" s="55">
        <f>IF(AQ414="7",BH414,0)</f>
        <v>0</v>
      </c>
      <c r="AE414" s="55">
        <f>IF(AQ414="7",BI414,0)</f>
        <v>0</v>
      </c>
      <c r="AF414" s="55">
        <f>IF(AQ414="2",BH414,0)</f>
        <v>0</v>
      </c>
      <c r="AG414" s="55">
        <f>IF(AQ414="2",BI414,0)</f>
        <v>0</v>
      </c>
      <c r="AH414" s="55">
        <f>IF(AQ414="0",BJ414,0)</f>
        <v>0</v>
      </c>
      <c r="AI414" s="34" t="s">
        <v>116</v>
      </c>
      <c r="AJ414" s="55">
        <f>IF(AN414=0,I414,0)</f>
        <v>0</v>
      </c>
      <c r="AK414" s="55">
        <f>IF(AN414=12,I414,0)</f>
        <v>0</v>
      </c>
      <c r="AL414" s="55">
        <f>IF(AN414=21,I414,0)</f>
        <v>0</v>
      </c>
      <c r="AN414" s="55">
        <v>21</v>
      </c>
      <c r="AO414" s="55">
        <f>H414*0.357566462</f>
        <v>0</v>
      </c>
      <c r="AP414" s="55">
        <f>H414*(1-0.357566462)</f>
        <v>0</v>
      </c>
      <c r="AQ414" s="58" t="s">
        <v>120</v>
      </c>
      <c r="AV414" s="55">
        <f>AW414+AX414</f>
        <v>0</v>
      </c>
      <c r="AW414" s="55">
        <f>G414*AO414</f>
        <v>0</v>
      </c>
      <c r="AX414" s="55">
        <f>G414*AP414</f>
        <v>0</v>
      </c>
      <c r="AY414" s="58" t="s">
        <v>813</v>
      </c>
      <c r="AZ414" s="58" t="s">
        <v>787</v>
      </c>
      <c r="BA414" s="34" t="s">
        <v>128</v>
      </c>
      <c r="BB414" s="67">
        <v>100002</v>
      </c>
      <c r="BC414" s="55">
        <f>AW414+AX414</f>
        <v>0</v>
      </c>
      <c r="BD414" s="55">
        <f>H414/(100-BE414)*100</f>
        <v>0</v>
      </c>
      <c r="BE414" s="55">
        <v>0</v>
      </c>
      <c r="BF414" s="55">
        <f>K414</f>
        <v>0.13344</v>
      </c>
      <c r="BH414" s="55">
        <f>G414*AO414</f>
        <v>0</v>
      </c>
      <c r="BI414" s="55">
        <f>G414*AP414</f>
        <v>0</v>
      </c>
      <c r="BJ414" s="55">
        <f>G414*H414</f>
        <v>0</v>
      </c>
      <c r="BK414" s="55"/>
      <c r="BL414" s="55">
        <v>34</v>
      </c>
      <c r="BW414" s="55">
        <v>21</v>
      </c>
    </row>
    <row r="415" spans="1:12" ht="13.5" customHeight="1">
      <c r="A415" s="59"/>
      <c r="D415" s="218" t="s">
        <v>882</v>
      </c>
      <c r="E415" s="219"/>
      <c r="F415" s="219"/>
      <c r="G415" s="219"/>
      <c r="H415" s="219"/>
      <c r="I415" s="219"/>
      <c r="J415" s="219"/>
      <c r="K415" s="219"/>
      <c r="L415" s="221"/>
    </row>
    <row r="416" spans="1:12" ht="14.4">
      <c r="A416" s="59"/>
      <c r="D416" s="60" t="s">
        <v>147</v>
      </c>
      <c r="E416" s="60" t="s">
        <v>4</v>
      </c>
      <c r="G416" s="68">
        <v>8</v>
      </c>
      <c r="L416" s="69"/>
    </row>
    <row r="417" spans="1:75" ht="13.5" customHeight="1">
      <c r="A417" s="1" t="s">
        <v>883</v>
      </c>
      <c r="B417" s="2" t="s">
        <v>116</v>
      </c>
      <c r="C417" s="2" t="s">
        <v>884</v>
      </c>
      <c r="D417" s="147" t="s">
        <v>885</v>
      </c>
      <c r="E417" s="148"/>
      <c r="F417" s="2" t="s">
        <v>729</v>
      </c>
      <c r="G417" s="55">
        <f>'Stavební rozpočet-vyplnit'!G417</f>
        <v>8.4</v>
      </c>
      <c r="H417" s="55">
        <f>'Stavební rozpočet-vyplnit'!H417</f>
        <v>0</v>
      </c>
      <c r="I417" s="55">
        <f>G417*H417</f>
        <v>0</v>
      </c>
      <c r="J417" s="55">
        <f>'Stavební rozpočet-vyplnit'!J417</f>
        <v>0.01338</v>
      </c>
      <c r="K417" s="55">
        <f>G417*J417</f>
        <v>0.112392</v>
      </c>
      <c r="L417" s="57" t="s">
        <v>785</v>
      </c>
      <c r="Z417" s="55">
        <f>IF(AQ417="5",BJ417,0)</f>
        <v>0</v>
      </c>
      <c r="AB417" s="55">
        <f>IF(AQ417="1",BH417,0)</f>
        <v>0</v>
      </c>
      <c r="AC417" s="55">
        <f>IF(AQ417="1",BI417,0)</f>
        <v>0</v>
      </c>
      <c r="AD417" s="55">
        <f>IF(AQ417="7",BH417,0)</f>
        <v>0</v>
      </c>
      <c r="AE417" s="55">
        <f>IF(AQ417="7",BI417,0)</f>
        <v>0</v>
      </c>
      <c r="AF417" s="55">
        <f>IF(AQ417="2",BH417,0)</f>
        <v>0</v>
      </c>
      <c r="AG417" s="55">
        <f>IF(AQ417="2",BI417,0)</f>
        <v>0</v>
      </c>
      <c r="AH417" s="55">
        <f>IF(AQ417="0",BJ417,0)</f>
        <v>0</v>
      </c>
      <c r="AI417" s="34" t="s">
        <v>116</v>
      </c>
      <c r="AJ417" s="55">
        <f>IF(AN417=0,I417,0)</f>
        <v>0</v>
      </c>
      <c r="AK417" s="55">
        <f>IF(AN417=12,I417,0)</f>
        <v>0</v>
      </c>
      <c r="AL417" s="55">
        <f>IF(AN417=21,I417,0)</f>
        <v>0</v>
      </c>
      <c r="AN417" s="55">
        <v>21</v>
      </c>
      <c r="AO417" s="55">
        <f>H417*0.511149826</f>
        <v>0</v>
      </c>
      <c r="AP417" s="55">
        <f>H417*(1-0.511149826)</f>
        <v>0</v>
      </c>
      <c r="AQ417" s="58" t="s">
        <v>120</v>
      </c>
      <c r="AV417" s="55">
        <f>AW417+AX417</f>
        <v>0</v>
      </c>
      <c r="AW417" s="55">
        <f>G417*AO417</f>
        <v>0</v>
      </c>
      <c r="AX417" s="55">
        <f>G417*AP417</f>
        <v>0</v>
      </c>
      <c r="AY417" s="58" t="s">
        <v>813</v>
      </c>
      <c r="AZ417" s="58" t="s">
        <v>787</v>
      </c>
      <c r="BA417" s="34" t="s">
        <v>128</v>
      </c>
      <c r="BB417" s="67">
        <v>100002</v>
      </c>
      <c r="BC417" s="55">
        <f>AW417+AX417</f>
        <v>0</v>
      </c>
      <c r="BD417" s="55">
        <f>H417/(100-BE417)*100</f>
        <v>0</v>
      </c>
      <c r="BE417" s="55">
        <v>0</v>
      </c>
      <c r="BF417" s="55">
        <f>K417</f>
        <v>0.112392</v>
      </c>
      <c r="BH417" s="55">
        <f>G417*AO417</f>
        <v>0</v>
      </c>
      <c r="BI417" s="55">
        <f>G417*AP417</f>
        <v>0</v>
      </c>
      <c r="BJ417" s="55">
        <f>G417*H417</f>
        <v>0</v>
      </c>
      <c r="BK417" s="55"/>
      <c r="BL417" s="55">
        <v>34</v>
      </c>
      <c r="BW417" s="55">
        <v>21</v>
      </c>
    </row>
    <row r="418" spans="1:12" ht="13.5" customHeight="1">
      <c r="A418" s="59"/>
      <c r="D418" s="218" t="s">
        <v>886</v>
      </c>
      <c r="E418" s="219"/>
      <c r="F418" s="219"/>
      <c r="G418" s="219"/>
      <c r="H418" s="219"/>
      <c r="I418" s="219"/>
      <c r="J418" s="219"/>
      <c r="K418" s="219"/>
      <c r="L418" s="221"/>
    </row>
    <row r="419" spans="1:12" ht="14.4">
      <c r="A419" s="59"/>
      <c r="D419" s="60" t="s">
        <v>887</v>
      </c>
      <c r="E419" s="60" t="s">
        <v>4</v>
      </c>
      <c r="G419" s="68">
        <v>8.4</v>
      </c>
      <c r="L419" s="69"/>
    </row>
    <row r="420" spans="1:75" ht="13.5" customHeight="1">
      <c r="A420" s="1" t="s">
        <v>888</v>
      </c>
      <c r="B420" s="2" t="s">
        <v>116</v>
      </c>
      <c r="C420" s="2" t="s">
        <v>889</v>
      </c>
      <c r="D420" s="147" t="s">
        <v>890</v>
      </c>
      <c r="E420" s="148"/>
      <c r="F420" s="2" t="s">
        <v>729</v>
      </c>
      <c r="G420" s="55">
        <f>'Stavební rozpočet-vyplnit'!G420</f>
        <v>114.7</v>
      </c>
      <c r="H420" s="55">
        <f>'Stavební rozpočet-vyplnit'!H420</f>
        <v>0</v>
      </c>
      <c r="I420" s="55">
        <f>G420*H420</f>
        <v>0</v>
      </c>
      <c r="J420" s="55">
        <f>'Stavební rozpočet-vyplnit'!J420</f>
        <v>0.01284</v>
      </c>
      <c r="K420" s="55">
        <f>G420*J420</f>
        <v>1.4727480000000002</v>
      </c>
      <c r="L420" s="57" t="s">
        <v>785</v>
      </c>
      <c r="Z420" s="55">
        <f>IF(AQ420="5",BJ420,0)</f>
        <v>0</v>
      </c>
      <c r="AB420" s="55">
        <f>IF(AQ420="1",BH420,0)</f>
        <v>0</v>
      </c>
      <c r="AC420" s="55">
        <f>IF(AQ420="1",BI420,0)</f>
        <v>0</v>
      </c>
      <c r="AD420" s="55">
        <f>IF(AQ420="7",BH420,0)</f>
        <v>0</v>
      </c>
      <c r="AE420" s="55">
        <f>IF(AQ420="7",BI420,0)</f>
        <v>0</v>
      </c>
      <c r="AF420" s="55">
        <f>IF(AQ420="2",BH420,0)</f>
        <v>0</v>
      </c>
      <c r="AG420" s="55">
        <f>IF(AQ420="2",BI420,0)</f>
        <v>0</v>
      </c>
      <c r="AH420" s="55">
        <f>IF(AQ420="0",BJ420,0)</f>
        <v>0</v>
      </c>
      <c r="AI420" s="34" t="s">
        <v>116</v>
      </c>
      <c r="AJ420" s="55">
        <f>IF(AN420=0,I420,0)</f>
        <v>0</v>
      </c>
      <c r="AK420" s="55">
        <f>IF(AN420=12,I420,0)</f>
        <v>0</v>
      </c>
      <c r="AL420" s="55">
        <f>IF(AN420=21,I420,0)</f>
        <v>0</v>
      </c>
      <c r="AN420" s="55">
        <v>21</v>
      </c>
      <c r="AO420" s="55">
        <f>H420*0.460692951</f>
        <v>0</v>
      </c>
      <c r="AP420" s="55">
        <f>H420*(1-0.460692951)</f>
        <v>0</v>
      </c>
      <c r="AQ420" s="58" t="s">
        <v>120</v>
      </c>
      <c r="AV420" s="55">
        <f>AW420+AX420</f>
        <v>0</v>
      </c>
      <c r="AW420" s="55">
        <f>G420*AO420</f>
        <v>0</v>
      </c>
      <c r="AX420" s="55">
        <f>G420*AP420</f>
        <v>0</v>
      </c>
      <c r="AY420" s="58" t="s">
        <v>813</v>
      </c>
      <c r="AZ420" s="58" t="s">
        <v>787</v>
      </c>
      <c r="BA420" s="34" t="s">
        <v>128</v>
      </c>
      <c r="BB420" s="67">
        <v>100002</v>
      </c>
      <c r="BC420" s="55">
        <f>AW420+AX420</f>
        <v>0</v>
      </c>
      <c r="BD420" s="55">
        <f>H420/(100-BE420)*100</f>
        <v>0</v>
      </c>
      <c r="BE420" s="55">
        <v>0</v>
      </c>
      <c r="BF420" s="55">
        <f>K420</f>
        <v>1.4727480000000002</v>
      </c>
      <c r="BH420" s="55">
        <f>G420*AO420</f>
        <v>0</v>
      </c>
      <c r="BI420" s="55">
        <f>G420*AP420</f>
        <v>0</v>
      </c>
      <c r="BJ420" s="55">
        <f>G420*H420</f>
        <v>0</v>
      </c>
      <c r="BK420" s="55"/>
      <c r="BL420" s="55">
        <v>34</v>
      </c>
      <c r="BW420" s="55">
        <v>21</v>
      </c>
    </row>
    <row r="421" spans="1:12" ht="13.5" customHeight="1">
      <c r="A421" s="59"/>
      <c r="D421" s="218" t="s">
        <v>891</v>
      </c>
      <c r="E421" s="219"/>
      <c r="F421" s="219"/>
      <c r="G421" s="219"/>
      <c r="H421" s="219"/>
      <c r="I421" s="219"/>
      <c r="J421" s="219"/>
      <c r="K421" s="219"/>
      <c r="L421" s="221"/>
    </row>
    <row r="422" spans="1:12" ht="14.4">
      <c r="A422" s="59"/>
      <c r="D422" s="60" t="s">
        <v>892</v>
      </c>
      <c r="E422" s="60" t="s">
        <v>893</v>
      </c>
      <c r="G422" s="68">
        <v>86.5</v>
      </c>
      <c r="L422" s="69"/>
    </row>
    <row r="423" spans="1:12" ht="14.4">
      <c r="A423" s="59"/>
      <c r="D423" s="60" t="s">
        <v>894</v>
      </c>
      <c r="E423" s="60" t="s">
        <v>895</v>
      </c>
      <c r="G423" s="68">
        <v>14.9</v>
      </c>
      <c r="L423" s="69"/>
    </row>
    <row r="424" spans="1:12" ht="14.4">
      <c r="A424" s="59"/>
      <c r="D424" s="60" t="s">
        <v>896</v>
      </c>
      <c r="E424" s="60" t="s">
        <v>897</v>
      </c>
      <c r="G424" s="68">
        <v>10.3</v>
      </c>
      <c r="L424" s="69"/>
    </row>
    <row r="425" spans="1:12" ht="14.4">
      <c r="A425" s="59"/>
      <c r="D425" s="60" t="s">
        <v>898</v>
      </c>
      <c r="E425" s="60" t="s">
        <v>899</v>
      </c>
      <c r="G425" s="68">
        <v>3</v>
      </c>
      <c r="L425" s="69"/>
    </row>
    <row r="426" spans="1:75" ht="13.5" customHeight="1">
      <c r="A426" s="1" t="s">
        <v>900</v>
      </c>
      <c r="B426" s="2" t="s">
        <v>116</v>
      </c>
      <c r="C426" s="2" t="s">
        <v>875</v>
      </c>
      <c r="D426" s="147" t="s">
        <v>901</v>
      </c>
      <c r="E426" s="148"/>
      <c r="F426" s="2" t="s">
        <v>729</v>
      </c>
      <c r="G426" s="55">
        <f>'Stavební rozpočet-vyplnit'!G426</f>
        <v>119</v>
      </c>
      <c r="H426" s="55">
        <f>'Stavební rozpočet-vyplnit'!H426</f>
        <v>0</v>
      </c>
      <c r="I426" s="55">
        <f>G426*H426</f>
        <v>0</v>
      </c>
      <c r="J426" s="55">
        <f>'Stavební rozpočet-vyplnit'!J426</f>
        <v>0.0039</v>
      </c>
      <c r="K426" s="55">
        <f>G426*J426</f>
        <v>0.46409999999999996</v>
      </c>
      <c r="L426" s="57" t="s">
        <v>785</v>
      </c>
      <c r="Z426" s="55">
        <f>IF(AQ426="5",BJ426,0)</f>
        <v>0</v>
      </c>
      <c r="AB426" s="55">
        <f>IF(AQ426="1",BH426,0)</f>
        <v>0</v>
      </c>
      <c r="AC426" s="55">
        <f>IF(AQ426="1",BI426,0)</f>
        <v>0</v>
      </c>
      <c r="AD426" s="55">
        <f>IF(AQ426="7",BH426,0)</f>
        <v>0</v>
      </c>
      <c r="AE426" s="55">
        <f>IF(AQ426="7",BI426,0)</f>
        <v>0</v>
      </c>
      <c r="AF426" s="55">
        <f>IF(AQ426="2",BH426,0)</f>
        <v>0</v>
      </c>
      <c r="AG426" s="55">
        <f>IF(AQ426="2",BI426,0)</f>
        <v>0</v>
      </c>
      <c r="AH426" s="55">
        <f>IF(AQ426="0",BJ426,0)</f>
        <v>0</v>
      </c>
      <c r="AI426" s="34" t="s">
        <v>116</v>
      </c>
      <c r="AJ426" s="55">
        <f>IF(AN426=0,I426,0)</f>
        <v>0</v>
      </c>
      <c r="AK426" s="55">
        <f>IF(AN426=12,I426,0)</f>
        <v>0</v>
      </c>
      <c r="AL426" s="55">
        <f>IF(AN426=21,I426,0)</f>
        <v>0</v>
      </c>
      <c r="AN426" s="55">
        <v>21</v>
      </c>
      <c r="AO426" s="55">
        <f>H426*1</f>
        <v>0</v>
      </c>
      <c r="AP426" s="55">
        <f>H426*(1-1)</f>
        <v>0</v>
      </c>
      <c r="AQ426" s="58" t="s">
        <v>120</v>
      </c>
      <c r="AV426" s="55">
        <f>AW426+AX426</f>
        <v>0</v>
      </c>
      <c r="AW426" s="55">
        <f>G426*AO426</f>
        <v>0</v>
      </c>
      <c r="AX426" s="55">
        <f>G426*AP426</f>
        <v>0</v>
      </c>
      <c r="AY426" s="58" t="s">
        <v>813</v>
      </c>
      <c r="AZ426" s="58" t="s">
        <v>787</v>
      </c>
      <c r="BA426" s="34" t="s">
        <v>128</v>
      </c>
      <c r="BB426" s="67">
        <v>100002</v>
      </c>
      <c r="BC426" s="55">
        <f>AW426+AX426</f>
        <v>0</v>
      </c>
      <c r="BD426" s="55">
        <f>H426/(100-BE426)*100</f>
        <v>0</v>
      </c>
      <c r="BE426" s="55">
        <v>0</v>
      </c>
      <c r="BF426" s="55">
        <f>K426</f>
        <v>0.46409999999999996</v>
      </c>
      <c r="BH426" s="55">
        <f>G426*AO426</f>
        <v>0</v>
      </c>
      <c r="BI426" s="55">
        <f>G426*AP426</f>
        <v>0</v>
      </c>
      <c r="BJ426" s="55">
        <f>G426*H426</f>
        <v>0</v>
      </c>
      <c r="BK426" s="55"/>
      <c r="BL426" s="55">
        <v>34</v>
      </c>
      <c r="BW426" s="55">
        <v>21</v>
      </c>
    </row>
    <row r="427" spans="1:12" ht="13.5" customHeight="1">
      <c r="A427" s="59"/>
      <c r="D427" s="218" t="s">
        <v>877</v>
      </c>
      <c r="E427" s="219"/>
      <c r="F427" s="219"/>
      <c r="G427" s="219"/>
      <c r="H427" s="219"/>
      <c r="I427" s="219"/>
      <c r="J427" s="219"/>
      <c r="K427" s="219"/>
      <c r="L427" s="221"/>
    </row>
    <row r="428" spans="1:12" ht="14.4">
      <c r="A428" s="59"/>
      <c r="D428" s="60" t="s">
        <v>902</v>
      </c>
      <c r="E428" s="60" t="s">
        <v>4</v>
      </c>
      <c r="G428" s="68">
        <v>119</v>
      </c>
      <c r="L428" s="69"/>
    </row>
    <row r="429" spans="1:75" ht="13.5" customHeight="1">
      <c r="A429" s="1" t="s">
        <v>903</v>
      </c>
      <c r="B429" s="2" t="s">
        <v>116</v>
      </c>
      <c r="C429" s="2" t="s">
        <v>904</v>
      </c>
      <c r="D429" s="147" t="s">
        <v>905</v>
      </c>
      <c r="E429" s="148"/>
      <c r="F429" s="2" t="s">
        <v>729</v>
      </c>
      <c r="G429" s="55">
        <f>'Stavební rozpočet-vyplnit'!G429</f>
        <v>1242.7</v>
      </c>
      <c r="H429" s="55">
        <f>'Stavební rozpočet-vyplnit'!H429</f>
        <v>0</v>
      </c>
      <c r="I429" s="55">
        <f>G429*H429</f>
        <v>0</v>
      </c>
      <c r="J429" s="55">
        <f>'Stavební rozpočet-vyplnit'!J429</f>
        <v>0</v>
      </c>
      <c r="K429" s="55">
        <f>G429*J429</f>
        <v>0</v>
      </c>
      <c r="L429" s="57" t="s">
        <v>785</v>
      </c>
      <c r="Z429" s="55">
        <f>IF(AQ429="5",BJ429,0)</f>
        <v>0</v>
      </c>
      <c r="AB429" s="55">
        <f>IF(AQ429="1",BH429,0)</f>
        <v>0</v>
      </c>
      <c r="AC429" s="55">
        <f>IF(AQ429="1",BI429,0)</f>
        <v>0</v>
      </c>
      <c r="AD429" s="55">
        <f>IF(AQ429="7",BH429,0)</f>
        <v>0</v>
      </c>
      <c r="AE429" s="55">
        <f>IF(AQ429="7",BI429,0)</f>
        <v>0</v>
      </c>
      <c r="AF429" s="55">
        <f>IF(AQ429="2",BH429,0)</f>
        <v>0</v>
      </c>
      <c r="AG429" s="55">
        <f>IF(AQ429="2",BI429,0)</f>
        <v>0</v>
      </c>
      <c r="AH429" s="55">
        <f>IF(AQ429="0",BJ429,0)</f>
        <v>0</v>
      </c>
      <c r="AI429" s="34" t="s">
        <v>116</v>
      </c>
      <c r="AJ429" s="55">
        <f>IF(AN429=0,I429,0)</f>
        <v>0</v>
      </c>
      <c r="AK429" s="55">
        <f>IF(AN429=12,I429,0)</f>
        <v>0</v>
      </c>
      <c r="AL429" s="55">
        <f>IF(AN429=21,I429,0)</f>
        <v>0</v>
      </c>
      <c r="AN429" s="55">
        <v>21</v>
      </c>
      <c r="AO429" s="55">
        <f>H429*0.052558129</f>
        <v>0</v>
      </c>
      <c r="AP429" s="55">
        <f>H429*(1-0.052558129)</f>
        <v>0</v>
      </c>
      <c r="AQ429" s="58" t="s">
        <v>120</v>
      </c>
      <c r="AV429" s="55">
        <f>AW429+AX429</f>
        <v>0</v>
      </c>
      <c r="AW429" s="55">
        <f>G429*AO429</f>
        <v>0</v>
      </c>
      <c r="AX429" s="55">
        <f>G429*AP429</f>
        <v>0</v>
      </c>
      <c r="AY429" s="58" t="s">
        <v>813</v>
      </c>
      <c r="AZ429" s="58" t="s">
        <v>787</v>
      </c>
      <c r="BA429" s="34" t="s">
        <v>128</v>
      </c>
      <c r="BB429" s="67">
        <v>100002</v>
      </c>
      <c r="BC429" s="55">
        <f>AW429+AX429</f>
        <v>0</v>
      </c>
      <c r="BD429" s="55">
        <f>H429/(100-BE429)*100</f>
        <v>0</v>
      </c>
      <c r="BE429" s="55">
        <v>0</v>
      </c>
      <c r="BF429" s="55">
        <f>K429</f>
        <v>0</v>
      </c>
      <c r="BH429" s="55">
        <f>G429*AO429</f>
        <v>0</v>
      </c>
      <c r="BI429" s="55">
        <f>G429*AP429</f>
        <v>0</v>
      </c>
      <c r="BJ429" s="55">
        <f>G429*H429</f>
        <v>0</v>
      </c>
      <c r="BK429" s="55"/>
      <c r="BL429" s="55">
        <v>34</v>
      </c>
      <c r="BW429" s="55">
        <v>21</v>
      </c>
    </row>
    <row r="430" spans="1:12" ht="14.4">
      <c r="A430" s="59"/>
      <c r="D430" s="60" t="s">
        <v>502</v>
      </c>
      <c r="E430" s="60" t="s">
        <v>906</v>
      </c>
      <c r="G430" s="68">
        <v>119</v>
      </c>
      <c r="L430" s="69"/>
    </row>
    <row r="431" spans="1:12" ht="14.4">
      <c r="A431" s="59"/>
      <c r="D431" s="60" t="s">
        <v>907</v>
      </c>
      <c r="E431" s="60" t="s">
        <v>908</v>
      </c>
      <c r="G431" s="68">
        <v>27.6</v>
      </c>
      <c r="L431" s="69"/>
    </row>
    <row r="432" spans="1:12" ht="14.4">
      <c r="A432" s="59"/>
      <c r="D432" s="60" t="s">
        <v>909</v>
      </c>
      <c r="E432" s="60" t="s">
        <v>910</v>
      </c>
      <c r="G432" s="68">
        <v>165</v>
      </c>
      <c r="L432" s="69"/>
    </row>
    <row r="433" spans="1:12" ht="14.4">
      <c r="A433" s="59"/>
      <c r="D433" s="60" t="s">
        <v>911</v>
      </c>
      <c r="E433" s="60" t="s">
        <v>912</v>
      </c>
      <c r="G433" s="68">
        <v>515</v>
      </c>
      <c r="L433" s="69"/>
    </row>
    <row r="434" spans="1:12" ht="14.4">
      <c r="A434" s="59"/>
      <c r="D434" s="60" t="s">
        <v>289</v>
      </c>
      <c r="E434" s="60" t="s">
        <v>913</v>
      </c>
      <c r="G434" s="68">
        <v>53</v>
      </c>
      <c r="L434" s="69"/>
    </row>
    <row r="435" spans="1:12" ht="14.4">
      <c r="A435" s="59"/>
      <c r="D435" s="60" t="s">
        <v>873</v>
      </c>
      <c r="E435" s="60" t="s">
        <v>914</v>
      </c>
      <c r="G435" s="68">
        <v>136.8</v>
      </c>
      <c r="L435" s="69"/>
    </row>
    <row r="436" spans="1:12" ht="14.4">
      <c r="A436" s="59"/>
      <c r="D436" s="60" t="s">
        <v>868</v>
      </c>
      <c r="E436" s="60" t="s">
        <v>915</v>
      </c>
      <c r="G436" s="68">
        <v>226.3</v>
      </c>
      <c r="L436" s="69"/>
    </row>
    <row r="437" spans="1:75" ht="13.5" customHeight="1">
      <c r="A437" s="1" t="s">
        <v>916</v>
      </c>
      <c r="B437" s="2" t="s">
        <v>116</v>
      </c>
      <c r="C437" s="2" t="s">
        <v>917</v>
      </c>
      <c r="D437" s="147" t="s">
        <v>918</v>
      </c>
      <c r="E437" s="148"/>
      <c r="F437" s="2" t="s">
        <v>729</v>
      </c>
      <c r="G437" s="55">
        <f>'Stavební rozpočet-vyplnit'!G437</f>
        <v>55.7</v>
      </c>
      <c r="H437" s="55">
        <f>'Stavební rozpočet-vyplnit'!H437</f>
        <v>0</v>
      </c>
      <c r="I437" s="55">
        <f>G437*H437</f>
        <v>0</v>
      </c>
      <c r="J437" s="55">
        <f>'Stavební rozpočet-vyplnit'!J437</f>
        <v>2E-05</v>
      </c>
      <c r="K437" s="55">
        <f>G437*J437</f>
        <v>0.0011140000000000002</v>
      </c>
      <c r="L437" s="57" t="s">
        <v>785</v>
      </c>
      <c r="Z437" s="55">
        <f>IF(AQ437="5",BJ437,0)</f>
        <v>0</v>
      </c>
      <c r="AB437" s="55">
        <f>IF(AQ437="1",BH437,0)</f>
        <v>0</v>
      </c>
      <c r="AC437" s="55">
        <f>IF(AQ437="1",BI437,0)</f>
        <v>0</v>
      </c>
      <c r="AD437" s="55">
        <f>IF(AQ437="7",BH437,0)</f>
        <v>0</v>
      </c>
      <c r="AE437" s="55">
        <f>IF(AQ437="7",BI437,0)</f>
        <v>0</v>
      </c>
      <c r="AF437" s="55">
        <f>IF(AQ437="2",BH437,0)</f>
        <v>0</v>
      </c>
      <c r="AG437" s="55">
        <f>IF(AQ437="2",BI437,0)</f>
        <v>0</v>
      </c>
      <c r="AH437" s="55">
        <f>IF(AQ437="0",BJ437,0)</f>
        <v>0</v>
      </c>
      <c r="AI437" s="34" t="s">
        <v>116</v>
      </c>
      <c r="AJ437" s="55">
        <f>IF(AN437=0,I437,0)</f>
        <v>0</v>
      </c>
      <c r="AK437" s="55">
        <f>IF(AN437=12,I437,0)</f>
        <v>0</v>
      </c>
      <c r="AL437" s="55">
        <f>IF(AN437=21,I437,0)</f>
        <v>0</v>
      </c>
      <c r="AN437" s="55">
        <v>21</v>
      </c>
      <c r="AO437" s="55">
        <f>H437*0.024862821</f>
        <v>0</v>
      </c>
      <c r="AP437" s="55">
        <f>H437*(1-0.024862821)</f>
        <v>0</v>
      </c>
      <c r="AQ437" s="58" t="s">
        <v>120</v>
      </c>
      <c r="AV437" s="55">
        <f>AW437+AX437</f>
        <v>0</v>
      </c>
      <c r="AW437" s="55">
        <f>G437*AO437</f>
        <v>0</v>
      </c>
      <c r="AX437" s="55">
        <f>G437*AP437</f>
        <v>0</v>
      </c>
      <c r="AY437" s="58" t="s">
        <v>813</v>
      </c>
      <c r="AZ437" s="58" t="s">
        <v>787</v>
      </c>
      <c r="BA437" s="34" t="s">
        <v>128</v>
      </c>
      <c r="BB437" s="67">
        <v>100002</v>
      </c>
      <c r="BC437" s="55">
        <f>AW437+AX437</f>
        <v>0</v>
      </c>
      <c r="BD437" s="55">
        <f>H437/(100-BE437)*100</f>
        <v>0</v>
      </c>
      <c r="BE437" s="55">
        <v>0</v>
      </c>
      <c r="BF437" s="55">
        <f>K437</f>
        <v>0.0011140000000000002</v>
      </c>
      <c r="BH437" s="55">
        <f>G437*AO437</f>
        <v>0</v>
      </c>
      <c r="BI437" s="55">
        <f>G437*AP437</f>
        <v>0</v>
      </c>
      <c r="BJ437" s="55">
        <f>G437*H437</f>
        <v>0</v>
      </c>
      <c r="BK437" s="55"/>
      <c r="BL437" s="55">
        <v>34</v>
      </c>
      <c r="BW437" s="55">
        <v>21</v>
      </c>
    </row>
    <row r="438" spans="1:12" ht="13.5" customHeight="1">
      <c r="A438" s="59"/>
      <c r="D438" s="218" t="s">
        <v>919</v>
      </c>
      <c r="E438" s="219"/>
      <c r="F438" s="219"/>
      <c r="G438" s="219"/>
      <c r="H438" s="219"/>
      <c r="I438" s="219"/>
      <c r="J438" s="219"/>
      <c r="K438" s="219"/>
      <c r="L438" s="221"/>
    </row>
    <row r="439" spans="1:12" ht="14.4">
      <c r="A439" s="59"/>
      <c r="D439" s="60" t="s">
        <v>920</v>
      </c>
      <c r="E439" s="60" t="s">
        <v>4</v>
      </c>
      <c r="G439" s="68">
        <v>55.7</v>
      </c>
      <c r="L439" s="69"/>
    </row>
    <row r="440" spans="1:47" ht="14.4">
      <c r="A440" s="50" t="s">
        <v>4</v>
      </c>
      <c r="B440" s="51" t="s">
        <v>116</v>
      </c>
      <c r="C440" s="51" t="s">
        <v>247</v>
      </c>
      <c r="D440" s="222" t="s">
        <v>921</v>
      </c>
      <c r="E440" s="223"/>
      <c r="F440" s="52" t="s">
        <v>79</v>
      </c>
      <c r="G440" s="52" t="s">
        <v>79</v>
      </c>
      <c r="H440" s="52" t="s">
        <v>79</v>
      </c>
      <c r="I440" s="27">
        <f>SUM(I441:I447)</f>
        <v>0</v>
      </c>
      <c r="J440" s="34" t="s">
        <v>4</v>
      </c>
      <c r="K440" s="27">
        <f>SUM(K441:K447)</f>
        <v>3.7564425000000004</v>
      </c>
      <c r="L440" s="54" t="s">
        <v>4</v>
      </c>
      <c r="AI440" s="34" t="s">
        <v>116</v>
      </c>
      <c r="AS440" s="27">
        <f>SUM(AJ441:AJ447)</f>
        <v>0</v>
      </c>
      <c r="AT440" s="27">
        <f>SUM(AK441:AK447)</f>
        <v>0</v>
      </c>
      <c r="AU440" s="27">
        <f>SUM(AL441:AL447)</f>
        <v>0</v>
      </c>
    </row>
    <row r="441" spans="1:75" ht="13.5" customHeight="1">
      <c r="A441" s="1" t="s">
        <v>922</v>
      </c>
      <c r="B441" s="2" t="s">
        <v>116</v>
      </c>
      <c r="C441" s="2" t="s">
        <v>923</v>
      </c>
      <c r="D441" s="147" t="s">
        <v>924</v>
      </c>
      <c r="E441" s="148"/>
      <c r="F441" s="2" t="s">
        <v>792</v>
      </c>
      <c r="G441" s="55">
        <f>'Stavební rozpočet-vyplnit'!G441</f>
        <v>1.43</v>
      </c>
      <c r="H441" s="55">
        <f>'Stavební rozpočet-vyplnit'!H441</f>
        <v>0</v>
      </c>
      <c r="I441" s="55">
        <f>G441*H441</f>
        <v>0</v>
      </c>
      <c r="J441" s="55">
        <f>'Stavební rozpočet-vyplnit'!J441</f>
        <v>2.52511</v>
      </c>
      <c r="K441" s="55">
        <f>G441*J441</f>
        <v>3.6109073</v>
      </c>
      <c r="L441" s="57" t="s">
        <v>785</v>
      </c>
      <c r="Z441" s="55">
        <f>IF(AQ441="5",BJ441,0)</f>
        <v>0</v>
      </c>
      <c r="AB441" s="55">
        <f>IF(AQ441="1",BH441,0)</f>
        <v>0</v>
      </c>
      <c r="AC441" s="55">
        <f>IF(AQ441="1",BI441,0)</f>
        <v>0</v>
      </c>
      <c r="AD441" s="55">
        <f>IF(AQ441="7",BH441,0)</f>
        <v>0</v>
      </c>
      <c r="AE441" s="55">
        <f>IF(AQ441="7",BI441,0)</f>
        <v>0</v>
      </c>
      <c r="AF441" s="55">
        <f>IF(AQ441="2",BH441,0)</f>
        <v>0</v>
      </c>
      <c r="AG441" s="55">
        <f>IF(AQ441="2",BI441,0)</f>
        <v>0</v>
      </c>
      <c r="AH441" s="55">
        <f>IF(AQ441="0",BJ441,0)</f>
        <v>0</v>
      </c>
      <c r="AI441" s="34" t="s">
        <v>116</v>
      </c>
      <c r="AJ441" s="55">
        <f>IF(AN441=0,I441,0)</f>
        <v>0</v>
      </c>
      <c r="AK441" s="55">
        <f>IF(AN441=12,I441,0)</f>
        <v>0</v>
      </c>
      <c r="AL441" s="55">
        <f>IF(AN441=21,I441,0)</f>
        <v>0</v>
      </c>
      <c r="AN441" s="55">
        <v>21</v>
      </c>
      <c r="AO441" s="55">
        <f>H441*0.839186695</f>
        <v>0</v>
      </c>
      <c r="AP441" s="55">
        <f>H441*(1-0.839186695)</f>
        <v>0</v>
      </c>
      <c r="AQ441" s="58" t="s">
        <v>120</v>
      </c>
      <c r="AV441" s="55">
        <f>AW441+AX441</f>
        <v>0</v>
      </c>
      <c r="AW441" s="55">
        <f>G441*AO441</f>
        <v>0</v>
      </c>
      <c r="AX441" s="55">
        <f>G441*AP441</f>
        <v>0</v>
      </c>
      <c r="AY441" s="58" t="s">
        <v>925</v>
      </c>
      <c r="AZ441" s="58" t="s">
        <v>926</v>
      </c>
      <c r="BA441" s="34" t="s">
        <v>128</v>
      </c>
      <c r="BB441" s="67">
        <v>100050</v>
      </c>
      <c r="BC441" s="55">
        <f>AW441+AX441</f>
        <v>0</v>
      </c>
      <c r="BD441" s="55">
        <f>H441/(100-BE441)*100</f>
        <v>0</v>
      </c>
      <c r="BE441" s="55">
        <v>0</v>
      </c>
      <c r="BF441" s="55">
        <f>K441</f>
        <v>3.6109073</v>
      </c>
      <c r="BH441" s="55">
        <f>G441*AO441</f>
        <v>0</v>
      </c>
      <c r="BI441" s="55">
        <f>G441*AP441</f>
        <v>0</v>
      </c>
      <c r="BJ441" s="55">
        <f>G441*H441</f>
        <v>0</v>
      </c>
      <c r="BK441" s="55"/>
      <c r="BL441" s="55">
        <v>41</v>
      </c>
      <c r="BW441" s="55">
        <v>21</v>
      </c>
    </row>
    <row r="442" spans="1:12" ht="14.4">
      <c r="A442" s="59"/>
      <c r="D442" s="60" t="s">
        <v>927</v>
      </c>
      <c r="E442" s="60" t="s">
        <v>4</v>
      </c>
      <c r="G442" s="68">
        <v>1.43</v>
      </c>
      <c r="L442" s="69"/>
    </row>
    <row r="443" spans="1:75" ht="13.5" customHeight="1">
      <c r="A443" s="1" t="s">
        <v>928</v>
      </c>
      <c r="B443" s="2" t="s">
        <v>116</v>
      </c>
      <c r="C443" s="2" t="s">
        <v>929</v>
      </c>
      <c r="D443" s="147" t="s">
        <v>930</v>
      </c>
      <c r="E443" s="148"/>
      <c r="F443" s="2" t="s">
        <v>729</v>
      </c>
      <c r="G443" s="55">
        <f>'Stavební rozpočet-vyplnit'!G443</f>
        <v>5.61</v>
      </c>
      <c r="H443" s="55">
        <f>'Stavební rozpočet-vyplnit'!H443</f>
        <v>0</v>
      </c>
      <c r="I443" s="55">
        <f>G443*H443</f>
        <v>0</v>
      </c>
      <c r="J443" s="55">
        <f>'Stavební rozpočet-vyplnit'!J443</f>
        <v>0.00782</v>
      </c>
      <c r="K443" s="55">
        <f>G443*J443</f>
        <v>0.043870200000000005</v>
      </c>
      <c r="L443" s="57" t="s">
        <v>785</v>
      </c>
      <c r="Z443" s="55">
        <f>IF(AQ443="5",BJ443,0)</f>
        <v>0</v>
      </c>
      <c r="AB443" s="55">
        <f>IF(AQ443="1",BH443,0)</f>
        <v>0</v>
      </c>
      <c r="AC443" s="55">
        <f>IF(AQ443="1",BI443,0)</f>
        <v>0</v>
      </c>
      <c r="AD443" s="55">
        <f>IF(AQ443="7",BH443,0)</f>
        <v>0</v>
      </c>
      <c r="AE443" s="55">
        <f>IF(AQ443="7",BI443,0)</f>
        <v>0</v>
      </c>
      <c r="AF443" s="55">
        <f>IF(AQ443="2",BH443,0)</f>
        <v>0</v>
      </c>
      <c r="AG443" s="55">
        <f>IF(AQ443="2",BI443,0)</f>
        <v>0</v>
      </c>
      <c r="AH443" s="55">
        <f>IF(AQ443="0",BJ443,0)</f>
        <v>0</v>
      </c>
      <c r="AI443" s="34" t="s">
        <v>116</v>
      </c>
      <c r="AJ443" s="55">
        <f>IF(AN443=0,I443,0)</f>
        <v>0</v>
      </c>
      <c r="AK443" s="55">
        <f>IF(AN443=12,I443,0)</f>
        <v>0</v>
      </c>
      <c r="AL443" s="55">
        <f>IF(AN443=21,I443,0)</f>
        <v>0</v>
      </c>
      <c r="AN443" s="55">
        <v>21</v>
      </c>
      <c r="AO443" s="55">
        <f>H443*0.206732963</f>
        <v>0</v>
      </c>
      <c r="AP443" s="55">
        <f>H443*(1-0.206732963)</f>
        <v>0</v>
      </c>
      <c r="AQ443" s="58" t="s">
        <v>120</v>
      </c>
      <c r="AV443" s="55">
        <f>AW443+AX443</f>
        <v>0</v>
      </c>
      <c r="AW443" s="55">
        <f>G443*AO443</f>
        <v>0</v>
      </c>
      <c r="AX443" s="55">
        <f>G443*AP443</f>
        <v>0</v>
      </c>
      <c r="AY443" s="58" t="s">
        <v>925</v>
      </c>
      <c r="AZ443" s="58" t="s">
        <v>926</v>
      </c>
      <c r="BA443" s="34" t="s">
        <v>128</v>
      </c>
      <c r="BB443" s="67">
        <v>100050</v>
      </c>
      <c r="BC443" s="55">
        <f>AW443+AX443</f>
        <v>0</v>
      </c>
      <c r="BD443" s="55">
        <f>H443/(100-BE443)*100</f>
        <v>0</v>
      </c>
      <c r="BE443" s="55">
        <v>0</v>
      </c>
      <c r="BF443" s="55">
        <f>K443</f>
        <v>0.043870200000000005</v>
      </c>
      <c r="BH443" s="55">
        <f>G443*AO443</f>
        <v>0</v>
      </c>
      <c r="BI443" s="55">
        <f>G443*AP443</f>
        <v>0</v>
      </c>
      <c r="BJ443" s="55">
        <f>G443*H443</f>
        <v>0</v>
      </c>
      <c r="BK443" s="55"/>
      <c r="BL443" s="55">
        <v>41</v>
      </c>
      <c r="BW443" s="55">
        <v>21</v>
      </c>
    </row>
    <row r="444" spans="1:12" ht="14.4">
      <c r="A444" s="59"/>
      <c r="D444" s="60" t="s">
        <v>931</v>
      </c>
      <c r="E444" s="60" t="s">
        <v>932</v>
      </c>
      <c r="G444" s="68">
        <v>5.61</v>
      </c>
      <c r="L444" s="69"/>
    </row>
    <row r="445" spans="1:75" ht="13.5" customHeight="1">
      <c r="A445" s="1" t="s">
        <v>933</v>
      </c>
      <c r="B445" s="2" t="s">
        <v>116</v>
      </c>
      <c r="C445" s="2" t="s">
        <v>934</v>
      </c>
      <c r="D445" s="147" t="s">
        <v>935</v>
      </c>
      <c r="E445" s="148"/>
      <c r="F445" s="2" t="s">
        <v>729</v>
      </c>
      <c r="G445" s="55">
        <f>'Stavební rozpočet-vyplnit'!G445</f>
        <v>5.61</v>
      </c>
      <c r="H445" s="55">
        <f>'Stavební rozpočet-vyplnit'!H445</f>
        <v>0</v>
      </c>
      <c r="I445" s="55">
        <f>G445*H445</f>
        <v>0</v>
      </c>
      <c r="J445" s="55">
        <f>'Stavební rozpočet-vyplnit'!J445</f>
        <v>0</v>
      </c>
      <c r="K445" s="55">
        <f>G445*J445</f>
        <v>0</v>
      </c>
      <c r="L445" s="57" t="s">
        <v>785</v>
      </c>
      <c r="Z445" s="55">
        <f>IF(AQ445="5",BJ445,0)</f>
        <v>0</v>
      </c>
      <c r="AB445" s="55">
        <f>IF(AQ445="1",BH445,0)</f>
        <v>0</v>
      </c>
      <c r="AC445" s="55">
        <f>IF(AQ445="1",BI445,0)</f>
        <v>0</v>
      </c>
      <c r="AD445" s="55">
        <f>IF(AQ445="7",BH445,0)</f>
        <v>0</v>
      </c>
      <c r="AE445" s="55">
        <f>IF(AQ445="7",BI445,0)</f>
        <v>0</v>
      </c>
      <c r="AF445" s="55">
        <f>IF(AQ445="2",BH445,0)</f>
        <v>0</v>
      </c>
      <c r="AG445" s="55">
        <f>IF(AQ445="2",BI445,0)</f>
        <v>0</v>
      </c>
      <c r="AH445" s="55">
        <f>IF(AQ445="0",BJ445,0)</f>
        <v>0</v>
      </c>
      <c r="AI445" s="34" t="s">
        <v>116</v>
      </c>
      <c r="AJ445" s="55">
        <f>IF(AN445=0,I445,0)</f>
        <v>0</v>
      </c>
      <c r="AK445" s="55">
        <f>IF(AN445=12,I445,0)</f>
        <v>0</v>
      </c>
      <c r="AL445" s="55">
        <f>IF(AN445=21,I445,0)</f>
        <v>0</v>
      </c>
      <c r="AN445" s="55">
        <v>21</v>
      </c>
      <c r="AO445" s="55">
        <f>H445*0</f>
        <v>0</v>
      </c>
      <c r="AP445" s="55">
        <f>H445*(1-0)</f>
        <v>0</v>
      </c>
      <c r="AQ445" s="58" t="s">
        <v>120</v>
      </c>
      <c r="AV445" s="55">
        <f>AW445+AX445</f>
        <v>0</v>
      </c>
      <c r="AW445" s="55">
        <f>G445*AO445</f>
        <v>0</v>
      </c>
      <c r="AX445" s="55">
        <f>G445*AP445</f>
        <v>0</v>
      </c>
      <c r="AY445" s="58" t="s">
        <v>925</v>
      </c>
      <c r="AZ445" s="58" t="s">
        <v>926</v>
      </c>
      <c r="BA445" s="34" t="s">
        <v>128</v>
      </c>
      <c r="BB445" s="67">
        <v>100050</v>
      </c>
      <c r="BC445" s="55">
        <f>AW445+AX445</f>
        <v>0</v>
      </c>
      <c r="BD445" s="55">
        <f>H445/(100-BE445)*100</f>
        <v>0</v>
      </c>
      <c r="BE445" s="55">
        <v>0</v>
      </c>
      <c r="BF445" s="55">
        <f>K445</f>
        <v>0</v>
      </c>
      <c r="BH445" s="55">
        <f>G445*AO445</f>
        <v>0</v>
      </c>
      <c r="BI445" s="55">
        <f>G445*AP445</f>
        <v>0</v>
      </c>
      <c r="BJ445" s="55">
        <f>G445*H445</f>
        <v>0</v>
      </c>
      <c r="BK445" s="55"/>
      <c r="BL445" s="55">
        <v>41</v>
      </c>
      <c r="BW445" s="55">
        <v>21</v>
      </c>
    </row>
    <row r="446" spans="1:12" ht="14.4">
      <c r="A446" s="59"/>
      <c r="D446" s="60" t="s">
        <v>931</v>
      </c>
      <c r="E446" s="60" t="s">
        <v>4</v>
      </c>
      <c r="G446" s="68">
        <v>5.61</v>
      </c>
      <c r="L446" s="69"/>
    </row>
    <row r="447" spans="1:75" ht="13.5" customHeight="1">
      <c r="A447" s="1" t="s">
        <v>936</v>
      </c>
      <c r="B447" s="2" t="s">
        <v>116</v>
      </c>
      <c r="C447" s="2" t="s">
        <v>937</v>
      </c>
      <c r="D447" s="147" t="s">
        <v>938</v>
      </c>
      <c r="E447" s="148"/>
      <c r="F447" s="2" t="s">
        <v>939</v>
      </c>
      <c r="G447" s="55">
        <f>'Stavební rozpočet-vyplnit'!G447</f>
        <v>0.1</v>
      </c>
      <c r="H447" s="55">
        <f>'Stavební rozpočet-vyplnit'!H447</f>
        <v>0</v>
      </c>
      <c r="I447" s="55">
        <f>G447*H447</f>
        <v>0</v>
      </c>
      <c r="J447" s="55">
        <f>'Stavební rozpočet-vyplnit'!J447</f>
        <v>1.01665</v>
      </c>
      <c r="K447" s="55">
        <f>G447*J447</f>
        <v>0.101665</v>
      </c>
      <c r="L447" s="57" t="s">
        <v>785</v>
      </c>
      <c r="Z447" s="55">
        <f>IF(AQ447="5",BJ447,0)</f>
        <v>0</v>
      </c>
      <c r="AB447" s="55">
        <f>IF(AQ447="1",BH447,0)</f>
        <v>0</v>
      </c>
      <c r="AC447" s="55">
        <f>IF(AQ447="1",BI447,0)</f>
        <v>0</v>
      </c>
      <c r="AD447" s="55">
        <f>IF(AQ447="7",BH447,0)</f>
        <v>0</v>
      </c>
      <c r="AE447" s="55">
        <f>IF(AQ447="7",BI447,0)</f>
        <v>0</v>
      </c>
      <c r="AF447" s="55">
        <f>IF(AQ447="2",BH447,0)</f>
        <v>0</v>
      </c>
      <c r="AG447" s="55">
        <f>IF(AQ447="2",BI447,0)</f>
        <v>0</v>
      </c>
      <c r="AH447" s="55">
        <f>IF(AQ447="0",BJ447,0)</f>
        <v>0</v>
      </c>
      <c r="AI447" s="34" t="s">
        <v>116</v>
      </c>
      <c r="AJ447" s="55">
        <f>IF(AN447=0,I447,0)</f>
        <v>0</v>
      </c>
      <c r="AK447" s="55">
        <f>IF(AN447=12,I447,0)</f>
        <v>0</v>
      </c>
      <c r="AL447" s="55">
        <f>IF(AN447=21,I447,0)</f>
        <v>0</v>
      </c>
      <c r="AN447" s="55">
        <v>21</v>
      </c>
      <c r="AO447" s="55">
        <f>H447*0.721520211</f>
        <v>0</v>
      </c>
      <c r="AP447" s="55">
        <f>H447*(1-0.721520211)</f>
        <v>0</v>
      </c>
      <c r="AQ447" s="58" t="s">
        <v>120</v>
      </c>
      <c r="AV447" s="55">
        <f>AW447+AX447</f>
        <v>0</v>
      </c>
      <c r="AW447" s="55">
        <f>G447*AO447</f>
        <v>0</v>
      </c>
      <c r="AX447" s="55">
        <f>G447*AP447</f>
        <v>0</v>
      </c>
      <c r="AY447" s="58" t="s">
        <v>925</v>
      </c>
      <c r="AZ447" s="58" t="s">
        <v>926</v>
      </c>
      <c r="BA447" s="34" t="s">
        <v>128</v>
      </c>
      <c r="BB447" s="67">
        <v>100050</v>
      </c>
      <c r="BC447" s="55">
        <f>AW447+AX447</f>
        <v>0</v>
      </c>
      <c r="BD447" s="55">
        <f>H447/(100-BE447)*100</f>
        <v>0</v>
      </c>
      <c r="BE447" s="55">
        <v>0</v>
      </c>
      <c r="BF447" s="55">
        <f>K447</f>
        <v>0.101665</v>
      </c>
      <c r="BH447" s="55">
        <f>G447*AO447</f>
        <v>0</v>
      </c>
      <c r="BI447" s="55">
        <f>G447*AP447</f>
        <v>0</v>
      </c>
      <c r="BJ447" s="55">
        <f>G447*H447</f>
        <v>0</v>
      </c>
      <c r="BK447" s="55"/>
      <c r="BL447" s="55">
        <v>41</v>
      </c>
      <c r="BW447" s="55">
        <v>21</v>
      </c>
    </row>
    <row r="448" spans="1:12" ht="13.5" customHeight="1">
      <c r="A448" s="59"/>
      <c r="D448" s="218" t="s">
        <v>940</v>
      </c>
      <c r="E448" s="219"/>
      <c r="F448" s="219"/>
      <c r="G448" s="219"/>
      <c r="H448" s="219"/>
      <c r="I448" s="219"/>
      <c r="J448" s="219"/>
      <c r="K448" s="219"/>
      <c r="L448" s="221"/>
    </row>
    <row r="449" spans="1:12" ht="14.4">
      <c r="A449" s="59"/>
      <c r="D449" s="60" t="s">
        <v>941</v>
      </c>
      <c r="E449" s="60" t="s">
        <v>4</v>
      </c>
      <c r="G449" s="68">
        <v>0.1</v>
      </c>
      <c r="L449" s="69"/>
    </row>
    <row r="450" spans="1:47" ht="14.4">
      <c r="A450" s="50" t="s">
        <v>4</v>
      </c>
      <c r="B450" s="51" t="s">
        <v>116</v>
      </c>
      <c r="C450" s="51" t="s">
        <v>313</v>
      </c>
      <c r="D450" s="222" t="s">
        <v>942</v>
      </c>
      <c r="E450" s="223"/>
      <c r="F450" s="52" t="s">
        <v>79</v>
      </c>
      <c r="G450" s="52" t="s">
        <v>79</v>
      </c>
      <c r="H450" s="52" t="s">
        <v>79</v>
      </c>
      <c r="I450" s="27">
        <f>SUM(I451:I456)</f>
        <v>0</v>
      </c>
      <c r="J450" s="34" t="s">
        <v>4</v>
      </c>
      <c r="K450" s="27">
        <f>SUM(K451:K456)</f>
        <v>0.43514900000000006</v>
      </c>
      <c r="L450" s="54" t="s">
        <v>4</v>
      </c>
      <c r="AI450" s="34" t="s">
        <v>116</v>
      </c>
      <c r="AS450" s="27">
        <f>SUM(AJ451:AJ456)</f>
        <v>0</v>
      </c>
      <c r="AT450" s="27">
        <f>SUM(AK451:AK456)</f>
        <v>0</v>
      </c>
      <c r="AU450" s="27">
        <f>SUM(AL451:AL456)</f>
        <v>0</v>
      </c>
    </row>
    <row r="451" spans="1:75" ht="13.5" customHeight="1">
      <c r="A451" s="1" t="s">
        <v>943</v>
      </c>
      <c r="B451" s="2" t="s">
        <v>116</v>
      </c>
      <c r="C451" s="2" t="s">
        <v>944</v>
      </c>
      <c r="D451" s="147" t="s">
        <v>945</v>
      </c>
      <c r="E451" s="148"/>
      <c r="F451" s="2" t="s">
        <v>729</v>
      </c>
      <c r="G451" s="55">
        <f>'Stavební rozpočet-vyplnit'!G451</f>
        <v>8.3</v>
      </c>
      <c r="H451" s="55">
        <f>'Stavební rozpočet-vyplnit'!H451</f>
        <v>0</v>
      </c>
      <c r="I451" s="55">
        <f>G451*H451</f>
        <v>0</v>
      </c>
      <c r="J451" s="55">
        <f>'Stavební rozpočet-vyplnit'!J451</f>
        <v>0.04766</v>
      </c>
      <c r="K451" s="55">
        <f>G451*J451</f>
        <v>0.39557800000000004</v>
      </c>
      <c r="L451" s="57" t="s">
        <v>785</v>
      </c>
      <c r="Z451" s="55">
        <f>IF(AQ451="5",BJ451,0)</f>
        <v>0</v>
      </c>
      <c r="AB451" s="55">
        <f>IF(AQ451="1",BH451,0)</f>
        <v>0</v>
      </c>
      <c r="AC451" s="55">
        <f>IF(AQ451="1",BI451,0)</f>
        <v>0</v>
      </c>
      <c r="AD451" s="55">
        <f>IF(AQ451="7",BH451,0)</f>
        <v>0</v>
      </c>
      <c r="AE451" s="55">
        <f>IF(AQ451="7",BI451,0)</f>
        <v>0</v>
      </c>
      <c r="AF451" s="55">
        <f>IF(AQ451="2",BH451,0)</f>
        <v>0</v>
      </c>
      <c r="AG451" s="55">
        <f>IF(AQ451="2",BI451,0)</f>
        <v>0</v>
      </c>
      <c r="AH451" s="55">
        <f>IF(AQ451="0",BJ451,0)</f>
        <v>0</v>
      </c>
      <c r="AI451" s="34" t="s">
        <v>116</v>
      </c>
      <c r="AJ451" s="55">
        <f>IF(AN451=0,I451,0)</f>
        <v>0</v>
      </c>
      <c r="AK451" s="55">
        <f>IF(AN451=12,I451,0)</f>
        <v>0</v>
      </c>
      <c r="AL451" s="55">
        <f>IF(AN451=21,I451,0)</f>
        <v>0</v>
      </c>
      <c r="AN451" s="55">
        <v>21</v>
      </c>
      <c r="AO451" s="55">
        <f>H451*0.131226054</f>
        <v>0</v>
      </c>
      <c r="AP451" s="55">
        <f>H451*(1-0.131226054)</f>
        <v>0</v>
      </c>
      <c r="AQ451" s="58" t="s">
        <v>120</v>
      </c>
      <c r="AV451" s="55">
        <f>AW451+AX451</f>
        <v>0</v>
      </c>
      <c r="AW451" s="55">
        <f>G451*AO451</f>
        <v>0</v>
      </c>
      <c r="AX451" s="55">
        <f>G451*AP451</f>
        <v>0</v>
      </c>
      <c r="AY451" s="58" t="s">
        <v>946</v>
      </c>
      <c r="AZ451" s="58" t="s">
        <v>947</v>
      </c>
      <c r="BA451" s="34" t="s">
        <v>128</v>
      </c>
      <c r="BB451" s="67">
        <v>100038</v>
      </c>
      <c r="BC451" s="55">
        <f>AW451+AX451</f>
        <v>0</v>
      </c>
      <c r="BD451" s="55">
        <f>H451/(100-BE451)*100</f>
        <v>0</v>
      </c>
      <c r="BE451" s="55">
        <v>0</v>
      </c>
      <c r="BF451" s="55">
        <f>K451</f>
        <v>0.39557800000000004</v>
      </c>
      <c r="BH451" s="55">
        <f>G451*AO451</f>
        <v>0</v>
      </c>
      <c r="BI451" s="55">
        <f>G451*AP451</f>
        <v>0</v>
      </c>
      <c r="BJ451" s="55">
        <f>G451*H451</f>
        <v>0</v>
      </c>
      <c r="BK451" s="55"/>
      <c r="BL451" s="55">
        <v>61</v>
      </c>
      <c r="BW451" s="55">
        <v>21</v>
      </c>
    </row>
    <row r="452" spans="1:12" ht="14.4">
      <c r="A452" s="59"/>
      <c r="D452" s="60" t="s">
        <v>948</v>
      </c>
      <c r="E452" s="60" t="s">
        <v>4</v>
      </c>
      <c r="G452" s="68">
        <v>8.3</v>
      </c>
      <c r="L452" s="69"/>
    </row>
    <row r="453" spans="1:75" ht="13.5" customHeight="1">
      <c r="A453" s="1" t="s">
        <v>949</v>
      </c>
      <c r="B453" s="2" t="s">
        <v>116</v>
      </c>
      <c r="C453" s="2" t="s">
        <v>950</v>
      </c>
      <c r="D453" s="147" t="s">
        <v>951</v>
      </c>
      <c r="E453" s="148"/>
      <c r="F453" s="2" t="s">
        <v>374</v>
      </c>
      <c r="G453" s="55">
        <f>'Stavební rozpočet-vyplnit'!G453</f>
        <v>0.7</v>
      </c>
      <c r="H453" s="55">
        <f>'Stavební rozpočet-vyplnit'!H453</f>
        <v>0</v>
      </c>
      <c r="I453" s="55">
        <f>G453*H453</f>
        <v>0</v>
      </c>
      <c r="J453" s="55">
        <f>'Stavební rozpočet-vyplnit'!J453</f>
        <v>0.03562</v>
      </c>
      <c r="K453" s="55">
        <f>G453*J453</f>
        <v>0.024933999999999998</v>
      </c>
      <c r="L453" s="57" t="s">
        <v>785</v>
      </c>
      <c r="Z453" s="55">
        <f>IF(AQ453="5",BJ453,0)</f>
        <v>0</v>
      </c>
      <c r="AB453" s="55">
        <f>IF(AQ453="1",BH453,0)</f>
        <v>0</v>
      </c>
      <c r="AC453" s="55">
        <f>IF(AQ453="1",BI453,0)</f>
        <v>0</v>
      </c>
      <c r="AD453" s="55">
        <f>IF(AQ453="7",BH453,0)</f>
        <v>0</v>
      </c>
      <c r="AE453" s="55">
        <f>IF(AQ453="7",BI453,0)</f>
        <v>0</v>
      </c>
      <c r="AF453" s="55">
        <f>IF(AQ453="2",BH453,0)</f>
        <v>0</v>
      </c>
      <c r="AG453" s="55">
        <f>IF(AQ453="2",BI453,0)</f>
        <v>0</v>
      </c>
      <c r="AH453" s="55">
        <f>IF(AQ453="0",BJ453,0)</f>
        <v>0</v>
      </c>
      <c r="AI453" s="34" t="s">
        <v>116</v>
      </c>
      <c r="AJ453" s="55">
        <f>IF(AN453=0,I453,0)</f>
        <v>0</v>
      </c>
      <c r="AK453" s="55">
        <f>IF(AN453=12,I453,0)</f>
        <v>0</v>
      </c>
      <c r="AL453" s="55">
        <f>IF(AN453=21,I453,0)</f>
        <v>0</v>
      </c>
      <c r="AN453" s="55">
        <v>21</v>
      </c>
      <c r="AO453" s="55">
        <f>H453*0.381144279</f>
        <v>0</v>
      </c>
      <c r="AP453" s="55">
        <f>H453*(1-0.381144279)</f>
        <v>0</v>
      </c>
      <c r="AQ453" s="58" t="s">
        <v>120</v>
      </c>
      <c r="AV453" s="55">
        <f>AW453+AX453</f>
        <v>0</v>
      </c>
      <c r="AW453" s="55">
        <f>G453*AO453</f>
        <v>0</v>
      </c>
      <c r="AX453" s="55">
        <f>G453*AP453</f>
        <v>0</v>
      </c>
      <c r="AY453" s="58" t="s">
        <v>946</v>
      </c>
      <c r="AZ453" s="58" t="s">
        <v>947</v>
      </c>
      <c r="BA453" s="34" t="s">
        <v>128</v>
      </c>
      <c r="BB453" s="67">
        <v>100038</v>
      </c>
      <c r="BC453" s="55">
        <f>AW453+AX453</f>
        <v>0</v>
      </c>
      <c r="BD453" s="55">
        <f>H453/(100-BE453)*100</f>
        <v>0</v>
      </c>
      <c r="BE453" s="55">
        <v>0</v>
      </c>
      <c r="BF453" s="55">
        <f>K453</f>
        <v>0.024933999999999998</v>
      </c>
      <c r="BH453" s="55">
        <f>G453*AO453</f>
        <v>0</v>
      </c>
      <c r="BI453" s="55">
        <f>G453*AP453</f>
        <v>0</v>
      </c>
      <c r="BJ453" s="55">
        <f>G453*H453</f>
        <v>0</v>
      </c>
      <c r="BK453" s="55"/>
      <c r="BL453" s="55">
        <v>61</v>
      </c>
      <c r="BW453" s="55">
        <v>21</v>
      </c>
    </row>
    <row r="454" spans="1:12" ht="13.5" customHeight="1">
      <c r="A454" s="59"/>
      <c r="D454" s="218" t="s">
        <v>788</v>
      </c>
      <c r="E454" s="219"/>
      <c r="F454" s="219"/>
      <c r="G454" s="219"/>
      <c r="H454" s="219"/>
      <c r="I454" s="219"/>
      <c r="J454" s="219"/>
      <c r="K454" s="219"/>
      <c r="L454" s="221"/>
    </row>
    <row r="455" spans="1:12" ht="14.4">
      <c r="A455" s="59"/>
      <c r="D455" s="60" t="s">
        <v>952</v>
      </c>
      <c r="E455" s="60" t="s">
        <v>4</v>
      </c>
      <c r="G455" s="68">
        <v>0.7</v>
      </c>
      <c r="L455" s="69"/>
    </row>
    <row r="456" spans="1:75" ht="13.5" customHeight="1">
      <c r="A456" s="1" t="s">
        <v>953</v>
      </c>
      <c r="B456" s="2" t="s">
        <v>116</v>
      </c>
      <c r="C456" s="2" t="s">
        <v>954</v>
      </c>
      <c r="D456" s="147" t="s">
        <v>955</v>
      </c>
      <c r="E456" s="148"/>
      <c r="F456" s="2" t="s">
        <v>174</v>
      </c>
      <c r="G456" s="55">
        <f>'Stavební rozpočet-vyplnit'!G456</f>
        <v>6.15</v>
      </c>
      <c r="H456" s="55">
        <f>'Stavební rozpočet-vyplnit'!H456</f>
        <v>0</v>
      </c>
      <c r="I456" s="55">
        <f>G456*H456</f>
        <v>0</v>
      </c>
      <c r="J456" s="55">
        <f>'Stavební rozpočet-vyplnit'!J456</f>
        <v>0.00238</v>
      </c>
      <c r="K456" s="55">
        <f>G456*J456</f>
        <v>0.014637000000000002</v>
      </c>
      <c r="L456" s="57" t="s">
        <v>785</v>
      </c>
      <c r="Z456" s="55">
        <f>IF(AQ456="5",BJ456,0)</f>
        <v>0</v>
      </c>
      <c r="AB456" s="55">
        <f>IF(AQ456="1",BH456,0)</f>
        <v>0</v>
      </c>
      <c r="AC456" s="55">
        <f>IF(AQ456="1",BI456,0)</f>
        <v>0</v>
      </c>
      <c r="AD456" s="55">
        <f>IF(AQ456="7",BH456,0)</f>
        <v>0</v>
      </c>
      <c r="AE456" s="55">
        <f>IF(AQ456="7",BI456,0)</f>
        <v>0</v>
      </c>
      <c r="AF456" s="55">
        <f>IF(AQ456="2",BH456,0)</f>
        <v>0</v>
      </c>
      <c r="AG456" s="55">
        <f>IF(AQ456="2",BI456,0)</f>
        <v>0</v>
      </c>
      <c r="AH456" s="55">
        <f>IF(AQ456="0",BJ456,0)</f>
        <v>0</v>
      </c>
      <c r="AI456" s="34" t="s">
        <v>116</v>
      </c>
      <c r="AJ456" s="55">
        <f>IF(AN456=0,I456,0)</f>
        <v>0</v>
      </c>
      <c r="AK456" s="55">
        <f>IF(AN456=12,I456,0)</f>
        <v>0</v>
      </c>
      <c r="AL456" s="55">
        <f>IF(AN456=21,I456,0)</f>
        <v>0</v>
      </c>
      <c r="AN456" s="55">
        <v>21</v>
      </c>
      <c r="AO456" s="55">
        <f>H456*0.22737404</f>
        <v>0</v>
      </c>
      <c r="AP456" s="55">
        <f>H456*(1-0.22737404)</f>
        <v>0</v>
      </c>
      <c r="AQ456" s="58" t="s">
        <v>120</v>
      </c>
      <c r="AV456" s="55">
        <f>AW456+AX456</f>
        <v>0</v>
      </c>
      <c r="AW456" s="55">
        <f>G456*AO456</f>
        <v>0</v>
      </c>
      <c r="AX456" s="55">
        <f>G456*AP456</f>
        <v>0</v>
      </c>
      <c r="AY456" s="58" t="s">
        <v>946</v>
      </c>
      <c r="AZ456" s="58" t="s">
        <v>947</v>
      </c>
      <c r="BA456" s="34" t="s">
        <v>128</v>
      </c>
      <c r="BB456" s="67">
        <v>100038</v>
      </c>
      <c r="BC456" s="55">
        <f>AW456+AX456</f>
        <v>0</v>
      </c>
      <c r="BD456" s="55">
        <f>H456/(100-BE456)*100</f>
        <v>0</v>
      </c>
      <c r="BE456" s="55">
        <v>0</v>
      </c>
      <c r="BF456" s="55">
        <f>K456</f>
        <v>0.014637000000000002</v>
      </c>
      <c r="BH456" s="55">
        <f>G456*AO456</f>
        <v>0</v>
      </c>
      <c r="BI456" s="55">
        <f>G456*AP456</f>
        <v>0</v>
      </c>
      <c r="BJ456" s="55">
        <f>G456*H456</f>
        <v>0</v>
      </c>
      <c r="BK456" s="55"/>
      <c r="BL456" s="55">
        <v>61</v>
      </c>
      <c r="BW456" s="55">
        <v>21</v>
      </c>
    </row>
    <row r="457" spans="1:12" ht="13.5" customHeight="1">
      <c r="A457" s="59"/>
      <c r="D457" s="218" t="s">
        <v>788</v>
      </c>
      <c r="E457" s="219"/>
      <c r="F457" s="219"/>
      <c r="G457" s="219"/>
      <c r="H457" s="219"/>
      <c r="I457" s="219"/>
      <c r="J457" s="219"/>
      <c r="K457" s="219"/>
      <c r="L457" s="221"/>
    </row>
    <row r="458" spans="1:12" ht="14.4">
      <c r="A458" s="59"/>
      <c r="D458" s="60" t="s">
        <v>956</v>
      </c>
      <c r="E458" s="60" t="s">
        <v>4</v>
      </c>
      <c r="G458" s="68">
        <v>6.15</v>
      </c>
      <c r="L458" s="69"/>
    </row>
    <row r="459" spans="1:47" ht="14.4">
      <c r="A459" s="50" t="s">
        <v>4</v>
      </c>
      <c r="B459" s="51" t="s">
        <v>116</v>
      </c>
      <c r="C459" s="51" t="s">
        <v>316</v>
      </c>
      <c r="D459" s="222" t="s">
        <v>957</v>
      </c>
      <c r="E459" s="223"/>
      <c r="F459" s="52" t="s">
        <v>79</v>
      </c>
      <c r="G459" s="52" t="s">
        <v>79</v>
      </c>
      <c r="H459" s="52" t="s">
        <v>79</v>
      </c>
      <c r="I459" s="27">
        <f>SUM(I460:I478)</f>
        <v>0</v>
      </c>
      <c r="J459" s="34" t="s">
        <v>4</v>
      </c>
      <c r="K459" s="27">
        <f>SUM(K460:K478)</f>
        <v>0.0590361</v>
      </c>
      <c r="L459" s="54" t="s">
        <v>4</v>
      </c>
      <c r="AI459" s="34" t="s">
        <v>116</v>
      </c>
      <c r="AS459" s="27">
        <f>SUM(AJ460:AJ478)</f>
        <v>0</v>
      </c>
      <c r="AT459" s="27">
        <f>SUM(AK460:AK478)</f>
        <v>0</v>
      </c>
      <c r="AU459" s="27">
        <f>SUM(AL460:AL478)</f>
        <v>0</v>
      </c>
    </row>
    <row r="460" spans="1:75" ht="27" customHeight="1">
      <c r="A460" s="1" t="s">
        <v>958</v>
      </c>
      <c r="B460" s="2" t="s">
        <v>116</v>
      </c>
      <c r="C460" s="2" t="s">
        <v>959</v>
      </c>
      <c r="D460" s="147" t="s">
        <v>960</v>
      </c>
      <c r="E460" s="148"/>
      <c r="F460" s="2" t="s">
        <v>729</v>
      </c>
      <c r="G460" s="55">
        <f>'Stavební rozpočet-vyplnit'!G460</f>
        <v>0.94</v>
      </c>
      <c r="H460" s="55">
        <f>'Stavební rozpočet-vyplnit'!H460</f>
        <v>0</v>
      </c>
      <c r="I460" s="55">
        <f>G460*H460</f>
        <v>0</v>
      </c>
      <c r="J460" s="55">
        <f>'Stavební rozpočet-vyplnit'!J460</f>
        <v>0.01101</v>
      </c>
      <c r="K460" s="55">
        <f>G460*J460</f>
        <v>0.0103494</v>
      </c>
      <c r="L460" s="57" t="s">
        <v>785</v>
      </c>
      <c r="Z460" s="55">
        <f>IF(AQ460="5",BJ460,0)</f>
        <v>0</v>
      </c>
      <c r="AB460" s="55">
        <f>IF(AQ460="1",BH460,0)</f>
        <v>0</v>
      </c>
      <c r="AC460" s="55">
        <f>IF(AQ460="1",BI460,0)</f>
        <v>0</v>
      </c>
      <c r="AD460" s="55">
        <f>IF(AQ460="7",BH460,0)</f>
        <v>0</v>
      </c>
      <c r="AE460" s="55">
        <f>IF(AQ460="7",BI460,0)</f>
        <v>0</v>
      </c>
      <c r="AF460" s="55">
        <f>IF(AQ460="2",BH460,0)</f>
        <v>0</v>
      </c>
      <c r="AG460" s="55">
        <f>IF(AQ460="2",BI460,0)</f>
        <v>0</v>
      </c>
      <c r="AH460" s="55">
        <f>IF(AQ460="0",BJ460,0)</f>
        <v>0</v>
      </c>
      <c r="AI460" s="34" t="s">
        <v>116</v>
      </c>
      <c r="AJ460" s="55">
        <f>IF(AN460=0,I460,0)</f>
        <v>0</v>
      </c>
      <c r="AK460" s="55">
        <f>IF(AN460=12,I460,0)</f>
        <v>0</v>
      </c>
      <c r="AL460" s="55">
        <f>IF(AN460=21,I460,0)</f>
        <v>0</v>
      </c>
      <c r="AN460" s="55">
        <v>21</v>
      </c>
      <c r="AO460" s="55">
        <f>H460*0.353975482</f>
        <v>0</v>
      </c>
      <c r="AP460" s="55">
        <f>H460*(1-0.353975482)</f>
        <v>0</v>
      </c>
      <c r="AQ460" s="58" t="s">
        <v>120</v>
      </c>
      <c r="AV460" s="55">
        <f>AW460+AX460</f>
        <v>0</v>
      </c>
      <c r="AW460" s="55">
        <f>G460*AO460</f>
        <v>0</v>
      </c>
      <c r="AX460" s="55">
        <f>G460*AP460</f>
        <v>0</v>
      </c>
      <c r="AY460" s="58" t="s">
        <v>961</v>
      </c>
      <c r="AZ460" s="58" t="s">
        <v>947</v>
      </c>
      <c r="BA460" s="34" t="s">
        <v>128</v>
      </c>
      <c r="BB460" s="67">
        <v>100039</v>
      </c>
      <c r="BC460" s="55">
        <f>AW460+AX460</f>
        <v>0</v>
      </c>
      <c r="BD460" s="55">
        <f>H460/(100-BE460)*100</f>
        <v>0</v>
      </c>
      <c r="BE460" s="55">
        <v>0</v>
      </c>
      <c r="BF460" s="55">
        <f>K460</f>
        <v>0.0103494</v>
      </c>
      <c r="BH460" s="55">
        <f>G460*AO460</f>
        <v>0</v>
      </c>
      <c r="BI460" s="55">
        <f>G460*AP460</f>
        <v>0</v>
      </c>
      <c r="BJ460" s="55">
        <f>G460*H460</f>
        <v>0</v>
      </c>
      <c r="BK460" s="55"/>
      <c r="BL460" s="55">
        <v>62</v>
      </c>
      <c r="BW460" s="55">
        <v>21</v>
      </c>
    </row>
    <row r="461" spans="1:12" ht="13.5" customHeight="1">
      <c r="A461" s="59"/>
      <c r="D461" s="218" t="s">
        <v>962</v>
      </c>
      <c r="E461" s="219"/>
      <c r="F461" s="219"/>
      <c r="G461" s="219"/>
      <c r="H461" s="219"/>
      <c r="I461" s="219"/>
      <c r="J461" s="219"/>
      <c r="K461" s="219"/>
      <c r="L461" s="221"/>
    </row>
    <row r="462" spans="1:12" ht="14.4">
      <c r="A462" s="59"/>
      <c r="D462" s="60" t="s">
        <v>963</v>
      </c>
      <c r="E462" s="60" t="s">
        <v>4</v>
      </c>
      <c r="G462" s="68">
        <v>0.94</v>
      </c>
      <c r="L462" s="69"/>
    </row>
    <row r="463" spans="1:75" ht="27" customHeight="1">
      <c r="A463" s="1" t="s">
        <v>964</v>
      </c>
      <c r="B463" s="2" t="s">
        <v>116</v>
      </c>
      <c r="C463" s="2" t="s">
        <v>965</v>
      </c>
      <c r="D463" s="147" t="s">
        <v>966</v>
      </c>
      <c r="E463" s="148"/>
      <c r="F463" s="2" t="s">
        <v>729</v>
      </c>
      <c r="G463" s="55">
        <f>'Stavební rozpočet-vyplnit'!G463</f>
        <v>0.41</v>
      </c>
      <c r="H463" s="55">
        <f>'Stavební rozpočet-vyplnit'!H463</f>
        <v>0</v>
      </c>
      <c r="I463" s="55">
        <f>G463*H463</f>
        <v>0</v>
      </c>
      <c r="J463" s="55">
        <f>'Stavební rozpočet-vyplnit'!J463</f>
        <v>0.01248</v>
      </c>
      <c r="K463" s="55">
        <f>G463*J463</f>
        <v>0.0051167999999999995</v>
      </c>
      <c r="L463" s="57" t="s">
        <v>785</v>
      </c>
      <c r="Z463" s="55">
        <f>IF(AQ463="5",BJ463,0)</f>
        <v>0</v>
      </c>
      <c r="AB463" s="55">
        <f>IF(AQ463="1",BH463,0)</f>
        <v>0</v>
      </c>
      <c r="AC463" s="55">
        <f>IF(AQ463="1",BI463,0)</f>
        <v>0</v>
      </c>
      <c r="AD463" s="55">
        <f>IF(AQ463="7",BH463,0)</f>
        <v>0</v>
      </c>
      <c r="AE463" s="55">
        <f>IF(AQ463="7",BI463,0)</f>
        <v>0</v>
      </c>
      <c r="AF463" s="55">
        <f>IF(AQ463="2",BH463,0)</f>
        <v>0</v>
      </c>
      <c r="AG463" s="55">
        <f>IF(AQ463="2",BI463,0)</f>
        <v>0</v>
      </c>
      <c r="AH463" s="55">
        <f>IF(AQ463="0",BJ463,0)</f>
        <v>0</v>
      </c>
      <c r="AI463" s="34" t="s">
        <v>116</v>
      </c>
      <c r="AJ463" s="55">
        <f>IF(AN463=0,I463,0)</f>
        <v>0</v>
      </c>
      <c r="AK463" s="55">
        <f>IF(AN463=12,I463,0)</f>
        <v>0</v>
      </c>
      <c r="AL463" s="55">
        <f>IF(AN463=21,I463,0)</f>
        <v>0</v>
      </c>
      <c r="AN463" s="55">
        <v>21</v>
      </c>
      <c r="AO463" s="55">
        <f>H463*0.566208808</f>
        <v>0</v>
      </c>
      <c r="AP463" s="55">
        <f>H463*(1-0.566208808)</f>
        <v>0</v>
      </c>
      <c r="AQ463" s="58" t="s">
        <v>120</v>
      </c>
      <c r="AV463" s="55">
        <f>AW463+AX463</f>
        <v>0</v>
      </c>
      <c r="AW463" s="55">
        <f>G463*AO463</f>
        <v>0</v>
      </c>
      <c r="AX463" s="55">
        <f>G463*AP463</f>
        <v>0</v>
      </c>
      <c r="AY463" s="58" t="s">
        <v>961</v>
      </c>
      <c r="AZ463" s="58" t="s">
        <v>947</v>
      </c>
      <c r="BA463" s="34" t="s">
        <v>128</v>
      </c>
      <c r="BB463" s="67">
        <v>100039</v>
      </c>
      <c r="BC463" s="55">
        <f>AW463+AX463</f>
        <v>0</v>
      </c>
      <c r="BD463" s="55">
        <f>H463/(100-BE463)*100</f>
        <v>0</v>
      </c>
      <c r="BE463" s="55">
        <v>0</v>
      </c>
      <c r="BF463" s="55">
        <f>K463</f>
        <v>0.0051167999999999995</v>
      </c>
      <c r="BH463" s="55">
        <f>G463*AO463</f>
        <v>0</v>
      </c>
      <c r="BI463" s="55">
        <f>G463*AP463</f>
        <v>0</v>
      </c>
      <c r="BJ463" s="55">
        <f>G463*H463</f>
        <v>0</v>
      </c>
      <c r="BK463" s="55"/>
      <c r="BL463" s="55">
        <v>62</v>
      </c>
      <c r="BW463" s="55">
        <v>21</v>
      </c>
    </row>
    <row r="464" spans="1:12" ht="13.5" customHeight="1">
      <c r="A464" s="59"/>
      <c r="D464" s="218" t="s">
        <v>967</v>
      </c>
      <c r="E464" s="219"/>
      <c r="F464" s="219"/>
      <c r="G464" s="219"/>
      <c r="H464" s="219"/>
      <c r="I464" s="219"/>
      <c r="J464" s="219"/>
      <c r="K464" s="219"/>
      <c r="L464" s="221"/>
    </row>
    <row r="465" spans="1:12" ht="14.4">
      <c r="A465" s="59"/>
      <c r="D465" s="60" t="s">
        <v>968</v>
      </c>
      <c r="E465" s="60" t="s">
        <v>4</v>
      </c>
      <c r="G465" s="68">
        <v>0.41</v>
      </c>
      <c r="L465" s="69"/>
    </row>
    <row r="466" spans="1:75" ht="13.5" customHeight="1">
      <c r="A466" s="1" t="s">
        <v>969</v>
      </c>
      <c r="B466" s="2" t="s">
        <v>116</v>
      </c>
      <c r="C466" s="2" t="s">
        <v>970</v>
      </c>
      <c r="D466" s="147" t="s">
        <v>971</v>
      </c>
      <c r="E466" s="148"/>
      <c r="F466" s="2" t="s">
        <v>729</v>
      </c>
      <c r="G466" s="55">
        <f>'Stavební rozpočet-vyplnit'!G466</f>
        <v>1.35</v>
      </c>
      <c r="H466" s="55">
        <f>'Stavební rozpočet-vyplnit'!H466</f>
        <v>0</v>
      </c>
      <c r="I466" s="55">
        <f>G466*H466</f>
        <v>0</v>
      </c>
      <c r="J466" s="55">
        <f>'Stavební rozpočet-vyplnit'!J466</f>
        <v>0.00421</v>
      </c>
      <c r="K466" s="55">
        <f>G466*J466</f>
        <v>0.005683500000000001</v>
      </c>
      <c r="L466" s="57" t="s">
        <v>785</v>
      </c>
      <c r="Z466" s="55">
        <f>IF(AQ466="5",BJ466,0)</f>
        <v>0</v>
      </c>
      <c r="AB466" s="55">
        <f>IF(AQ466="1",BH466,0)</f>
        <v>0</v>
      </c>
      <c r="AC466" s="55">
        <f>IF(AQ466="1",BI466,0)</f>
        <v>0</v>
      </c>
      <c r="AD466" s="55">
        <f>IF(AQ466="7",BH466,0)</f>
        <v>0</v>
      </c>
      <c r="AE466" s="55">
        <f>IF(AQ466="7",BI466,0)</f>
        <v>0</v>
      </c>
      <c r="AF466" s="55">
        <f>IF(AQ466="2",BH466,0)</f>
        <v>0</v>
      </c>
      <c r="AG466" s="55">
        <f>IF(AQ466="2",BI466,0)</f>
        <v>0</v>
      </c>
      <c r="AH466" s="55">
        <f>IF(AQ466="0",BJ466,0)</f>
        <v>0</v>
      </c>
      <c r="AI466" s="34" t="s">
        <v>116</v>
      </c>
      <c r="AJ466" s="55">
        <f>IF(AN466=0,I466,0)</f>
        <v>0</v>
      </c>
      <c r="AK466" s="55">
        <f>IF(AN466=12,I466,0)</f>
        <v>0</v>
      </c>
      <c r="AL466" s="55">
        <f>IF(AN466=21,I466,0)</f>
        <v>0</v>
      </c>
      <c r="AN466" s="55">
        <v>21</v>
      </c>
      <c r="AO466" s="55">
        <f>H466*0.231718763</f>
        <v>0</v>
      </c>
      <c r="AP466" s="55">
        <f>H466*(1-0.231718763)</f>
        <v>0</v>
      </c>
      <c r="AQ466" s="58" t="s">
        <v>120</v>
      </c>
      <c r="AV466" s="55">
        <f>AW466+AX466</f>
        <v>0</v>
      </c>
      <c r="AW466" s="55">
        <f>G466*AO466</f>
        <v>0</v>
      </c>
      <c r="AX466" s="55">
        <f>G466*AP466</f>
        <v>0</v>
      </c>
      <c r="AY466" s="58" t="s">
        <v>961</v>
      </c>
      <c r="AZ466" s="58" t="s">
        <v>947</v>
      </c>
      <c r="BA466" s="34" t="s">
        <v>128</v>
      </c>
      <c r="BB466" s="67">
        <v>100039</v>
      </c>
      <c r="BC466" s="55">
        <f>AW466+AX466</f>
        <v>0</v>
      </c>
      <c r="BD466" s="55">
        <f>H466/(100-BE466)*100</f>
        <v>0</v>
      </c>
      <c r="BE466" s="55">
        <v>0</v>
      </c>
      <c r="BF466" s="55">
        <f>K466</f>
        <v>0.005683500000000001</v>
      </c>
      <c r="BH466" s="55">
        <f>G466*AO466</f>
        <v>0</v>
      </c>
      <c r="BI466" s="55">
        <f>G466*AP466</f>
        <v>0</v>
      </c>
      <c r="BJ466" s="55">
        <f>G466*H466</f>
        <v>0</v>
      </c>
      <c r="BK466" s="55"/>
      <c r="BL466" s="55">
        <v>62</v>
      </c>
      <c r="BW466" s="55">
        <v>21</v>
      </c>
    </row>
    <row r="467" spans="1:12" ht="13.5" customHeight="1">
      <c r="A467" s="59"/>
      <c r="D467" s="218" t="s">
        <v>972</v>
      </c>
      <c r="E467" s="219"/>
      <c r="F467" s="219"/>
      <c r="G467" s="219"/>
      <c r="H467" s="219"/>
      <c r="I467" s="219"/>
      <c r="J467" s="219"/>
      <c r="K467" s="219"/>
      <c r="L467" s="221"/>
    </row>
    <row r="468" spans="1:12" ht="14.4">
      <c r="A468" s="59"/>
      <c r="D468" s="60" t="s">
        <v>973</v>
      </c>
      <c r="E468" s="60" t="s">
        <v>4</v>
      </c>
      <c r="G468" s="68">
        <v>1.35</v>
      </c>
      <c r="L468" s="69"/>
    </row>
    <row r="469" spans="1:75" ht="13.5" customHeight="1">
      <c r="A469" s="61" t="s">
        <v>974</v>
      </c>
      <c r="B469" s="62" t="s">
        <v>116</v>
      </c>
      <c r="C469" s="62" t="s">
        <v>975</v>
      </c>
      <c r="D469" s="224" t="s">
        <v>976</v>
      </c>
      <c r="E469" s="225"/>
      <c r="F469" s="62" t="s">
        <v>729</v>
      </c>
      <c r="G469" s="63">
        <f>'Stavební rozpočet-vyplnit'!G469</f>
        <v>1.42</v>
      </c>
      <c r="H469" s="63">
        <f>'Stavební rozpočet-vyplnit'!H469</f>
        <v>0</v>
      </c>
      <c r="I469" s="63">
        <f>G469*H469</f>
        <v>0</v>
      </c>
      <c r="J469" s="63">
        <f>'Stavební rozpočet-vyplnit'!J469</f>
        <v>0.011</v>
      </c>
      <c r="K469" s="63">
        <f>G469*J469</f>
        <v>0.015619999999999998</v>
      </c>
      <c r="L469" s="65" t="s">
        <v>124</v>
      </c>
      <c r="Z469" s="55">
        <f>IF(AQ469="5",BJ469,0)</f>
        <v>0</v>
      </c>
      <c r="AB469" s="55">
        <f>IF(AQ469="1",BH469,0)</f>
        <v>0</v>
      </c>
      <c r="AC469" s="55">
        <f>IF(AQ469="1",BI469,0)</f>
        <v>0</v>
      </c>
      <c r="AD469" s="55">
        <f>IF(AQ469="7",BH469,0)</f>
        <v>0</v>
      </c>
      <c r="AE469" s="55">
        <f>IF(AQ469="7",BI469,0)</f>
        <v>0</v>
      </c>
      <c r="AF469" s="55">
        <f>IF(AQ469="2",BH469,0)</f>
        <v>0</v>
      </c>
      <c r="AG469" s="55">
        <f>IF(AQ469="2",BI469,0)</f>
        <v>0</v>
      </c>
      <c r="AH469" s="55">
        <f>IF(AQ469="0",BJ469,0)</f>
        <v>0</v>
      </c>
      <c r="AI469" s="34" t="s">
        <v>116</v>
      </c>
      <c r="AJ469" s="63">
        <f>IF(AN469=0,I469,0)</f>
        <v>0</v>
      </c>
      <c r="AK469" s="63">
        <f>IF(AN469=12,I469,0)</f>
        <v>0</v>
      </c>
      <c r="AL469" s="63">
        <f>IF(AN469=21,I469,0)</f>
        <v>0</v>
      </c>
      <c r="AN469" s="55">
        <v>21</v>
      </c>
      <c r="AO469" s="55">
        <f>H469*1</f>
        <v>0</v>
      </c>
      <c r="AP469" s="55">
        <f>H469*(1-1)</f>
        <v>0</v>
      </c>
      <c r="AQ469" s="66" t="s">
        <v>120</v>
      </c>
      <c r="AV469" s="55">
        <f>AW469+AX469</f>
        <v>0</v>
      </c>
      <c r="AW469" s="55">
        <f>G469*AO469</f>
        <v>0</v>
      </c>
      <c r="AX469" s="55">
        <f>G469*AP469</f>
        <v>0</v>
      </c>
      <c r="AY469" s="58" t="s">
        <v>961</v>
      </c>
      <c r="AZ469" s="58" t="s">
        <v>947</v>
      </c>
      <c r="BA469" s="34" t="s">
        <v>128</v>
      </c>
      <c r="BC469" s="55">
        <f>AW469+AX469</f>
        <v>0</v>
      </c>
      <c r="BD469" s="55">
        <f>H469/(100-BE469)*100</f>
        <v>0</v>
      </c>
      <c r="BE469" s="55">
        <v>0</v>
      </c>
      <c r="BF469" s="55">
        <f>K469</f>
        <v>0.015619999999999998</v>
      </c>
      <c r="BH469" s="63">
        <f>G469*AO469</f>
        <v>0</v>
      </c>
      <c r="BI469" s="63">
        <f>G469*AP469</f>
        <v>0</v>
      </c>
      <c r="BJ469" s="63">
        <f>G469*H469</f>
        <v>0</v>
      </c>
      <c r="BK469" s="63"/>
      <c r="BL469" s="55">
        <v>62</v>
      </c>
      <c r="BW469" s="55">
        <v>21</v>
      </c>
    </row>
    <row r="470" spans="1:12" ht="14.4">
      <c r="A470" s="59"/>
      <c r="D470" s="60" t="s">
        <v>977</v>
      </c>
      <c r="E470" s="60" t="s">
        <v>4</v>
      </c>
      <c r="G470" s="68">
        <v>1.35</v>
      </c>
      <c r="L470" s="69"/>
    </row>
    <row r="471" spans="1:12" ht="14.4">
      <c r="A471" s="59"/>
      <c r="D471" s="60" t="s">
        <v>978</v>
      </c>
      <c r="E471" s="60" t="s">
        <v>4</v>
      </c>
      <c r="G471" s="68">
        <v>0.07</v>
      </c>
      <c r="L471" s="69"/>
    </row>
    <row r="472" spans="1:75" ht="27" customHeight="1">
      <c r="A472" s="1" t="s">
        <v>979</v>
      </c>
      <c r="B472" s="2" t="s">
        <v>116</v>
      </c>
      <c r="C472" s="2" t="s">
        <v>980</v>
      </c>
      <c r="D472" s="147" t="s">
        <v>981</v>
      </c>
      <c r="E472" s="148"/>
      <c r="F472" s="2" t="s">
        <v>729</v>
      </c>
      <c r="G472" s="55">
        <f>'Stavební rozpočet-vyplnit'!G472</f>
        <v>0.3</v>
      </c>
      <c r="H472" s="55">
        <f>'Stavební rozpočet-vyplnit'!H472</f>
        <v>0</v>
      </c>
      <c r="I472" s="55">
        <f>G472*H472</f>
        <v>0</v>
      </c>
      <c r="J472" s="55">
        <f>'Stavební rozpočet-vyplnit'!J472</f>
        <v>0.01598</v>
      </c>
      <c r="K472" s="55">
        <f>G472*J472</f>
        <v>0.0047940000000000005</v>
      </c>
      <c r="L472" s="57" t="s">
        <v>785</v>
      </c>
      <c r="Z472" s="55">
        <f>IF(AQ472="5",BJ472,0)</f>
        <v>0</v>
      </c>
      <c r="AB472" s="55">
        <f>IF(AQ472="1",BH472,0)</f>
        <v>0</v>
      </c>
      <c r="AC472" s="55">
        <f>IF(AQ472="1",BI472,0)</f>
        <v>0</v>
      </c>
      <c r="AD472" s="55">
        <f>IF(AQ472="7",BH472,0)</f>
        <v>0</v>
      </c>
      <c r="AE472" s="55">
        <f>IF(AQ472="7",BI472,0)</f>
        <v>0</v>
      </c>
      <c r="AF472" s="55">
        <f>IF(AQ472="2",BH472,0)</f>
        <v>0</v>
      </c>
      <c r="AG472" s="55">
        <f>IF(AQ472="2",BI472,0)</f>
        <v>0</v>
      </c>
      <c r="AH472" s="55">
        <f>IF(AQ472="0",BJ472,0)</f>
        <v>0</v>
      </c>
      <c r="AI472" s="34" t="s">
        <v>116</v>
      </c>
      <c r="AJ472" s="55">
        <f>IF(AN472=0,I472,0)</f>
        <v>0</v>
      </c>
      <c r="AK472" s="55">
        <f>IF(AN472=12,I472,0)</f>
        <v>0</v>
      </c>
      <c r="AL472" s="55">
        <f>IF(AN472=21,I472,0)</f>
        <v>0</v>
      </c>
      <c r="AN472" s="55">
        <v>21</v>
      </c>
      <c r="AO472" s="55">
        <f>H472*0.576574685</f>
        <v>0</v>
      </c>
      <c r="AP472" s="55">
        <f>H472*(1-0.576574685)</f>
        <v>0</v>
      </c>
      <c r="AQ472" s="58" t="s">
        <v>120</v>
      </c>
      <c r="AV472" s="55">
        <f>AW472+AX472</f>
        <v>0</v>
      </c>
      <c r="AW472" s="55">
        <f>G472*AO472</f>
        <v>0</v>
      </c>
      <c r="AX472" s="55">
        <f>G472*AP472</f>
        <v>0</v>
      </c>
      <c r="AY472" s="58" t="s">
        <v>961</v>
      </c>
      <c r="AZ472" s="58" t="s">
        <v>947</v>
      </c>
      <c r="BA472" s="34" t="s">
        <v>128</v>
      </c>
      <c r="BB472" s="67">
        <v>100039</v>
      </c>
      <c r="BC472" s="55">
        <f>AW472+AX472</f>
        <v>0</v>
      </c>
      <c r="BD472" s="55">
        <f>H472/(100-BE472)*100</f>
        <v>0</v>
      </c>
      <c r="BE472" s="55">
        <v>0</v>
      </c>
      <c r="BF472" s="55">
        <f>K472</f>
        <v>0.0047940000000000005</v>
      </c>
      <c r="BH472" s="55">
        <f>G472*AO472</f>
        <v>0</v>
      </c>
      <c r="BI472" s="55">
        <f>G472*AP472</f>
        <v>0</v>
      </c>
      <c r="BJ472" s="55">
        <f>G472*H472</f>
        <v>0</v>
      </c>
      <c r="BK472" s="55"/>
      <c r="BL472" s="55">
        <v>62</v>
      </c>
      <c r="BW472" s="55">
        <v>21</v>
      </c>
    </row>
    <row r="473" spans="1:12" ht="13.5" customHeight="1">
      <c r="A473" s="59"/>
      <c r="D473" s="218" t="s">
        <v>982</v>
      </c>
      <c r="E473" s="219"/>
      <c r="F473" s="219"/>
      <c r="G473" s="219"/>
      <c r="H473" s="219"/>
      <c r="I473" s="219"/>
      <c r="J473" s="219"/>
      <c r="K473" s="219"/>
      <c r="L473" s="221"/>
    </row>
    <row r="474" spans="1:12" ht="14.4">
      <c r="A474" s="59"/>
      <c r="D474" s="60" t="s">
        <v>983</v>
      </c>
      <c r="E474" s="60" t="s">
        <v>4</v>
      </c>
      <c r="G474" s="68">
        <v>0.3</v>
      </c>
      <c r="L474" s="69"/>
    </row>
    <row r="475" spans="1:75" ht="27" customHeight="1">
      <c r="A475" s="1" t="s">
        <v>984</v>
      </c>
      <c r="B475" s="2" t="s">
        <v>116</v>
      </c>
      <c r="C475" s="2" t="s">
        <v>985</v>
      </c>
      <c r="D475" s="147" t="s">
        <v>986</v>
      </c>
      <c r="E475" s="148"/>
      <c r="F475" s="2" t="s">
        <v>729</v>
      </c>
      <c r="G475" s="55">
        <f>'Stavební rozpočet-vyplnit'!G475</f>
        <v>1.21</v>
      </c>
      <c r="H475" s="55">
        <f>'Stavební rozpočet-vyplnit'!H475</f>
        <v>0</v>
      </c>
      <c r="I475" s="55">
        <f>G475*H475</f>
        <v>0</v>
      </c>
      <c r="J475" s="55">
        <f>'Stavební rozpočet-vyplnit'!J475</f>
        <v>0.01444</v>
      </c>
      <c r="K475" s="55">
        <f>G475*J475</f>
        <v>0.0174724</v>
      </c>
      <c r="L475" s="57" t="s">
        <v>785</v>
      </c>
      <c r="Z475" s="55">
        <f>IF(AQ475="5",BJ475,0)</f>
        <v>0</v>
      </c>
      <c r="AB475" s="55">
        <f>IF(AQ475="1",BH475,0)</f>
        <v>0</v>
      </c>
      <c r="AC475" s="55">
        <f>IF(AQ475="1",BI475,0)</f>
        <v>0</v>
      </c>
      <c r="AD475" s="55">
        <f>IF(AQ475="7",BH475,0)</f>
        <v>0</v>
      </c>
      <c r="AE475" s="55">
        <f>IF(AQ475="7",BI475,0)</f>
        <v>0</v>
      </c>
      <c r="AF475" s="55">
        <f>IF(AQ475="2",BH475,0)</f>
        <v>0</v>
      </c>
      <c r="AG475" s="55">
        <f>IF(AQ475="2",BI475,0)</f>
        <v>0</v>
      </c>
      <c r="AH475" s="55">
        <f>IF(AQ475="0",BJ475,0)</f>
        <v>0</v>
      </c>
      <c r="AI475" s="34" t="s">
        <v>116</v>
      </c>
      <c r="AJ475" s="55">
        <f>IF(AN475=0,I475,0)</f>
        <v>0</v>
      </c>
      <c r="AK475" s="55">
        <f>IF(AN475=12,I475,0)</f>
        <v>0</v>
      </c>
      <c r="AL475" s="55">
        <f>IF(AN475=21,I475,0)</f>
        <v>0</v>
      </c>
      <c r="AN475" s="55">
        <v>21</v>
      </c>
      <c r="AO475" s="55">
        <f>H475*0.394654293</f>
        <v>0</v>
      </c>
      <c r="AP475" s="55">
        <f>H475*(1-0.394654293)</f>
        <v>0</v>
      </c>
      <c r="AQ475" s="58" t="s">
        <v>120</v>
      </c>
      <c r="AV475" s="55">
        <f>AW475+AX475</f>
        <v>0</v>
      </c>
      <c r="AW475" s="55">
        <f>G475*AO475</f>
        <v>0</v>
      </c>
      <c r="AX475" s="55">
        <f>G475*AP475</f>
        <v>0</v>
      </c>
      <c r="AY475" s="58" t="s">
        <v>961</v>
      </c>
      <c r="AZ475" s="58" t="s">
        <v>947</v>
      </c>
      <c r="BA475" s="34" t="s">
        <v>128</v>
      </c>
      <c r="BB475" s="67">
        <v>100039</v>
      </c>
      <c r="BC475" s="55">
        <f>AW475+AX475</f>
        <v>0</v>
      </c>
      <c r="BD475" s="55">
        <f>H475/(100-BE475)*100</f>
        <v>0</v>
      </c>
      <c r="BE475" s="55">
        <v>0</v>
      </c>
      <c r="BF475" s="55">
        <f>K475</f>
        <v>0.0174724</v>
      </c>
      <c r="BH475" s="55">
        <f>G475*AO475</f>
        <v>0</v>
      </c>
      <c r="BI475" s="55">
        <f>G475*AP475</f>
        <v>0</v>
      </c>
      <c r="BJ475" s="55">
        <f>G475*H475</f>
        <v>0</v>
      </c>
      <c r="BK475" s="55"/>
      <c r="BL475" s="55">
        <v>62</v>
      </c>
      <c r="BW475" s="55">
        <v>21</v>
      </c>
    </row>
    <row r="476" spans="1:12" ht="13.5" customHeight="1">
      <c r="A476" s="59"/>
      <c r="D476" s="218" t="s">
        <v>987</v>
      </c>
      <c r="E476" s="219"/>
      <c r="F476" s="219"/>
      <c r="G476" s="219"/>
      <c r="H476" s="219"/>
      <c r="I476" s="219"/>
      <c r="J476" s="219"/>
      <c r="K476" s="219"/>
      <c r="L476" s="221"/>
    </row>
    <row r="477" spans="1:12" ht="14.4">
      <c r="A477" s="59"/>
      <c r="D477" s="60" t="s">
        <v>988</v>
      </c>
      <c r="E477" s="60" t="s">
        <v>989</v>
      </c>
      <c r="G477" s="68">
        <v>1.21</v>
      </c>
      <c r="L477" s="69"/>
    </row>
    <row r="478" spans="1:75" ht="13.5" customHeight="1">
      <c r="A478" s="1" t="s">
        <v>990</v>
      </c>
      <c r="B478" s="2" t="s">
        <v>116</v>
      </c>
      <c r="C478" s="2" t="s">
        <v>991</v>
      </c>
      <c r="D478" s="147" t="s">
        <v>992</v>
      </c>
      <c r="E478" s="148"/>
      <c r="F478" s="2" t="s">
        <v>993</v>
      </c>
      <c r="G478" s="55">
        <f>'Stavební rozpočet-vyplnit'!G478</f>
        <v>1</v>
      </c>
      <c r="H478" s="55">
        <f>'Stavební rozpočet-vyplnit'!H478</f>
        <v>0</v>
      </c>
      <c r="I478" s="55">
        <f>G478*H478</f>
        <v>0</v>
      </c>
      <c r="J478" s="55">
        <f>'Stavební rozpočet-vyplnit'!J478</f>
        <v>0</v>
      </c>
      <c r="K478" s="55">
        <f>G478*J478</f>
        <v>0</v>
      </c>
      <c r="L478" s="57" t="s">
        <v>124</v>
      </c>
      <c r="Z478" s="55">
        <f>IF(AQ478="5",BJ478,0)</f>
        <v>0</v>
      </c>
      <c r="AB478" s="55">
        <f>IF(AQ478="1",BH478,0)</f>
        <v>0</v>
      </c>
      <c r="AC478" s="55">
        <f>IF(AQ478="1",BI478,0)</f>
        <v>0</v>
      </c>
      <c r="AD478" s="55">
        <f>IF(AQ478="7",BH478,0)</f>
        <v>0</v>
      </c>
      <c r="AE478" s="55">
        <f>IF(AQ478="7",BI478,0)</f>
        <v>0</v>
      </c>
      <c r="AF478" s="55">
        <f>IF(AQ478="2",BH478,0)</f>
        <v>0</v>
      </c>
      <c r="AG478" s="55">
        <f>IF(AQ478="2",BI478,0)</f>
        <v>0</v>
      </c>
      <c r="AH478" s="55">
        <f>IF(AQ478="0",BJ478,0)</f>
        <v>0</v>
      </c>
      <c r="AI478" s="34" t="s">
        <v>116</v>
      </c>
      <c r="AJ478" s="55">
        <f>IF(AN478=0,I478,0)</f>
        <v>0</v>
      </c>
      <c r="AK478" s="55">
        <f>IF(AN478=12,I478,0)</f>
        <v>0</v>
      </c>
      <c r="AL478" s="55">
        <f>IF(AN478=21,I478,0)</f>
        <v>0</v>
      </c>
      <c r="AN478" s="55">
        <v>21</v>
      </c>
      <c r="AO478" s="55">
        <f>H478*0.217391304</f>
        <v>0</v>
      </c>
      <c r="AP478" s="55">
        <f>H478*(1-0.217391304)</f>
        <v>0</v>
      </c>
      <c r="AQ478" s="58" t="s">
        <v>120</v>
      </c>
      <c r="AV478" s="55">
        <f>AW478+AX478</f>
        <v>0</v>
      </c>
      <c r="AW478" s="55">
        <f>G478*AO478</f>
        <v>0</v>
      </c>
      <c r="AX478" s="55">
        <f>G478*AP478</f>
        <v>0</v>
      </c>
      <c r="AY478" s="58" t="s">
        <v>961</v>
      </c>
      <c r="AZ478" s="58" t="s">
        <v>947</v>
      </c>
      <c r="BA478" s="34" t="s">
        <v>128</v>
      </c>
      <c r="BB478" s="67">
        <v>100039</v>
      </c>
      <c r="BC478" s="55">
        <f>AW478+AX478</f>
        <v>0</v>
      </c>
      <c r="BD478" s="55">
        <f>H478/(100-BE478)*100</f>
        <v>0</v>
      </c>
      <c r="BE478" s="55">
        <v>0</v>
      </c>
      <c r="BF478" s="55">
        <f>K478</f>
        <v>0</v>
      </c>
      <c r="BH478" s="55">
        <f>G478*AO478</f>
        <v>0</v>
      </c>
      <c r="BI478" s="55">
        <f>G478*AP478</f>
        <v>0</v>
      </c>
      <c r="BJ478" s="55">
        <f>G478*H478</f>
        <v>0</v>
      </c>
      <c r="BK478" s="55"/>
      <c r="BL478" s="55">
        <v>62</v>
      </c>
      <c r="BW478" s="55">
        <v>21</v>
      </c>
    </row>
    <row r="479" spans="1:12" ht="13.5" customHeight="1">
      <c r="A479" s="59"/>
      <c r="D479" s="218" t="s">
        <v>788</v>
      </c>
      <c r="E479" s="219"/>
      <c r="F479" s="219"/>
      <c r="G479" s="219"/>
      <c r="H479" s="219"/>
      <c r="I479" s="219"/>
      <c r="J479" s="219"/>
      <c r="K479" s="219"/>
      <c r="L479" s="221"/>
    </row>
    <row r="480" spans="1:12" ht="14.4">
      <c r="A480" s="59"/>
      <c r="D480" s="60" t="s">
        <v>120</v>
      </c>
      <c r="E480" s="60" t="s">
        <v>4</v>
      </c>
      <c r="G480" s="68">
        <v>1</v>
      </c>
      <c r="L480" s="69"/>
    </row>
    <row r="481" spans="1:47" ht="14.4">
      <c r="A481" s="50" t="s">
        <v>4</v>
      </c>
      <c r="B481" s="51" t="s">
        <v>116</v>
      </c>
      <c r="C481" s="51" t="s">
        <v>319</v>
      </c>
      <c r="D481" s="222" t="s">
        <v>994</v>
      </c>
      <c r="E481" s="223"/>
      <c r="F481" s="52" t="s">
        <v>79</v>
      </c>
      <c r="G481" s="52" t="s">
        <v>79</v>
      </c>
      <c r="H481" s="52" t="s">
        <v>79</v>
      </c>
      <c r="I481" s="27">
        <f>SUM(I482:I497)</f>
        <v>0</v>
      </c>
      <c r="J481" s="34" t="s">
        <v>4</v>
      </c>
      <c r="K481" s="27">
        <f>SUM(K482:K497)</f>
        <v>16.455831500000002</v>
      </c>
      <c r="L481" s="54" t="s">
        <v>4</v>
      </c>
      <c r="AI481" s="34" t="s">
        <v>116</v>
      </c>
      <c r="AS481" s="27">
        <f>SUM(AJ482:AJ497)</f>
        <v>0</v>
      </c>
      <c r="AT481" s="27">
        <f>SUM(AK482:AK497)</f>
        <v>0</v>
      </c>
      <c r="AU481" s="27">
        <f>SUM(AL482:AL497)</f>
        <v>0</v>
      </c>
    </row>
    <row r="482" spans="1:75" ht="13.5" customHeight="1">
      <c r="A482" s="1" t="s">
        <v>995</v>
      </c>
      <c r="B482" s="2" t="s">
        <v>116</v>
      </c>
      <c r="C482" s="2" t="s">
        <v>996</v>
      </c>
      <c r="D482" s="147" t="s">
        <v>997</v>
      </c>
      <c r="E482" s="148"/>
      <c r="F482" s="2" t="s">
        <v>729</v>
      </c>
      <c r="G482" s="55">
        <f>'Stavební rozpočet-vyplnit'!G482</f>
        <v>52.9</v>
      </c>
      <c r="H482" s="55">
        <f>'Stavební rozpočet-vyplnit'!H482</f>
        <v>0</v>
      </c>
      <c r="I482" s="55">
        <f>G482*H482</f>
        <v>0</v>
      </c>
      <c r="J482" s="55">
        <f>'Stavební rozpočet-vyplnit'!J482</f>
        <v>0.02427</v>
      </c>
      <c r="K482" s="55">
        <f>G482*J482</f>
        <v>1.2838829999999999</v>
      </c>
      <c r="L482" s="57" t="s">
        <v>785</v>
      </c>
      <c r="Z482" s="55">
        <f>IF(AQ482="5",BJ482,0)</f>
        <v>0</v>
      </c>
      <c r="AB482" s="55">
        <f>IF(AQ482="1",BH482,0)</f>
        <v>0</v>
      </c>
      <c r="AC482" s="55">
        <f>IF(AQ482="1",BI482,0)</f>
        <v>0</v>
      </c>
      <c r="AD482" s="55">
        <f>IF(AQ482="7",BH482,0)</f>
        <v>0</v>
      </c>
      <c r="AE482" s="55">
        <f>IF(AQ482="7",BI482,0)</f>
        <v>0</v>
      </c>
      <c r="AF482" s="55">
        <f>IF(AQ482="2",BH482,0)</f>
        <v>0</v>
      </c>
      <c r="AG482" s="55">
        <f>IF(AQ482="2",BI482,0)</f>
        <v>0</v>
      </c>
      <c r="AH482" s="55">
        <f>IF(AQ482="0",BJ482,0)</f>
        <v>0</v>
      </c>
      <c r="AI482" s="34" t="s">
        <v>116</v>
      </c>
      <c r="AJ482" s="55">
        <f>IF(AN482=0,I482,0)</f>
        <v>0</v>
      </c>
      <c r="AK482" s="55">
        <f>IF(AN482=12,I482,0)</f>
        <v>0</v>
      </c>
      <c r="AL482" s="55">
        <f>IF(AN482=21,I482,0)</f>
        <v>0</v>
      </c>
      <c r="AN482" s="55">
        <v>21</v>
      </c>
      <c r="AO482" s="55">
        <f>H482*0.793121175</f>
        <v>0</v>
      </c>
      <c r="AP482" s="55">
        <f>H482*(1-0.793121175)</f>
        <v>0</v>
      </c>
      <c r="AQ482" s="58" t="s">
        <v>120</v>
      </c>
      <c r="AV482" s="55">
        <f>AW482+AX482</f>
        <v>0</v>
      </c>
      <c r="AW482" s="55">
        <f>G482*AO482</f>
        <v>0</v>
      </c>
      <c r="AX482" s="55">
        <f>G482*AP482</f>
        <v>0</v>
      </c>
      <c r="AY482" s="58" t="s">
        <v>998</v>
      </c>
      <c r="AZ482" s="58" t="s">
        <v>947</v>
      </c>
      <c r="BA482" s="34" t="s">
        <v>128</v>
      </c>
      <c r="BB482" s="67">
        <v>100004</v>
      </c>
      <c r="BC482" s="55">
        <f>AW482+AX482</f>
        <v>0</v>
      </c>
      <c r="BD482" s="55">
        <f>H482/(100-BE482)*100</f>
        <v>0</v>
      </c>
      <c r="BE482" s="55">
        <v>0</v>
      </c>
      <c r="BF482" s="55">
        <f>K482</f>
        <v>1.2838829999999999</v>
      </c>
      <c r="BH482" s="55">
        <f>G482*AO482</f>
        <v>0</v>
      </c>
      <c r="BI482" s="55">
        <f>G482*AP482</f>
        <v>0</v>
      </c>
      <c r="BJ482" s="55">
        <f>G482*H482</f>
        <v>0</v>
      </c>
      <c r="BK482" s="55"/>
      <c r="BL482" s="55">
        <v>63</v>
      </c>
      <c r="BW482" s="55">
        <v>21</v>
      </c>
    </row>
    <row r="483" spans="1:12" ht="14.4">
      <c r="A483" s="59"/>
      <c r="D483" s="60" t="s">
        <v>999</v>
      </c>
      <c r="E483" s="60" t="s">
        <v>4</v>
      </c>
      <c r="G483" s="68">
        <v>52.9</v>
      </c>
      <c r="L483" s="69"/>
    </row>
    <row r="484" spans="1:75" ht="13.5" customHeight="1">
      <c r="A484" s="1" t="s">
        <v>1000</v>
      </c>
      <c r="B484" s="2" t="s">
        <v>116</v>
      </c>
      <c r="C484" s="2" t="s">
        <v>1001</v>
      </c>
      <c r="D484" s="147" t="s">
        <v>1002</v>
      </c>
      <c r="E484" s="148"/>
      <c r="F484" s="2" t="s">
        <v>729</v>
      </c>
      <c r="G484" s="55">
        <f>'Stavební rozpočet-vyplnit'!G484</f>
        <v>255.8</v>
      </c>
      <c r="H484" s="55">
        <f>'Stavební rozpočet-vyplnit'!H484</f>
        <v>0</v>
      </c>
      <c r="I484" s="55">
        <f>G484*H484</f>
        <v>0</v>
      </c>
      <c r="J484" s="55">
        <f>'Stavební rozpočet-vyplnit'!J484</f>
        <v>0.03162</v>
      </c>
      <c r="K484" s="55">
        <f>G484*J484</f>
        <v>8.088396000000001</v>
      </c>
      <c r="L484" s="57" t="s">
        <v>785</v>
      </c>
      <c r="Z484" s="55">
        <f>IF(AQ484="5",BJ484,0)</f>
        <v>0</v>
      </c>
      <c r="AB484" s="55">
        <f>IF(AQ484="1",BH484,0)</f>
        <v>0</v>
      </c>
      <c r="AC484" s="55">
        <f>IF(AQ484="1",BI484,0)</f>
        <v>0</v>
      </c>
      <c r="AD484" s="55">
        <f>IF(AQ484="7",BH484,0)</f>
        <v>0</v>
      </c>
      <c r="AE484" s="55">
        <f>IF(AQ484="7",BI484,0)</f>
        <v>0</v>
      </c>
      <c r="AF484" s="55">
        <f>IF(AQ484="2",BH484,0)</f>
        <v>0</v>
      </c>
      <c r="AG484" s="55">
        <f>IF(AQ484="2",BI484,0)</f>
        <v>0</v>
      </c>
      <c r="AH484" s="55">
        <f>IF(AQ484="0",BJ484,0)</f>
        <v>0</v>
      </c>
      <c r="AI484" s="34" t="s">
        <v>116</v>
      </c>
      <c r="AJ484" s="55">
        <f>IF(AN484=0,I484,0)</f>
        <v>0</v>
      </c>
      <c r="AK484" s="55">
        <f>IF(AN484=12,I484,0)</f>
        <v>0</v>
      </c>
      <c r="AL484" s="55">
        <f>IF(AN484=21,I484,0)</f>
        <v>0</v>
      </c>
      <c r="AN484" s="55">
        <v>21</v>
      </c>
      <c r="AO484" s="55">
        <f>H484*0.819423077</f>
        <v>0</v>
      </c>
      <c r="AP484" s="55">
        <f>H484*(1-0.819423077)</f>
        <v>0</v>
      </c>
      <c r="AQ484" s="58" t="s">
        <v>120</v>
      </c>
      <c r="AV484" s="55">
        <f>AW484+AX484</f>
        <v>0</v>
      </c>
      <c r="AW484" s="55">
        <f>G484*AO484</f>
        <v>0</v>
      </c>
      <c r="AX484" s="55">
        <f>G484*AP484</f>
        <v>0</v>
      </c>
      <c r="AY484" s="58" t="s">
        <v>998</v>
      </c>
      <c r="AZ484" s="58" t="s">
        <v>947</v>
      </c>
      <c r="BA484" s="34" t="s">
        <v>128</v>
      </c>
      <c r="BB484" s="67">
        <v>100004</v>
      </c>
      <c r="BC484" s="55">
        <f>AW484+AX484</f>
        <v>0</v>
      </c>
      <c r="BD484" s="55">
        <f>H484/(100-BE484)*100</f>
        <v>0</v>
      </c>
      <c r="BE484" s="55">
        <v>0</v>
      </c>
      <c r="BF484" s="55">
        <f>K484</f>
        <v>8.088396000000001</v>
      </c>
      <c r="BH484" s="55">
        <f>G484*AO484</f>
        <v>0</v>
      </c>
      <c r="BI484" s="55">
        <f>G484*AP484</f>
        <v>0</v>
      </c>
      <c r="BJ484" s="55">
        <f>G484*H484</f>
        <v>0</v>
      </c>
      <c r="BK484" s="55"/>
      <c r="BL484" s="55">
        <v>63</v>
      </c>
      <c r="BW484" s="55">
        <v>21</v>
      </c>
    </row>
    <row r="485" spans="1:12" ht="14.4">
      <c r="A485" s="59"/>
      <c r="D485" s="60" t="s">
        <v>1003</v>
      </c>
      <c r="E485" s="60" t="s">
        <v>4</v>
      </c>
      <c r="G485" s="68">
        <v>255.8</v>
      </c>
      <c r="L485" s="69"/>
    </row>
    <row r="486" spans="1:75" ht="13.5" customHeight="1">
      <c r="A486" s="1" t="s">
        <v>1004</v>
      </c>
      <c r="B486" s="2" t="s">
        <v>116</v>
      </c>
      <c r="C486" s="2" t="s">
        <v>1005</v>
      </c>
      <c r="D486" s="147" t="s">
        <v>1006</v>
      </c>
      <c r="E486" s="148"/>
      <c r="F486" s="2" t="s">
        <v>729</v>
      </c>
      <c r="G486" s="55">
        <f>'Stavební rozpočet-vyplnit'!G486</f>
        <v>18.5</v>
      </c>
      <c r="H486" s="55">
        <f>'Stavební rozpočet-vyplnit'!H486</f>
        <v>0</v>
      </c>
      <c r="I486" s="55">
        <f>G486*H486</f>
        <v>0</v>
      </c>
      <c r="J486" s="55">
        <f>'Stavební rozpočet-vyplnit'!J486</f>
        <v>0.00714</v>
      </c>
      <c r="K486" s="55">
        <f>G486*J486</f>
        <v>0.13208999999999999</v>
      </c>
      <c r="L486" s="57" t="s">
        <v>785</v>
      </c>
      <c r="Z486" s="55">
        <f>IF(AQ486="5",BJ486,0)</f>
        <v>0</v>
      </c>
      <c r="AB486" s="55">
        <f>IF(AQ486="1",BH486,0)</f>
        <v>0</v>
      </c>
      <c r="AC486" s="55">
        <f>IF(AQ486="1",BI486,0)</f>
        <v>0</v>
      </c>
      <c r="AD486" s="55">
        <f>IF(AQ486="7",BH486,0)</f>
        <v>0</v>
      </c>
      <c r="AE486" s="55">
        <f>IF(AQ486="7",BI486,0)</f>
        <v>0</v>
      </c>
      <c r="AF486" s="55">
        <f>IF(AQ486="2",BH486,0)</f>
        <v>0</v>
      </c>
      <c r="AG486" s="55">
        <f>IF(AQ486="2",BI486,0)</f>
        <v>0</v>
      </c>
      <c r="AH486" s="55">
        <f>IF(AQ486="0",BJ486,0)</f>
        <v>0</v>
      </c>
      <c r="AI486" s="34" t="s">
        <v>116</v>
      </c>
      <c r="AJ486" s="55">
        <f>IF(AN486=0,I486,0)</f>
        <v>0</v>
      </c>
      <c r="AK486" s="55">
        <f>IF(AN486=12,I486,0)</f>
        <v>0</v>
      </c>
      <c r="AL486" s="55">
        <f>IF(AN486=21,I486,0)</f>
        <v>0</v>
      </c>
      <c r="AN486" s="55">
        <v>21</v>
      </c>
      <c r="AO486" s="55">
        <f>H486*0.665367647</f>
        <v>0</v>
      </c>
      <c r="AP486" s="55">
        <f>H486*(1-0.665367647)</f>
        <v>0</v>
      </c>
      <c r="AQ486" s="58" t="s">
        <v>120</v>
      </c>
      <c r="AV486" s="55">
        <f>AW486+AX486</f>
        <v>0</v>
      </c>
      <c r="AW486" s="55">
        <f>G486*AO486</f>
        <v>0</v>
      </c>
      <c r="AX486" s="55">
        <f>G486*AP486</f>
        <v>0</v>
      </c>
      <c r="AY486" s="58" t="s">
        <v>998</v>
      </c>
      <c r="AZ486" s="58" t="s">
        <v>947</v>
      </c>
      <c r="BA486" s="34" t="s">
        <v>128</v>
      </c>
      <c r="BB486" s="67">
        <v>100004</v>
      </c>
      <c r="BC486" s="55">
        <f>AW486+AX486</f>
        <v>0</v>
      </c>
      <c r="BD486" s="55">
        <f>H486/(100-BE486)*100</f>
        <v>0</v>
      </c>
      <c r="BE486" s="55">
        <v>0</v>
      </c>
      <c r="BF486" s="55">
        <f>K486</f>
        <v>0.13208999999999999</v>
      </c>
      <c r="BH486" s="55">
        <f>G486*AO486</f>
        <v>0</v>
      </c>
      <c r="BI486" s="55">
        <f>G486*AP486</f>
        <v>0</v>
      </c>
      <c r="BJ486" s="55">
        <f>G486*H486</f>
        <v>0</v>
      </c>
      <c r="BK486" s="55"/>
      <c r="BL486" s="55">
        <v>63</v>
      </c>
      <c r="BW486" s="55">
        <v>21</v>
      </c>
    </row>
    <row r="487" spans="1:12" ht="13.5" customHeight="1">
      <c r="A487" s="59"/>
      <c r="D487" s="218" t="s">
        <v>1007</v>
      </c>
      <c r="E487" s="219"/>
      <c r="F487" s="219"/>
      <c r="G487" s="219"/>
      <c r="H487" s="219"/>
      <c r="I487" s="219"/>
      <c r="J487" s="219"/>
      <c r="K487" s="219"/>
      <c r="L487" s="221"/>
    </row>
    <row r="488" spans="1:12" ht="14.4">
      <c r="A488" s="59"/>
      <c r="D488" s="60" t="s">
        <v>1008</v>
      </c>
      <c r="E488" s="60" t="s">
        <v>4</v>
      </c>
      <c r="G488" s="68">
        <v>18.5</v>
      </c>
      <c r="L488" s="69"/>
    </row>
    <row r="489" spans="1:75" ht="13.5" customHeight="1">
      <c r="A489" s="1" t="s">
        <v>1009</v>
      </c>
      <c r="B489" s="2" t="s">
        <v>116</v>
      </c>
      <c r="C489" s="2" t="s">
        <v>1010</v>
      </c>
      <c r="D489" s="147" t="s">
        <v>1011</v>
      </c>
      <c r="E489" s="148"/>
      <c r="F489" s="2" t="s">
        <v>792</v>
      </c>
      <c r="G489" s="55">
        <f>'Stavební rozpočet-vyplnit'!G489</f>
        <v>0.44</v>
      </c>
      <c r="H489" s="55">
        <f>'Stavební rozpočet-vyplnit'!H489</f>
        <v>0</v>
      </c>
      <c r="I489" s="55">
        <f>G489*H489</f>
        <v>0</v>
      </c>
      <c r="J489" s="55">
        <f>'Stavební rozpočet-vyplnit'!J489</f>
        <v>2.525</v>
      </c>
      <c r="K489" s="55">
        <f>G489*J489</f>
        <v>1.111</v>
      </c>
      <c r="L489" s="57" t="s">
        <v>785</v>
      </c>
      <c r="Z489" s="55">
        <f>IF(AQ489="5",BJ489,0)</f>
        <v>0</v>
      </c>
      <c r="AB489" s="55">
        <f>IF(AQ489="1",BH489,0)</f>
        <v>0</v>
      </c>
      <c r="AC489" s="55">
        <f>IF(AQ489="1",BI489,0)</f>
        <v>0</v>
      </c>
      <c r="AD489" s="55">
        <f>IF(AQ489="7",BH489,0)</f>
        <v>0</v>
      </c>
      <c r="AE489" s="55">
        <f>IF(AQ489="7",BI489,0)</f>
        <v>0</v>
      </c>
      <c r="AF489" s="55">
        <f>IF(AQ489="2",BH489,0)</f>
        <v>0</v>
      </c>
      <c r="AG489" s="55">
        <f>IF(AQ489="2",BI489,0)</f>
        <v>0</v>
      </c>
      <c r="AH489" s="55">
        <f>IF(AQ489="0",BJ489,0)</f>
        <v>0</v>
      </c>
      <c r="AI489" s="34" t="s">
        <v>116</v>
      </c>
      <c r="AJ489" s="55">
        <f>IF(AN489=0,I489,0)</f>
        <v>0</v>
      </c>
      <c r="AK489" s="55">
        <f>IF(AN489=12,I489,0)</f>
        <v>0</v>
      </c>
      <c r="AL489" s="55">
        <f>IF(AN489=21,I489,0)</f>
        <v>0</v>
      </c>
      <c r="AN489" s="55">
        <v>21</v>
      </c>
      <c r="AO489" s="55">
        <f>H489*0.713982873</f>
        <v>0</v>
      </c>
      <c r="AP489" s="55">
        <f>H489*(1-0.713982873)</f>
        <v>0</v>
      </c>
      <c r="AQ489" s="58" t="s">
        <v>120</v>
      </c>
      <c r="AV489" s="55">
        <f>AW489+AX489</f>
        <v>0</v>
      </c>
      <c r="AW489" s="55">
        <f>G489*AO489</f>
        <v>0</v>
      </c>
      <c r="AX489" s="55">
        <f>G489*AP489</f>
        <v>0</v>
      </c>
      <c r="AY489" s="58" t="s">
        <v>998</v>
      </c>
      <c r="AZ489" s="58" t="s">
        <v>947</v>
      </c>
      <c r="BA489" s="34" t="s">
        <v>128</v>
      </c>
      <c r="BB489" s="67">
        <v>100004</v>
      </c>
      <c r="BC489" s="55">
        <f>AW489+AX489</f>
        <v>0</v>
      </c>
      <c r="BD489" s="55">
        <f>H489/(100-BE489)*100</f>
        <v>0</v>
      </c>
      <c r="BE489" s="55">
        <v>0</v>
      </c>
      <c r="BF489" s="55">
        <f>K489</f>
        <v>1.111</v>
      </c>
      <c r="BH489" s="55">
        <f>G489*AO489</f>
        <v>0</v>
      </c>
      <c r="BI489" s="55">
        <f>G489*AP489</f>
        <v>0</v>
      </c>
      <c r="BJ489" s="55">
        <f>G489*H489</f>
        <v>0</v>
      </c>
      <c r="BK489" s="55"/>
      <c r="BL489" s="55">
        <v>63</v>
      </c>
      <c r="BW489" s="55">
        <v>21</v>
      </c>
    </row>
    <row r="490" spans="1:12" ht="14.4">
      <c r="A490" s="59"/>
      <c r="D490" s="60" t="s">
        <v>1012</v>
      </c>
      <c r="E490" s="60" t="s">
        <v>4</v>
      </c>
      <c r="G490" s="68">
        <v>0.44</v>
      </c>
      <c r="L490" s="69"/>
    </row>
    <row r="491" spans="1:75" ht="13.5" customHeight="1">
      <c r="A491" s="1" t="s">
        <v>1013</v>
      </c>
      <c r="B491" s="2" t="s">
        <v>116</v>
      </c>
      <c r="C491" s="2" t="s">
        <v>1014</v>
      </c>
      <c r="D491" s="147" t="s">
        <v>1015</v>
      </c>
      <c r="E491" s="148"/>
      <c r="F491" s="2" t="s">
        <v>939</v>
      </c>
      <c r="G491" s="55">
        <f>'Stavební rozpočet-vyplnit'!G491</f>
        <v>0.01</v>
      </c>
      <c r="H491" s="55">
        <f>'Stavební rozpočet-vyplnit'!H491</f>
        <v>0</v>
      </c>
      <c r="I491" s="55">
        <f>G491*H491</f>
        <v>0</v>
      </c>
      <c r="J491" s="55">
        <f>'Stavební rozpočet-vyplnit'!J491</f>
        <v>1.06625</v>
      </c>
      <c r="K491" s="55">
        <f>G491*J491</f>
        <v>0.0106625</v>
      </c>
      <c r="L491" s="57" t="s">
        <v>785</v>
      </c>
      <c r="Z491" s="55">
        <f>IF(AQ491="5",BJ491,0)</f>
        <v>0</v>
      </c>
      <c r="AB491" s="55">
        <f>IF(AQ491="1",BH491,0)</f>
        <v>0</v>
      </c>
      <c r="AC491" s="55">
        <f>IF(AQ491="1",BI491,0)</f>
        <v>0</v>
      </c>
      <c r="AD491" s="55">
        <f>IF(AQ491="7",BH491,0)</f>
        <v>0</v>
      </c>
      <c r="AE491" s="55">
        <f>IF(AQ491="7",BI491,0)</f>
        <v>0</v>
      </c>
      <c r="AF491" s="55">
        <f>IF(AQ491="2",BH491,0)</f>
        <v>0</v>
      </c>
      <c r="AG491" s="55">
        <f>IF(AQ491="2",BI491,0)</f>
        <v>0</v>
      </c>
      <c r="AH491" s="55">
        <f>IF(AQ491="0",BJ491,0)</f>
        <v>0</v>
      </c>
      <c r="AI491" s="34" t="s">
        <v>116</v>
      </c>
      <c r="AJ491" s="55">
        <f>IF(AN491=0,I491,0)</f>
        <v>0</v>
      </c>
      <c r="AK491" s="55">
        <f>IF(AN491=12,I491,0)</f>
        <v>0</v>
      </c>
      <c r="AL491" s="55">
        <f>IF(AN491=21,I491,0)</f>
        <v>0</v>
      </c>
      <c r="AN491" s="55">
        <v>21</v>
      </c>
      <c r="AO491" s="55">
        <f>H491*0.792362396</f>
        <v>0</v>
      </c>
      <c r="AP491" s="55">
        <f>H491*(1-0.792362396)</f>
        <v>0</v>
      </c>
      <c r="AQ491" s="58" t="s">
        <v>120</v>
      </c>
      <c r="AV491" s="55">
        <f>AW491+AX491</f>
        <v>0</v>
      </c>
      <c r="AW491" s="55">
        <f>G491*AO491</f>
        <v>0</v>
      </c>
      <c r="AX491" s="55">
        <f>G491*AP491</f>
        <v>0</v>
      </c>
      <c r="AY491" s="58" t="s">
        <v>998</v>
      </c>
      <c r="AZ491" s="58" t="s">
        <v>947</v>
      </c>
      <c r="BA491" s="34" t="s">
        <v>128</v>
      </c>
      <c r="BB491" s="67">
        <v>100004</v>
      </c>
      <c r="BC491" s="55">
        <f>AW491+AX491</f>
        <v>0</v>
      </c>
      <c r="BD491" s="55">
        <f>H491/(100-BE491)*100</f>
        <v>0</v>
      </c>
      <c r="BE491" s="55">
        <v>0</v>
      </c>
      <c r="BF491" s="55">
        <f>K491</f>
        <v>0.0106625</v>
      </c>
      <c r="BH491" s="55">
        <f>G491*AO491</f>
        <v>0</v>
      </c>
      <c r="BI491" s="55">
        <f>G491*AP491</f>
        <v>0</v>
      </c>
      <c r="BJ491" s="55">
        <f>G491*H491</f>
        <v>0</v>
      </c>
      <c r="BK491" s="55"/>
      <c r="BL491" s="55">
        <v>63</v>
      </c>
      <c r="BW491" s="55">
        <v>21</v>
      </c>
    </row>
    <row r="492" spans="1:12" ht="13.5" customHeight="1">
      <c r="A492" s="59"/>
      <c r="D492" s="218" t="s">
        <v>1016</v>
      </c>
      <c r="E492" s="219"/>
      <c r="F492" s="219"/>
      <c r="G492" s="219"/>
      <c r="H492" s="219"/>
      <c r="I492" s="219"/>
      <c r="J492" s="219"/>
      <c r="K492" s="219"/>
      <c r="L492" s="221"/>
    </row>
    <row r="493" spans="1:12" ht="14.4">
      <c r="A493" s="59"/>
      <c r="D493" s="60" t="s">
        <v>1017</v>
      </c>
      <c r="E493" s="60" t="s">
        <v>4</v>
      </c>
      <c r="G493" s="68">
        <v>0.01</v>
      </c>
      <c r="L493" s="69"/>
    </row>
    <row r="494" spans="1:75" ht="13.5" customHeight="1">
      <c r="A494" s="1" t="s">
        <v>1018</v>
      </c>
      <c r="B494" s="2" t="s">
        <v>116</v>
      </c>
      <c r="C494" s="2" t="s">
        <v>1019</v>
      </c>
      <c r="D494" s="147" t="s">
        <v>1020</v>
      </c>
      <c r="E494" s="148"/>
      <c r="F494" s="2" t="s">
        <v>729</v>
      </c>
      <c r="G494" s="55">
        <f>'Stavební rozpočet-vyplnit'!G494</f>
        <v>292.7</v>
      </c>
      <c r="H494" s="55">
        <f>'Stavební rozpočet-vyplnit'!H494</f>
        <v>0</v>
      </c>
      <c r="I494" s="55">
        <f>G494*H494</f>
        <v>0</v>
      </c>
      <c r="J494" s="55">
        <f>'Stavební rozpočet-vyplnit'!J494</f>
        <v>0.01</v>
      </c>
      <c r="K494" s="55">
        <f>G494*J494</f>
        <v>2.927</v>
      </c>
      <c r="L494" s="57" t="s">
        <v>124</v>
      </c>
      <c r="Z494" s="55">
        <f>IF(AQ494="5",BJ494,0)</f>
        <v>0</v>
      </c>
      <c r="AB494" s="55">
        <f>IF(AQ494="1",BH494,0)</f>
        <v>0</v>
      </c>
      <c r="AC494" s="55">
        <f>IF(AQ494="1",BI494,0)</f>
        <v>0</v>
      </c>
      <c r="AD494" s="55">
        <f>IF(AQ494="7",BH494,0)</f>
        <v>0</v>
      </c>
      <c r="AE494" s="55">
        <f>IF(AQ494="7",BI494,0)</f>
        <v>0</v>
      </c>
      <c r="AF494" s="55">
        <f>IF(AQ494="2",BH494,0)</f>
        <v>0</v>
      </c>
      <c r="AG494" s="55">
        <f>IF(AQ494="2",BI494,0)</f>
        <v>0</v>
      </c>
      <c r="AH494" s="55">
        <f>IF(AQ494="0",BJ494,0)</f>
        <v>0</v>
      </c>
      <c r="AI494" s="34" t="s">
        <v>116</v>
      </c>
      <c r="AJ494" s="55">
        <f>IF(AN494=0,I494,0)</f>
        <v>0</v>
      </c>
      <c r="AK494" s="55">
        <f>IF(AN494=12,I494,0)</f>
        <v>0</v>
      </c>
      <c r="AL494" s="55">
        <f>IF(AN494=21,I494,0)</f>
        <v>0</v>
      </c>
      <c r="AN494" s="55">
        <v>21</v>
      </c>
      <c r="AO494" s="55">
        <f>H494*0.912715539</f>
        <v>0</v>
      </c>
      <c r="AP494" s="55">
        <f>H494*(1-0.912715539)</f>
        <v>0</v>
      </c>
      <c r="AQ494" s="58" t="s">
        <v>120</v>
      </c>
      <c r="AV494" s="55">
        <f>AW494+AX494</f>
        <v>0</v>
      </c>
      <c r="AW494" s="55">
        <f>G494*AO494</f>
        <v>0</v>
      </c>
      <c r="AX494" s="55">
        <f>G494*AP494</f>
        <v>0</v>
      </c>
      <c r="AY494" s="58" t="s">
        <v>998</v>
      </c>
      <c r="AZ494" s="58" t="s">
        <v>947</v>
      </c>
      <c r="BA494" s="34" t="s">
        <v>128</v>
      </c>
      <c r="BB494" s="67">
        <v>100004</v>
      </c>
      <c r="BC494" s="55">
        <f>AW494+AX494</f>
        <v>0</v>
      </c>
      <c r="BD494" s="55">
        <f>H494/(100-BE494)*100</f>
        <v>0</v>
      </c>
      <c r="BE494" s="55">
        <v>0</v>
      </c>
      <c r="BF494" s="55">
        <f>K494</f>
        <v>2.927</v>
      </c>
      <c r="BH494" s="55">
        <f>G494*AO494</f>
        <v>0</v>
      </c>
      <c r="BI494" s="55">
        <f>G494*AP494</f>
        <v>0</v>
      </c>
      <c r="BJ494" s="55">
        <f>G494*H494</f>
        <v>0</v>
      </c>
      <c r="BK494" s="55"/>
      <c r="BL494" s="55">
        <v>63</v>
      </c>
      <c r="BW494" s="55">
        <v>21</v>
      </c>
    </row>
    <row r="495" spans="1:12" ht="13.5" customHeight="1">
      <c r="A495" s="59"/>
      <c r="D495" s="218" t="s">
        <v>1021</v>
      </c>
      <c r="E495" s="219"/>
      <c r="F495" s="219"/>
      <c r="G495" s="219"/>
      <c r="H495" s="219"/>
      <c r="I495" s="219"/>
      <c r="J495" s="219"/>
      <c r="K495" s="219"/>
      <c r="L495" s="221"/>
    </row>
    <row r="496" spans="1:12" ht="14.4">
      <c r="A496" s="59"/>
      <c r="D496" s="60" t="s">
        <v>1022</v>
      </c>
      <c r="E496" s="60" t="s">
        <v>816</v>
      </c>
      <c r="G496" s="68">
        <v>292.7</v>
      </c>
      <c r="L496" s="69"/>
    </row>
    <row r="497" spans="1:75" ht="13.5" customHeight="1">
      <c r="A497" s="1" t="s">
        <v>1023</v>
      </c>
      <c r="B497" s="2" t="s">
        <v>116</v>
      </c>
      <c r="C497" s="2" t="s">
        <v>1024</v>
      </c>
      <c r="D497" s="147" t="s">
        <v>1025</v>
      </c>
      <c r="E497" s="148"/>
      <c r="F497" s="2" t="s">
        <v>729</v>
      </c>
      <c r="G497" s="55">
        <f>'Stavební rozpočet-vyplnit'!G497</f>
        <v>30.75</v>
      </c>
      <c r="H497" s="55">
        <f>'Stavební rozpočet-vyplnit'!H497</f>
        <v>0</v>
      </c>
      <c r="I497" s="55">
        <f>G497*H497</f>
        <v>0</v>
      </c>
      <c r="J497" s="55">
        <f>'Stavební rozpočet-vyplnit'!J497</f>
        <v>0.0944</v>
      </c>
      <c r="K497" s="55">
        <f>G497*J497</f>
        <v>2.9028</v>
      </c>
      <c r="L497" s="57" t="s">
        <v>785</v>
      </c>
      <c r="Z497" s="55">
        <f>IF(AQ497="5",BJ497,0)</f>
        <v>0</v>
      </c>
      <c r="AB497" s="55">
        <f>IF(AQ497="1",BH497,0)</f>
        <v>0</v>
      </c>
      <c r="AC497" s="55">
        <f>IF(AQ497="1",BI497,0)</f>
        <v>0</v>
      </c>
      <c r="AD497" s="55">
        <f>IF(AQ497="7",BH497,0)</f>
        <v>0</v>
      </c>
      <c r="AE497" s="55">
        <f>IF(AQ497="7",BI497,0)</f>
        <v>0</v>
      </c>
      <c r="AF497" s="55">
        <f>IF(AQ497="2",BH497,0)</f>
        <v>0</v>
      </c>
      <c r="AG497" s="55">
        <f>IF(AQ497="2",BI497,0)</f>
        <v>0</v>
      </c>
      <c r="AH497" s="55">
        <f>IF(AQ497="0",BJ497,0)</f>
        <v>0</v>
      </c>
      <c r="AI497" s="34" t="s">
        <v>116</v>
      </c>
      <c r="AJ497" s="55">
        <f>IF(AN497=0,I497,0)</f>
        <v>0</v>
      </c>
      <c r="AK497" s="55">
        <f>IF(AN497=12,I497,0)</f>
        <v>0</v>
      </c>
      <c r="AL497" s="55">
        <f>IF(AN497=21,I497,0)</f>
        <v>0</v>
      </c>
      <c r="AN497" s="55">
        <v>21</v>
      </c>
      <c r="AO497" s="55">
        <f>H497*0.385668674</f>
        <v>0</v>
      </c>
      <c r="AP497" s="55">
        <f>H497*(1-0.385668674)</f>
        <v>0</v>
      </c>
      <c r="AQ497" s="58" t="s">
        <v>120</v>
      </c>
      <c r="AV497" s="55">
        <f>AW497+AX497</f>
        <v>0</v>
      </c>
      <c r="AW497" s="55">
        <f>G497*AO497</f>
        <v>0</v>
      </c>
      <c r="AX497" s="55">
        <f>G497*AP497</f>
        <v>0</v>
      </c>
      <c r="AY497" s="58" t="s">
        <v>998</v>
      </c>
      <c r="AZ497" s="58" t="s">
        <v>947</v>
      </c>
      <c r="BA497" s="34" t="s">
        <v>128</v>
      </c>
      <c r="BB497" s="67">
        <v>100004</v>
      </c>
      <c r="BC497" s="55">
        <f>AW497+AX497</f>
        <v>0</v>
      </c>
      <c r="BD497" s="55">
        <f>H497/(100-BE497)*100</f>
        <v>0</v>
      </c>
      <c r="BE497" s="55">
        <v>0</v>
      </c>
      <c r="BF497" s="55">
        <f>K497</f>
        <v>2.9028</v>
      </c>
      <c r="BH497" s="55">
        <f>G497*AO497</f>
        <v>0</v>
      </c>
      <c r="BI497" s="55">
        <f>G497*AP497</f>
        <v>0</v>
      </c>
      <c r="BJ497" s="55">
        <f>G497*H497</f>
        <v>0</v>
      </c>
      <c r="BK497" s="55"/>
      <c r="BL497" s="55">
        <v>63</v>
      </c>
      <c r="BW497" s="55">
        <v>21</v>
      </c>
    </row>
    <row r="498" spans="1:12" ht="13.5" customHeight="1">
      <c r="A498" s="59"/>
      <c r="D498" s="218" t="s">
        <v>1026</v>
      </c>
      <c r="E498" s="219"/>
      <c r="F498" s="219"/>
      <c r="G498" s="219"/>
      <c r="H498" s="219"/>
      <c r="I498" s="219"/>
      <c r="J498" s="219"/>
      <c r="K498" s="219"/>
      <c r="L498" s="221"/>
    </row>
    <row r="499" spans="1:12" ht="14.4">
      <c r="A499" s="59"/>
      <c r="D499" s="60" t="s">
        <v>1027</v>
      </c>
      <c r="E499" s="60" t="s">
        <v>1028</v>
      </c>
      <c r="G499" s="68">
        <v>30.75</v>
      </c>
      <c r="L499" s="69"/>
    </row>
    <row r="500" spans="1:47" ht="14.4">
      <c r="A500" s="50" t="s">
        <v>4</v>
      </c>
      <c r="B500" s="51" t="s">
        <v>116</v>
      </c>
      <c r="C500" s="51" t="s">
        <v>322</v>
      </c>
      <c r="D500" s="222" t="s">
        <v>1029</v>
      </c>
      <c r="E500" s="223"/>
      <c r="F500" s="52" t="s">
        <v>79</v>
      </c>
      <c r="G500" s="52" t="s">
        <v>79</v>
      </c>
      <c r="H500" s="52" t="s">
        <v>79</v>
      </c>
      <c r="I500" s="27">
        <f>SUM(I501:I518)</f>
        <v>0</v>
      </c>
      <c r="J500" s="34" t="s">
        <v>4</v>
      </c>
      <c r="K500" s="27">
        <f>SUM(K501:K518)</f>
        <v>0.49733000000000005</v>
      </c>
      <c r="L500" s="54" t="s">
        <v>4</v>
      </c>
      <c r="AI500" s="34" t="s">
        <v>116</v>
      </c>
      <c r="AS500" s="27">
        <f>SUM(AJ501:AJ518)</f>
        <v>0</v>
      </c>
      <c r="AT500" s="27">
        <f>SUM(AK501:AK518)</f>
        <v>0</v>
      </c>
      <c r="AU500" s="27">
        <f>SUM(AL501:AL518)</f>
        <v>0</v>
      </c>
    </row>
    <row r="501" spans="1:75" ht="13.5" customHeight="1">
      <c r="A501" s="1" t="s">
        <v>1030</v>
      </c>
      <c r="B501" s="2" t="s">
        <v>116</v>
      </c>
      <c r="C501" s="2" t="s">
        <v>1031</v>
      </c>
      <c r="D501" s="147" t="s">
        <v>1032</v>
      </c>
      <c r="E501" s="148"/>
      <c r="F501" s="2" t="s">
        <v>374</v>
      </c>
      <c r="G501" s="55">
        <f>'Stavební rozpočet-vyplnit'!G501</f>
        <v>9</v>
      </c>
      <c r="H501" s="55">
        <f>'Stavební rozpočet-vyplnit'!H501</f>
        <v>0</v>
      </c>
      <c r="I501" s="55">
        <f>G501*H501</f>
        <v>0</v>
      </c>
      <c r="J501" s="55">
        <f>'Stavební rozpočet-vyplnit'!J501</f>
        <v>0</v>
      </c>
      <c r="K501" s="55">
        <f>G501*J501</f>
        <v>0</v>
      </c>
      <c r="L501" s="57" t="s">
        <v>785</v>
      </c>
      <c r="Z501" s="55">
        <f>IF(AQ501="5",BJ501,0)</f>
        <v>0</v>
      </c>
      <c r="AB501" s="55">
        <f>IF(AQ501="1",BH501,0)</f>
        <v>0</v>
      </c>
      <c r="AC501" s="55">
        <f>IF(AQ501="1",BI501,0)</f>
        <v>0</v>
      </c>
      <c r="AD501" s="55">
        <f>IF(AQ501="7",BH501,0)</f>
        <v>0</v>
      </c>
      <c r="AE501" s="55">
        <f>IF(AQ501="7",BI501,0)</f>
        <v>0</v>
      </c>
      <c r="AF501" s="55">
        <f>IF(AQ501="2",BH501,0)</f>
        <v>0</v>
      </c>
      <c r="AG501" s="55">
        <f>IF(AQ501="2",BI501,0)</f>
        <v>0</v>
      </c>
      <c r="AH501" s="55">
        <f>IF(AQ501="0",BJ501,0)</f>
        <v>0</v>
      </c>
      <c r="AI501" s="34" t="s">
        <v>116</v>
      </c>
      <c r="AJ501" s="55">
        <f>IF(AN501=0,I501,0)</f>
        <v>0</v>
      </c>
      <c r="AK501" s="55">
        <f>IF(AN501=12,I501,0)</f>
        <v>0</v>
      </c>
      <c r="AL501" s="55">
        <f>IF(AN501=21,I501,0)</f>
        <v>0</v>
      </c>
      <c r="AN501" s="55">
        <v>21</v>
      </c>
      <c r="AO501" s="55">
        <f>H501*0</f>
        <v>0</v>
      </c>
      <c r="AP501" s="55">
        <f>H501*(1-0)</f>
        <v>0</v>
      </c>
      <c r="AQ501" s="58" t="s">
        <v>120</v>
      </c>
      <c r="AV501" s="55">
        <f>AW501+AX501</f>
        <v>0</v>
      </c>
      <c r="AW501" s="55">
        <f>G501*AO501</f>
        <v>0</v>
      </c>
      <c r="AX501" s="55">
        <f>G501*AP501</f>
        <v>0</v>
      </c>
      <c r="AY501" s="58" t="s">
        <v>1033</v>
      </c>
      <c r="AZ501" s="58" t="s">
        <v>947</v>
      </c>
      <c r="BA501" s="34" t="s">
        <v>128</v>
      </c>
      <c r="BB501" s="67">
        <v>100003</v>
      </c>
      <c r="BC501" s="55">
        <f>AW501+AX501</f>
        <v>0</v>
      </c>
      <c r="BD501" s="55">
        <f>H501/(100-BE501)*100</f>
        <v>0</v>
      </c>
      <c r="BE501" s="55">
        <v>0</v>
      </c>
      <c r="BF501" s="55">
        <f>K501</f>
        <v>0</v>
      </c>
      <c r="BH501" s="55">
        <f>G501*AO501</f>
        <v>0</v>
      </c>
      <c r="BI501" s="55">
        <f>G501*AP501</f>
        <v>0</v>
      </c>
      <c r="BJ501" s="55">
        <f>G501*H501</f>
        <v>0</v>
      </c>
      <c r="BK501" s="55"/>
      <c r="BL501" s="55">
        <v>64</v>
      </c>
      <c r="BW501" s="55">
        <v>21</v>
      </c>
    </row>
    <row r="502" spans="1:12" ht="14.4">
      <c r="A502" s="59"/>
      <c r="D502" s="60" t="s">
        <v>1034</v>
      </c>
      <c r="E502" s="60" t="s">
        <v>4</v>
      </c>
      <c r="G502" s="68">
        <v>9</v>
      </c>
      <c r="L502" s="69"/>
    </row>
    <row r="503" spans="1:75" ht="13.5" customHeight="1">
      <c r="A503" s="61" t="s">
        <v>1035</v>
      </c>
      <c r="B503" s="62" t="s">
        <v>116</v>
      </c>
      <c r="C503" s="62" t="s">
        <v>1036</v>
      </c>
      <c r="D503" s="224" t="s">
        <v>1037</v>
      </c>
      <c r="E503" s="225"/>
      <c r="F503" s="62" t="s">
        <v>374</v>
      </c>
      <c r="G503" s="63">
        <f>'Stavební rozpočet-vyplnit'!G503</f>
        <v>7</v>
      </c>
      <c r="H503" s="63">
        <f>'Stavební rozpočet-vyplnit'!H503</f>
        <v>0</v>
      </c>
      <c r="I503" s="63">
        <f>G503*H503</f>
        <v>0</v>
      </c>
      <c r="J503" s="63">
        <f>'Stavební rozpočet-vyplnit'!J503</f>
        <v>0.0235</v>
      </c>
      <c r="K503" s="63">
        <f>G503*J503</f>
        <v>0.1645</v>
      </c>
      <c r="L503" s="65" t="s">
        <v>785</v>
      </c>
      <c r="Z503" s="55">
        <f>IF(AQ503="5",BJ503,0)</f>
        <v>0</v>
      </c>
      <c r="AB503" s="55">
        <f>IF(AQ503="1",BH503,0)</f>
        <v>0</v>
      </c>
      <c r="AC503" s="55">
        <f>IF(AQ503="1",BI503,0)</f>
        <v>0</v>
      </c>
      <c r="AD503" s="55">
        <f>IF(AQ503="7",BH503,0)</f>
        <v>0</v>
      </c>
      <c r="AE503" s="55">
        <f>IF(AQ503="7",BI503,0)</f>
        <v>0</v>
      </c>
      <c r="AF503" s="55">
        <f>IF(AQ503="2",BH503,0)</f>
        <v>0</v>
      </c>
      <c r="AG503" s="55">
        <f>IF(AQ503="2",BI503,0)</f>
        <v>0</v>
      </c>
      <c r="AH503" s="55">
        <f>IF(AQ503="0",BJ503,0)</f>
        <v>0</v>
      </c>
      <c r="AI503" s="34" t="s">
        <v>116</v>
      </c>
      <c r="AJ503" s="63">
        <f>IF(AN503=0,I503,0)</f>
        <v>0</v>
      </c>
      <c r="AK503" s="63">
        <f>IF(AN503=12,I503,0)</f>
        <v>0</v>
      </c>
      <c r="AL503" s="63">
        <f>IF(AN503=21,I503,0)</f>
        <v>0</v>
      </c>
      <c r="AN503" s="55">
        <v>21</v>
      </c>
      <c r="AO503" s="55">
        <f>H503*1</f>
        <v>0</v>
      </c>
      <c r="AP503" s="55">
        <f>H503*(1-1)</f>
        <v>0</v>
      </c>
      <c r="AQ503" s="66" t="s">
        <v>120</v>
      </c>
      <c r="AV503" s="55">
        <f>AW503+AX503</f>
        <v>0</v>
      </c>
      <c r="AW503" s="55">
        <f>G503*AO503</f>
        <v>0</v>
      </c>
      <c r="AX503" s="55">
        <f>G503*AP503</f>
        <v>0</v>
      </c>
      <c r="AY503" s="58" t="s">
        <v>1033</v>
      </c>
      <c r="AZ503" s="58" t="s">
        <v>947</v>
      </c>
      <c r="BA503" s="34" t="s">
        <v>128</v>
      </c>
      <c r="BC503" s="55">
        <f>AW503+AX503</f>
        <v>0</v>
      </c>
      <c r="BD503" s="55">
        <f>H503/(100-BE503)*100</f>
        <v>0</v>
      </c>
      <c r="BE503" s="55">
        <v>0</v>
      </c>
      <c r="BF503" s="55">
        <f>K503</f>
        <v>0.1645</v>
      </c>
      <c r="BH503" s="63">
        <f>G503*AO503</f>
        <v>0</v>
      </c>
      <c r="BI503" s="63">
        <f>G503*AP503</f>
        <v>0</v>
      </c>
      <c r="BJ503" s="63">
        <f>G503*H503</f>
        <v>0</v>
      </c>
      <c r="BK503" s="63"/>
      <c r="BL503" s="55">
        <v>64</v>
      </c>
      <c r="BW503" s="55">
        <v>21</v>
      </c>
    </row>
    <row r="504" spans="1:12" ht="14.4">
      <c r="A504" s="59"/>
      <c r="D504" s="60" t="s">
        <v>125</v>
      </c>
      <c r="E504" s="60" t="s">
        <v>4</v>
      </c>
      <c r="G504" s="68">
        <v>7</v>
      </c>
      <c r="L504" s="69"/>
    </row>
    <row r="505" spans="1:75" ht="13.5" customHeight="1">
      <c r="A505" s="61" t="s">
        <v>1038</v>
      </c>
      <c r="B505" s="62" t="s">
        <v>116</v>
      </c>
      <c r="C505" s="62" t="s">
        <v>1039</v>
      </c>
      <c r="D505" s="224" t="s">
        <v>1040</v>
      </c>
      <c r="E505" s="225"/>
      <c r="F505" s="62" t="s">
        <v>374</v>
      </c>
      <c r="G505" s="63">
        <f>'Stavební rozpočet-vyplnit'!G505</f>
        <v>2</v>
      </c>
      <c r="H505" s="63">
        <f>'Stavební rozpočet-vyplnit'!H505</f>
        <v>0</v>
      </c>
      <c r="I505" s="63">
        <f>G505*H505</f>
        <v>0</v>
      </c>
      <c r="J505" s="63">
        <f>'Stavební rozpočet-vyplnit'!J505</f>
        <v>0.0241</v>
      </c>
      <c r="K505" s="63">
        <f>G505*J505</f>
        <v>0.0482</v>
      </c>
      <c r="L505" s="65" t="s">
        <v>785</v>
      </c>
      <c r="Z505" s="55">
        <f>IF(AQ505="5",BJ505,0)</f>
        <v>0</v>
      </c>
      <c r="AB505" s="55">
        <f>IF(AQ505="1",BH505,0)</f>
        <v>0</v>
      </c>
      <c r="AC505" s="55">
        <f>IF(AQ505="1",BI505,0)</f>
        <v>0</v>
      </c>
      <c r="AD505" s="55">
        <f>IF(AQ505="7",BH505,0)</f>
        <v>0</v>
      </c>
      <c r="AE505" s="55">
        <f>IF(AQ505="7",BI505,0)</f>
        <v>0</v>
      </c>
      <c r="AF505" s="55">
        <f>IF(AQ505="2",BH505,0)</f>
        <v>0</v>
      </c>
      <c r="AG505" s="55">
        <f>IF(AQ505="2",BI505,0)</f>
        <v>0</v>
      </c>
      <c r="AH505" s="55">
        <f>IF(AQ505="0",BJ505,0)</f>
        <v>0</v>
      </c>
      <c r="AI505" s="34" t="s">
        <v>116</v>
      </c>
      <c r="AJ505" s="63">
        <f>IF(AN505=0,I505,0)</f>
        <v>0</v>
      </c>
      <c r="AK505" s="63">
        <f>IF(AN505=12,I505,0)</f>
        <v>0</v>
      </c>
      <c r="AL505" s="63">
        <f>IF(AN505=21,I505,0)</f>
        <v>0</v>
      </c>
      <c r="AN505" s="55">
        <v>21</v>
      </c>
      <c r="AO505" s="55">
        <f>H505*1</f>
        <v>0</v>
      </c>
      <c r="AP505" s="55">
        <f>H505*(1-1)</f>
        <v>0</v>
      </c>
      <c r="AQ505" s="66" t="s">
        <v>120</v>
      </c>
      <c r="AV505" s="55">
        <f>AW505+AX505</f>
        <v>0</v>
      </c>
      <c r="AW505" s="55">
        <f>G505*AO505</f>
        <v>0</v>
      </c>
      <c r="AX505" s="55">
        <f>G505*AP505</f>
        <v>0</v>
      </c>
      <c r="AY505" s="58" t="s">
        <v>1033</v>
      </c>
      <c r="AZ505" s="58" t="s">
        <v>947</v>
      </c>
      <c r="BA505" s="34" t="s">
        <v>128</v>
      </c>
      <c r="BC505" s="55">
        <f>AW505+AX505</f>
        <v>0</v>
      </c>
      <c r="BD505" s="55">
        <f>H505/(100-BE505)*100</f>
        <v>0</v>
      </c>
      <c r="BE505" s="55">
        <v>0</v>
      </c>
      <c r="BF505" s="55">
        <f>K505</f>
        <v>0.0482</v>
      </c>
      <c r="BH505" s="63">
        <f>G505*AO505</f>
        <v>0</v>
      </c>
      <c r="BI505" s="63">
        <f>G505*AP505</f>
        <v>0</v>
      </c>
      <c r="BJ505" s="63">
        <f>G505*H505</f>
        <v>0</v>
      </c>
      <c r="BK505" s="63"/>
      <c r="BL505" s="55">
        <v>64</v>
      </c>
      <c r="BW505" s="55">
        <v>21</v>
      </c>
    </row>
    <row r="506" spans="1:12" ht="14.4">
      <c r="A506" s="59"/>
      <c r="D506" s="60" t="s">
        <v>130</v>
      </c>
      <c r="E506" s="60" t="s">
        <v>4</v>
      </c>
      <c r="G506" s="68">
        <v>2</v>
      </c>
      <c r="L506" s="69"/>
    </row>
    <row r="507" spans="1:75" ht="13.5" customHeight="1">
      <c r="A507" s="1" t="s">
        <v>1041</v>
      </c>
      <c r="B507" s="2" t="s">
        <v>116</v>
      </c>
      <c r="C507" s="2" t="s">
        <v>1042</v>
      </c>
      <c r="D507" s="147" t="s">
        <v>1043</v>
      </c>
      <c r="E507" s="148"/>
      <c r="F507" s="2" t="s">
        <v>374</v>
      </c>
      <c r="G507" s="55">
        <f>'Stavební rozpočet-vyplnit'!G507</f>
        <v>13</v>
      </c>
      <c r="H507" s="55">
        <f>'Stavební rozpočet-vyplnit'!H507</f>
        <v>0</v>
      </c>
      <c r="I507" s="55">
        <f>G507*H507</f>
        <v>0</v>
      </c>
      <c r="J507" s="55">
        <f>'Stavební rozpočet-vyplnit'!J507</f>
        <v>0</v>
      </c>
      <c r="K507" s="55">
        <f>G507*J507</f>
        <v>0</v>
      </c>
      <c r="L507" s="57" t="s">
        <v>785</v>
      </c>
      <c r="Z507" s="55">
        <f>IF(AQ507="5",BJ507,0)</f>
        <v>0</v>
      </c>
      <c r="AB507" s="55">
        <f>IF(AQ507="1",BH507,0)</f>
        <v>0</v>
      </c>
      <c r="AC507" s="55">
        <f>IF(AQ507="1",BI507,0)</f>
        <v>0</v>
      </c>
      <c r="AD507" s="55">
        <f>IF(AQ507="7",BH507,0)</f>
        <v>0</v>
      </c>
      <c r="AE507" s="55">
        <f>IF(AQ507="7",BI507,0)</f>
        <v>0</v>
      </c>
      <c r="AF507" s="55">
        <f>IF(AQ507="2",BH507,0)</f>
        <v>0</v>
      </c>
      <c r="AG507" s="55">
        <f>IF(AQ507="2",BI507,0)</f>
        <v>0</v>
      </c>
      <c r="AH507" s="55">
        <f>IF(AQ507="0",BJ507,0)</f>
        <v>0</v>
      </c>
      <c r="AI507" s="34" t="s">
        <v>116</v>
      </c>
      <c r="AJ507" s="55">
        <f>IF(AN507=0,I507,0)</f>
        <v>0</v>
      </c>
      <c r="AK507" s="55">
        <f>IF(AN507=12,I507,0)</f>
        <v>0</v>
      </c>
      <c r="AL507" s="55">
        <f>IF(AN507=21,I507,0)</f>
        <v>0</v>
      </c>
      <c r="AN507" s="55">
        <v>21</v>
      </c>
      <c r="AO507" s="55">
        <f>H507*0</f>
        <v>0</v>
      </c>
      <c r="AP507" s="55">
        <f>H507*(1-0)</f>
        <v>0</v>
      </c>
      <c r="AQ507" s="58" t="s">
        <v>120</v>
      </c>
      <c r="AV507" s="55">
        <f>AW507+AX507</f>
        <v>0</v>
      </c>
      <c r="AW507" s="55">
        <f>G507*AO507</f>
        <v>0</v>
      </c>
      <c r="AX507" s="55">
        <f>G507*AP507</f>
        <v>0</v>
      </c>
      <c r="AY507" s="58" t="s">
        <v>1033</v>
      </c>
      <c r="AZ507" s="58" t="s">
        <v>947</v>
      </c>
      <c r="BA507" s="34" t="s">
        <v>128</v>
      </c>
      <c r="BB507" s="67">
        <v>100003</v>
      </c>
      <c r="BC507" s="55">
        <f>AW507+AX507</f>
        <v>0</v>
      </c>
      <c r="BD507" s="55">
        <f>H507/(100-BE507)*100</f>
        <v>0</v>
      </c>
      <c r="BE507" s="55">
        <v>0</v>
      </c>
      <c r="BF507" s="55">
        <f>K507</f>
        <v>0</v>
      </c>
      <c r="BH507" s="55">
        <f>G507*AO507</f>
        <v>0</v>
      </c>
      <c r="BI507" s="55">
        <f>G507*AP507</f>
        <v>0</v>
      </c>
      <c r="BJ507" s="55">
        <f>G507*H507</f>
        <v>0</v>
      </c>
      <c r="BK507" s="55"/>
      <c r="BL507" s="55">
        <v>64</v>
      </c>
      <c r="BW507" s="55">
        <v>21</v>
      </c>
    </row>
    <row r="508" spans="1:12" ht="14.4">
      <c r="A508" s="59"/>
      <c r="D508" s="60" t="s">
        <v>1044</v>
      </c>
      <c r="E508" s="60" t="s">
        <v>4</v>
      </c>
      <c r="G508" s="68">
        <v>13</v>
      </c>
      <c r="L508" s="69"/>
    </row>
    <row r="509" spans="1:75" ht="13.5" customHeight="1">
      <c r="A509" s="61" t="s">
        <v>1045</v>
      </c>
      <c r="B509" s="62" t="s">
        <v>116</v>
      </c>
      <c r="C509" s="62" t="s">
        <v>1046</v>
      </c>
      <c r="D509" s="224" t="s">
        <v>1047</v>
      </c>
      <c r="E509" s="225"/>
      <c r="F509" s="62" t="s">
        <v>374</v>
      </c>
      <c r="G509" s="63">
        <f>'Stavební rozpočet-vyplnit'!G509</f>
        <v>3</v>
      </c>
      <c r="H509" s="63">
        <f>'Stavební rozpočet-vyplnit'!H509</f>
        <v>0</v>
      </c>
      <c r="I509" s="63">
        <f>G509*H509</f>
        <v>0</v>
      </c>
      <c r="J509" s="63">
        <f>'Stavební rozpočet-vyplnit'!J509</f>
        <v>0.01607</v>
      </c>
      <c r="K509" s="63">
        <f>G509*J509</f>
        <v>0.04821</v>
      </c>
      <c r="L509" s="65" t="s">
        <v>785</v>
      </c>
      <c r="Z509" s="55">
        <f>IF(AQ509="5",BJ509,0)</f>
        <v>0</v>
      </c>
      <c r="AB509" s="55">
        <f>IF(AQ509="1",BH509,0)</f>
        <v>0</v>
      </c>
      <c r="AC509" s="55">
        <f>IF(AQ509="1",BI509,0)</f>
        <v>0</v>
      </c>
      <c r="AD509" s="55">
        <f>IF(AQ509="7",BH509,0)</f>
        <v>0</v>
      </c>
      <c r="AE509" s="55">
        <f>IF(AQ509="7",BI509,0)</f>
        <v>0</v>
      </c>
      <c r="AF509" s="55">
        <f>IF(AQ509="2",BH509,0)</f>
        <v>0</v>
      </c>
      <c r="AG509" s="55">
        <f>IF(AQ509="2",BI509,0)</f>
        <v>0</v>
      </c>
      <c r="AH509" s="55">
        <f>IF(AQ509="0",BJ509,0)</f>
        <v>0</v>
      </c>
      <c r="AI509" s="34" t="s">
        <v>116</v>
      </c>
      <c r="AJ509" s="63">
        <f>IF(AN509=0,I509,0)</f>
        <v>0</v>
      </c>
      <c r="AK509" s="63">
        <f>IF(AN509=12,I509,0)</f>
        <v>0</v>
      </c>
      <c r="AL509" s="63">
        <f>IF(AN509=21,I509,0)</f>
        <v>0</v>
      </c>
      <c r="AN509" s="55">
        <v>21</v>
      </c>
      <c r="AO509" s="55">
        <f>H509*1</f>
        <v>0</v>
      </c>
      <c r="AP509" s="55">
        <f>H509*(1-1)</f>
        <v>0</v>
      </c>
      <c r="AQ509" s="66" t="s">
        <v>120</v>
      </c>
      <c r="AV509" s="55">
        <f>AW509+AX509</f>
        <v>0</v>
      </c>
      <c r="AW509" s="55">
        <f>G509*AO509</f>
        <v>0</v>
      </c>
      <c r="AX509" s="55">
        <f>G509*AP509</f>
        <v>0</v>
      </c>
      <c r="AY509" s="58" t="s">
        <v>1033</v>
      </c>
      <c r="AZ509" s="58" t="s">
        <v>947</v>
      </c>
      <c r="BA509" s="34" t="s">
        <v>128</v>
      </c>
      <c r="BC509" s="55">
        <f>AW509+AX509</f>
        <v>0</v>
      </c>
      <c r="BD509" s="55">
        <f>H509/(100-BE509)*100</f>
        <v>0</v>
      </c>
      <c r="BE509" s="55">
        <v>0</v>
      </c>
      <c r="BF509" s="55">
        <f>K509</f>
        <v>0.04821</v>
      </c>
      <c r="BH509" s="63">
        <f>G509*AO509</f>
        <v>0</v>
      </c>
      <c r="BI509" s="63">
        <f>G509*AP509</f>
        <v>0</v>
      </c>
      <c r="BJ509" s="63">
        <f>G509*H509</f>
        <v>0</v>
      </c>
      <c r="BK509" s="63"/>
      <c r="BL509" s="55">
        <v>64</v>
      </c>
      <c r="BW509" s="55">
        <v>21</v>
      </c>
    </row>
    <row r="510" spans="1:12" ht="14.4">
      <c r="A510" s="59"/>
      <c r="D510" s="60" t="s">
        <v>133</v>
      </c>
      <c r="E510" s="60" t="s">
        <v>4</v>
      </c>
      <c r="G510" s="68">
        <v>3</v>
      </c>
      <c r="L510" s="69"/>
    </row>
    <row r="511" spans="1:75" ht="13.5" customHeight="1">
      <c r="A511" s="61" t="s">
        <v>1048</v>
      </c>
      <c r="B511" s="62" t="s">
        <v>116</v>
      </c>
      <c r="C511" s="62" t="s">
        <v>1049</v>
      </c>
      <c r="D511" s="224" t="s">
        <v>1050</v>
      </c>
      <c r="E511" s="225"/>
      <c r="F511" s="62" t="s">
        <v>374</v>
      </c>
      <c r="G511" s="63">
        <f>'Stavební rozpočet-vyplnit'!G511</f>
        <v>9</v>
      </c>
      <c r="H511" s="63">
        <f>'Stavební rozpočet-vyplnit'!H511</f>
        <v>0</v>
      </c>
      <c r="I511" s="63">
        <f>G511*H511</f>
        <v>0</v>
      </c>
      <c r="J511" s="63">
        <f>'Stavební rozpočet-vyplnit'!J511</f>
        <v>0.01649</v>
      </c>
      <c r="K511" s="63">
        <f>G511*J511</f>
        <v>0.14841000000000001</v>
      </c>
      <c r="L511" s="65" t="s">
        <v>785</v>
      </c>
      <c r="Z511" s="55">
        <f>IF(AQ511="5",BJ511,0)</f>
        <v>0</v>
      </c>
      <c r="AB511" s="55">
        <f>IF(AQ511="1",BH511,0)</f>
        <v>0</v>
      </c>
      <c r="AC511" s="55">
        <f>IF(AQ511="1",BI511,0)</f>
        <v>0</v>
      </c>
      <c r="AD511" s="55">
        <f>IF(AQ511="7",BH511,0)</f>
        <v>0</v>
      </c>
      <c r="AE511" s="55">
        <f>IF(AQ511="7",BI511,0)</f>
        <v>0</v>
      </c>
      <c r="AF511" s="55">
        <f>IF(AQ511="2",BH511,0)</f>
        <v>0</v>
      </c>
      <c r="AG511" s="55">
        <f>IF(AQ511="2",BI511,0)</f>
        <v>0</v>
      </c>
      <c r="AH511" s="55">
        <f>IF(AQ511="0",BJ511,0)</f>
        <v>0</v>
      </c>
      <c r="AI511" s="34" t="s">
        <v>116</v>
      </c>
      <c r="AJ511" s="63">
        <f>IF(AN511=0,I511,0)</f>
        <v>0</v>
      </c>
      <c r="AK511" s="63">
        <f>IF(AN511=12,I511,0)</f>
        <v>0</v>
      </c>
      <c r="AL511" s="63">
        <f>IF(AN511=21,I511,0)</f>
        <v>0</v>
      </c>
      <c r="AN511" s="55">
        <v>21</v>
      </c>
      <c r="AO511" s="55">
        <f>H511*1</f>
        <v>0</v>
      </c>
      <c r="AP511" s="55">
        <f>H511*(1-1)</f>
        <v>0</v>
      </c>
      <c r="AQ511" s="66" t="s">
        <v>120</v>
      </c>
      <c r="AV511" s="55">
        <f>AW511+AX511</f>
        <v>0</v>
      </c>
      <c r="AW511" s="55">
        <f>G511*AO511</f>
        <v>0</v>
      </c>
      <c r="AX511" s="55">
        <f>G511*AP511</f>
        <v>0</v>
      </c>
      <c r="AY511" s="58" t="s">
        <v>1033</v>
      </c>
      <c r="AZ511" s="58" t="s">
        <v>947</v>
      </c>
      <c r="BA511" s="34" t="s">
        <v>128</v>
      </c>
      <c r="BC511" s="55">
        <f>AW511+AX511</f>
        <v>0</v>
      </c>
      <c r="BD511" s="55">
        <f>H511/(100-BE511)*100</f>
        <v>0</v>
      </c>
      <c r="BE511" s="55">
        <v>0</v>
      </c>
      <c r="BF511" s="55">
        <f>K511</f>
        <v>0.14841000000000001</v>
      </c>
      <c r="BH511" s="63">
        <f>G511*AO511</f>
        <v>0</v>
      </c>
      <c r="BI511" s="63">
        <f>G511*AP511</f>
        <v>0</v>
      </c>
      <c r="BJ511" s="63">
        <f>G511*H511</f>
        <v>0</v>
      </c>
      <c r="BK511" s="63"/>
      <c r="BL511" s="55">
        <v>64</v>
      </c>
      <c r="BW511" s="55">
        <v>21</v>
      </c>
    </row>
    <row r="512" spans="1:12" ht="14.4">
      <c r="A512" s="59"/>
      <c r="D512" s="60" t="s">
        <v>150</v>
      </c>
      <c r="E512" s="60" t="s">
        <v>4</v>
      </c>
      <c r="G512" s="68">
        <v>9</v>
      </c>
      <c r="L512" s="69"/>
    </row>
    <row r="513" spans="1:75" ht="13.5" customHeight="1">
      <c r="A513" s="61" t="s">
        <v>1051</v>
      </c>
      <c r="B513" s="62" t="s">
        <v>116</v>
      </c>
      <c r="C513" s="62" t="s">
        <v>1052</v>
      </c>
      <c r="D513" s="224" t="s">
        <v>1053</v>
      </c>
      <c r="E513" s="225"/>
      <c r="F513" s="62" t="s">
        <v>374</v>
      </c>
      <c r="G513" s="63">
        <f>'Stavební rozpočet-vyplnit'!G513</f>
        <v>1</v>
      </c>
      <c r="H513" s="63">
        <f>'Stavební rozpočet-vyplnit'!H513</f>
        <v>0</v>
      </c>
      <c r="I513" s="63">
        <f>G513*H513</f>
        <v>0</v>
      </c>
      <c r="J513" s="63">
        <f>'Stavební rozpočet-vyplnit'!J513</f>
        <v>0.0193</v>
      </c>
      <c r="K513" s="63">
        <f>G513*J513</f>
        <v>0.0193</v>
      </c>
      <c r="L513" s="65" t="s">
        <v>785</v>
      </c>
      <c r="Z513" s="55">
        <f>IF(AQ513="5",BJ513,0)</f>
        <v>0</v>
      </c>
      <c r="AB513" s="55">
        <f>IF(AQ513="1",BH513,0)</f>
        <v>0</v>
      </c>
      <c r="AC513" s="55">
        <f>IF(AQ513="1",BI513,0)</f>
        <v>0</v>
      </c>
      <c r="AD513" s="55">
        <f>IF(AQ513="7",BH513,0)</f>
        <v>0</v>
      </c>
      <c r="AE513" s="55">
        <f>IF(AQ513="7",BI513,0)</f>
        <v>0</v>
      </c>
      <c r="AF513" s="55">
        <f>IF(AQ513="2",BH513,0)</f>
        <v>0</v>
      </c>
      <c r="AG513" s="55">
        <f>IF(AQ513="2",BI513,0)</f>
        <v>0</v>
      </c>
      <c r="AH513" s="55">
        <f>IF(AQ513="0",BJ513,0)</f>
        <v>0</v>
      </c>
      <c r="AI513" s="34" t="s">
        <v>116</v>
      </c>
      <c r="AJ513" s="63">
        <f>IF(AN513=0,I513,0)</f>
        <v>0</v>
      </c>
      <c r="AK513" s="63">
        <f>IF(AN513=12,I513,0)</f>
        <v>0</v>
      </c>
      <c r="AL513" s="63">
        <f>IF(AN513=21,I513,0)</f>
        <v>0</v>
      </c>
      <c r="AN513" s="55">
        <v>21</v>
      </c>
      <c r="AO513" s="55">
        <f>H513*1</f>
        <v>0</v>
      </c>
      <c r="AP513" s="55">
        <f>H513*(1-1)</f>
        <v>0</v>
      </c>
      <c r="AQ513" s="66" t="s">
        <v>120</v>
      </c>
      <c r="AV513" s="55">
        <f>AW513+AX513</f>
        <v>0</v>
      </c>
      <c r="AW513" s="55">
        <f>G513*AO513</f>
        <v>0</v>
      </c>
      <c r="AX513" s="55">
        <f>G513*AP513</f>
        <v>0</v>
      </c>
      <c r="AY513" s="58" t="s">
        <v>1033</v>
      </c>
      <c r="AZ513" s="58" t="s">
        <v>947</v>
      </c>
      <c r="BA513" s="34" t="s">
        <v>128</v>
      </c>
      <c r="BC513" s="55">
        <f>AW513+AX513</f>
        <v>0</v>
      </c>
      <c r="BD513" s="55">
        <f>H513/(100-BE513)*100</f>
        <v>0</v>
      </c>
      <c r="BE513" s="55">
        <v>0</v>
      </c>
      <c r="BF513" s="55">
        <f>K513</f>
        <v>0.0193</v>
      </c>
      <c r="BH513" s="63">
        <f>G513*AO513</f>
        <v>0</v>
      </c>
      <c r="BI513" s="63">
        <f>G513*AP513</f>
        <v>0</v>
      </c>
      <c r="BJ513" s="63">
        <f>G513*H513</f>
        <v>0</v>
      </c>
      <c r="BK513" s="63"/>
      <c r="BL513" s="55">
        <v>64</v>
      </c>
      <c r="BW513" s="55">
        <v>21</v>
      </c>
    </row>
    <row r="514" spans="1:12" ht="14.4">
      <c r="A514" s="59"/>
      <c r="D514" s="60" t="s">
        <v>120</v>
      </c>
      <c r="E514" s="60" t="s">
        <v>4</v>
      </c>
      <c r="G514" s="68">
        <v>1</v>
      </c>
      <c r="L514" s="69"/>
    </row>
    <row r="515" spans="1:75" ht="13.5" customHeight="1">
      <c r="A515" s="1" t="s">
        <v>1054</v>
      </c>
      <c r="B515" s="2" t="s">
        <v>116</v>
      </c>
      <c r="C515" s="2" t="s">
        <v>1055</v>
      </c>
      <c r="D515" s="147" t="s">
        <v>1056</v>
      </c>
      <c r="E515" s="148"/>
      <c r="F515" s="2" t="s">
        <v>374</v>
      </c>
      <c r="G515" s="55">
        <f>'Stavební rozpočet-vyplnit'!G515</f>
        <v>1</v>
      </c>
      <c r="H515" s="55">
        <f>'Stavební rozpočet-vyplnit'!H515</f>
        <v>0</v>
      </c>
      <c r="I515" s="55">
        <f>G515*H515</f>
        <v>0</v>
      </c>
      <c r="J515" s="55">
        <f>'Stavební rozpočet-vyplnit'!J515</f>
        <v>0.04315</v>
      </c>
      <c r="K515" s="55">
        <f>G515*J515</f>
        <v>0.04315</v>
      </c>
      <c r="L515" s="57" t="s">
        <v>785</v>
      </c>
      <c r="Z515" s="55">
        <f>IF(AQ515="5",BJ515,0)</f>
        <v>0</v>
      </c>
      <c r="AB515" s="55">
        <f>IF(AQ515="1",BH515,0)</f>
        <v>0</v>
      </c>
      <c r="AC515" s="55">
        <f>IF(AQ515="1",BI515,0)</f>
        <v>0</v>
      </c>
      <c r="AD515" s="55">
        <f>IF(AQ515="7",BH515,0)</f>
        <v>0</v>
      </c>
      <c r="AE515" s="55">
        <f>IF(AQ515="7",BI515,0)</f>
        <v>0</v>
      </c>
      <c r="AF515" s="55">
        <f>IF(AQ515="2",BH515,0)</f>
        <v>0</v>
      </c>
      <c r="AG515" s="55">
        <f>IF(AQ515="2",BI515,0)</f>
        <v>0</v>
      </c>
      <c r="AH515" s="55">
        <f>IF(AQ515="0",BJ515,0)</f>
        <v>0</v>
      </c>
      <c r="AI515" s="34" t="s">
        <v>116</v>
      </c>
      <c r="AJ515" s="55">
        <f>IF(AN515=0,I515,0)</f>
        <v>0</v>
      </c>
      <c r="AK515" s="55">
        <f>IF(AN515=12,I515,0)</f>
        <v>0</v>
      </c>
      <c r="AL515" s="55">
        <f>IF(AN515=21,I515,0)</f>
        <v>0</v>
      </c>
      <c r="AN515" s="55">
        <v>21</v>
      </c>
      <c r="AO515" s="55">
        <f>H515*0.909128226</f>
        <v>0</v>
      </c>
      <c r="AP515" s="55">
        <f>H515*(1-0.909128226)</f>
        <v>0</v>
      </c>
      <c r="AQ515" s="58" t="s">
        <v>120</v>
      </c>
      <c r="AV515" s="55">
        <f>AW515+AX515</f>
        <v>0</v>
      </c>
      <c r="AW515" s="55">
        <f>G515*AO515</f>
        <v>0</v>
      </c>
      <c r="AX515" s="55">
        <f>G515*AP515</f>
        <v>0</v>
      </c>
      <c r="AY515" s="58" t="s">
        <v>1033</v>
      </c>
      <c r="AZ515" s="58" t="s">
        <v>947</v>
      </c>
      <c r="BA515" s="34" t="s">
        <v>128</v>
      </c>
      <c r="BB515" s="67">
        <v>100003</v>
      </c>
      <c r="BC515" s="55">
        <f>AW515+AX515</f>
        <v>0</v>
      </c>
      <c r="BD515" s="55">
        <f>H515/(100-BE515)*100</f>
        <v>0</v>
      </c>
      <c r="BE515" s="55">
        <v>0</v>
      </c>
      <c r="BF515" s="55">
        <f>K515</f>
        <v>0.04315</v>
      </c>
      <c r="BH515" s="55">
        <f>G515*AO515</f>
        <v>0</v>
      </c>
      <c r="BI515" s="55">
        <f>G515*AP515</f>
        <v>0</v>
      </c>
      <c r="BJ515" s="55">
        <f>G515*H515</f>
        <v>0</v>
      </c>
      <c r="BK515" s="55"/>
      <c r="BL515" s="55">
        <v>64</v>
      </c>
      <c r="BW515" s="55">
        <v>21</v>
      </c>
    </row>
    <row r="516" spans="1:12" ht="13.5" customHeight="1">
      <c r="A516" s="59"/>
      <c r="D516" s="218" t="s">
        <v>1057</v>
      </c>
      <c r="E516" s="219"/>
      <c r="F516" s="219"/>
      <c r="G516" s="219"/>
      <c r="H516" s="219"/>
      <c r="I516" s="219"/>
      <c r="J516" s="219"/>
      <c r="K516" s="219"/>
      <c r="L516" s="221"/>
    </row>
    <row r="517" spans="1:12" ht="14.4">
      <c r="A517" s="59"/>
      <c r="D517" s="60" t="s">
        <v>120</v>
      </c>
      <c r="E517" s="60" t="s">
        <v>4</v>
      </c>
      <c r="G517" s="68">
        <v>1</v>
      </c>
      <c r="L517" s="69"/>
    </row>
    <row r="518" spans="1:75" ht="13.5" customHeight="1">
      <c r="A518" s="1" t="s">
        <v>1058</v>
      </c>
      <c r="B518" s="2" t="s">
        <v>116</v>
      </c>
      <c r="C518" s="2" t="s">
        <v>1059</v>
      </c>
      <c r="D518" s="147" t="s">
        <v>1060</v>
      </c>
      <c r="E518" s="148"/>
      <c r="F518" s="2" t="s">
        <v>374</v>
      </c>
      <c r="G518" s="55">
        <f>'Stavební rozpočet-vyplnit'!G518</f>
        <v>1</v>
      </c>
      <c r="H518" s="55">
        <f>'Stavební rozpočet-vyplnit'!H518</f>
        <v>0</v>
      </c>
      <c r="I518" s="55">
        <f>G518*H518</f>
        <v>0</v>
      </c>
      <c r="J518" s="55">
        <f>'Stavební rozpočet-vyplnit'!J518</f>
        <v>0.02556</v>
      </c>
      <c r="K518" s="55">
        <f>G518*J518</f>
        <v>0.02556</v>
      </c>
      <c r="L518" s="57" t="s">
        <v>124</v>
      </c>
      <c r="Z518" s="55">
        <f>IF(AQ518="5",BJ518,0)</f>
        <v>0</v>
      </c>
      <c r="AB518" s="55">
        <f>IF(AQ518="1",BH518,0)</f>
        <v>0</v>
      </c>
      <c r="AC518" s="55">
        <f>IF(AQ518="1",BI518,0)</f>
        <v>0</v>
      </c>
      <c r="AD518" s="55">
        <f>IF(AQ518="7",BH518,0)</f>
        <v>0</v>
      </c>
      <c r="AE518" s="55">
        <f>IF(AQ518="7",BI518,0)</f>
        <v>0</v>
      </c>
      <c r="AF518" s="55">
        <f>IF(AQ518="2",BH518,0)</f>
        <v>0</v>
      </c>
      <c r="AG518" s="55">
        <f>IF(AQ518="2",BI518,0)</f>
        <v>0</v>
      </c>
      <c r="AH518" s="55">
        <f>IF(AQ518="0",BJ518,0)</f>
        <v>0</v>
      </c>
      <c r="AI518" s="34" t="s">
        <v>116</v>
      </c>
      <c r="AJ518" s="55">
        <f>IF(AN518=0,I518,0)</f>
        <v>0</v>
      </c>
      <c r="AK518" s="55">
        <f>IF(AN518=12,I518,0)</f>
        <v>0</v>
      </c>
      <c r="AL518" s="55">
        <f>IF(AN518=21,I518,0)</f>
        <v>0</v>
      </c>
      <c r="AN518" s="55">
        <v>21</v>
      </c>
      <c r="AO518" s="55">
        <f>H518*0.764818545</f>
        <v>0</v>
      </c>
      <c r="AP518" s="55">
        <f>H518*(1-0.764818545)</f>
        <v>0</v>
      </c>
      <c r="AQ518" s="58" t="s">
        <v>120</v>
      </c>
      <c r="AV518" s="55">
        <f>AW518+AX518</f>
        <v>0</v>
      </c>
      <c r="AW518" s="55">
        <f>G518*AO518</f>
        <v>0</v>
      </c>
      <c r="AX518" s="55">
        <f>G518*AP518</f>
        <v>0</v>
      </c>
      <c r="AY518" s="58" t="s">
        <v>1033</v>
      </c>
      <c r="AZ518" s="58" t="s">
        <v>947</v>
      </c>
      <c r="BA518" s="34" t="s">
        <v>128</v>
      </c>
      <c r="BB518" s="67">
        <v>100003</v>
      </c>
      <c r="BC518" s="55">
        <f>AW518+AX518</f>
        <v>0</v>
      </c>
      <c r="BD518" s="55">
        <f>H518/(100-BE518)*100</f>
        <v>0</v>
      </c>
      <c r="BE518" s="55">
        <v>0</v>
      </c>
      <c r="BF518" s="55">
        <f>K518</f>
        <v>0.02556</v>
      </c>
      <c r="BH518" s="55">
        <f>G518*AO518</f>
        <v>0</v>
      </c>
      <c r="BI518" s="55">
        <f>G518*AP518</f>
        <v>0</v>
      </c>
      <c r="BJ518" s="55">
        <f>G518*H518</f>
        <v>0</v>
      </c>
      <c r="BK518" s="55"/>
      <c r="BL518" s="55">
        <v>64</v>
      </c>
      <c r="BW518" s="55">
        <v>21</v>
      </c>
    </row>
    <row r="519" spans="1:12" ht="13.5" customHeight="1">
      <c r="A519" s="59"/>
      <c r="D519" s="218" t="s">
        <v>1061</v>
      </c>
      <c r="E519" s="219"/>
      <c r="F519" s="219"/>
      <c r="G519" s="219"/>
      <c r="H519" s="219"/>
      <c r="I519" s="219"/>
      <c r="J519" s="219"/>
      <c r="K519" s="219"/>
      <c r="L519" s="221"/>
    </row>
    <row r="520" spans="1:12" ht="14.4">
      <c r="A520" s="59"/>
      <c r="D520" s="60" t="s">
        <v>120</v>
      </c>
      <c r="E520" s="60" t="s">
        <v>4</v>
      </c>
      <c r="G520" s="68">
        <v>1</v>
      </c>
      <c r="L520" s="69"/>
    </row>
    <row r="521" spans="1:47" ht="14.4">
      <c r="A521" s="50" t="s">
        <v>4</v>
      </c>
      <c r="B521" s="51" t="s">
        <v>116</v>
      </c>
      <c r="C521" s="51" t="s">
        <v>1062</v>
      </c>
      <c r="D521" s="222" t="s">
        <v>1063</v>
      </c>
      <c r="E521" s="223"/>
      <c r="F521" s="52" t="s">
        <v>79</v>
      </c>
      <c r="G521" s="52" t="s">
        <v>79</v>
      </c>
      <c r="H521" s="52" t="s">
        <v>79</v>
      </c>
      <c r="I521" s="27">
        <f>SUM(I522:I536)</f>
        <v>0</v>
      </c>
      <c r="J521" s="34" t="s">
        <v>4</v>
      </c>
      <c r="K521" s="27">
        <f>SUM(K522:K536)</f>
        <v>0.035131</v>
      </c>
      <c r="L521" s="54" t="s">
        <v>4</v>
      </c>
      <c r="AI521" s="34" t="s">
        <v>116</v>
      </c>
      <c r="AS521" s="27">
        <f>SUM(AJ522:AJ536)</f>
        <v>0</v>
      </c>
      <c r="AT521" s="27">
        <f>SUM(AK522:AK536)</f>
        <v>0</v>
      </c>
      <c r="AU521" s="27">
        <f>SUM(AL522:AL536)</f>
        <v>0</v>
      </c>
    </row>
    <row r="522" spans="1:75" ht="13.5" customHeight="1">
      <c r="A522" s="1" t="s">
        <v>1064</v>
      </c>
      <c r="B522" s="2" t="s">
        <v>116</v>
      </c>
      <c r="C522" s="2" t="s">
        <v>1065</v>
      </c>
      <c r="D522" s="147" t="s">
        <v>1066</v>
      </c>
      <c r="E522" s="148"/>
      <c r="F522" s="2" t="s">
        <v>729</v>
      </c>
      <c r="G522" s="55">
        <f>'Stavební rozpočet-vyplnit'!G522</f>
        <v>17.63</v>
      </c>
      <c r="H522" s="55">
        <f>'Stavební rozpočet-vyplnit'!H522</f>
        <v>0</v>
      </c>
      <c r="I522" s="55">
        <f>G522*H522</f>
        <v>0</v>
      </c>
      <c r="J522" s="55">
        <f>'Stavební rozpočet-vyplnit'!J522</f>
        <v>0.0015</v>
      </c>
      <c r="K522" s="55">
        <f>G522*J522</f>
        <v>0.026445</v>
      </c>
      <c r="L522" s="57" t="s">
        <v>785</v>
      </c>
      <c r="Z522" s="55">
        <f>IF(AQ522="5",BJ522,0)</f>
        <v>0</v>
      </c>
      <c r="AB522" s="55">
        <f>IF(AQ522="1",BH522,0)</f>
        <v>0</v>
      </c>
      <c r="AC522" s="55">
        <f>IF(AQ522="1",BI522,0)</f>
        <v>0</v>
      </c>
      <c r="AD522" s="55">
        <f>IF(AQ522="7",BH522,0)</f>
        <v>0</v>
      </c>
      <c r="AE522" s="55">
        <f>IF(AQ522="7",BI522,0)</f>
        <v>0</v>
      </c>
      <c r="AF522" s="55">
        <f>IF(AQ522="2",BH522,0)</f>
        <v>0</v>
      </c>
      <c r="AG522" s="55">
        <f>IF(AQ522="2",BI522,0)</f>
        <v>0</v>
      </c>
      <c r="AH522" s="55">
        <f>IF(AQ522="0",BJ522,0)</f>
        <v>0</v>
      </c>
      <c r="AI522" s="34" t="s">
        <v>116</v>
      </c>
      <c r="AJ522" s="55">
        <f>IF(AN522=0,I522,0)</f>
        <v>0</v>
      </c>
      <c r="AK522" s="55">
        <f>IF(AN522=12,I522,0)</f>
        <v>0</v>
      </c>
      <c r="AL522" s="55">
        <f>IF(AN522=21,I522,0)</f>
        <v>0</v>
      </c>
      <c r="AN522" s="55">
        <v>21</v>
      </c>
      <c r="AO522" s="55">
        <f>H522*0.658100363</f>
        <v>0</v>
      </c>
      <c r="AP522" s="55">
        <f>H522*(1-0.658100363)</f>
        <v>0</v>
      </c>
      <c r="AQ522" s="58" t="s">
        <v>125</v>
      </c>
      <c r="AV522" s="55">
        <f>AW522+AX522</f>
        <v>0</v>
      </c>
      <c r="AW522" s="55">
        <f>G522*AO522</f>
        <v>0</v>
      </c>
      <c r="AX522" s="55">
        <f>G522*AP522</f>
        <v>0</v>
      </c>
      <c r="AY522" s="58" t="s">
        <v>1067</v>
      </c>
      <c r="AZ522" s="58" t="s">
        <v>1068</v>
      </c>
      <c r="BA522" s="34" t="s">
        <v>128</v>
      </c>
      <c r="BB522" s="67">
        <v>100033</v>
      </c>
      <c r="BC522" s="55">
        <f>AW522+AX522</f>
        <v>0</v>
      </c>
      <c r="BD522" s="55">
        <f>H522/(100-BE522)*100</f>
        <v>0</v>
      </c>
      <c r="BE522" s="55">
        <v>0</v>
      </c>
      <c r="BF522" s="55">
        <f>K522</f>
        <v>0.026445</v>
      </c>
      <c r="BH522" s="55">
        <f>G522*AO522</f>
        <v>0</v>
      </c>
      <c r="BI522" s="55">
        <f>G522*AP522</f>
        <v>0</v>
      </c>
      <c r="BJ522" s="55">
        <f>G522*H522</f>
        <v>0</v>
      </c>
      <c r="BK522" s="55"/>
      <c r="BL522" s="55">
        <v>711</v>
      </c>
      <c r="BW522" s="55">
        <v>21</v>
      </c>
    </row>
    <row r="523" spans="1:12" ht="13.5" customHeight="1">
      <c r="A523" s="59"/>
      <c r="D523" s="218" t="s">
        <v>3780</v>
      </c>
      <c r="E523" s="219"/>
      <c r="F523" s="219"/>
      <c r="G523" s="219"/>
      <c r="H523" s="219"/>
      <c r="I523" s="219"/>
      <c r="J523" s="219"/>
      <c r="K523" s="219"/>
      <c r="L523" s="221"/>
    </row>
    <row r="524" spans="1:12" ht="14.4">
      <c r="A524" s="59"/>
      <c r="D524" s="60" t="s">
        <v>1069</v>
      </c>
      <c r="E524" s="60" t="s">
        <v>1070</v>
      </c>
      <c r="G524" s="68">
        <v>2.56</v>
      </c>
      <c r="L524" s="69"/>
    </row>
    <row r="525" spans="1:12" ht="14.4">
      <c r="A525" s="59"/>
      <c r="D525" s="60" t="s">
        <v>1071</v>
      </c>
      <c r="E525" s="60" t="s">
        <v>1072</v>
      </c>
      <c r="G525" s="68">
        <v>2.67</v>
      </c>
      <c r="L525" s="69"/>
    </row>
    <row r="526" spans="1:12" ht="14.4">
      <c r="A526" s="59"/>
      <c r="D526" s="60" t="s">
        <v>1073</v>
      </c>
      <c r="E526" s="60" t="s">
        <v>1074</v>
      </c>
      <c r="G526" s="68">
        <v>10.2</v>
      </c>
      <c r="L526" s="69"/>
    </row>
    <row r="527" spans="1:12" ht="14.4">
      <c r="A527" s="59"/>
      <c r="D527" s="60" t="s">
        <v>1075</v>
      </c>
      <c r="E527" s="60" t="s">
        <v>1076</v>
      </c>
      <c r="G527" s="68">
        <v>2.2</v>
      </c>
      <c r="L527" s="69"/>
    </row>
    <row r="528" spans="1:75" ht="13.5" customHeight="1">
      <c r="A528" s="1" t="s">
        <v>1077</v>
      </c>
      <c r="B528" s="2" t="s">
        <v>116</v>
      </c>
      <c r="C528" s="2" t="s">
        <v>1065</v>
      </c>
      <c r="D528" s="147" t="s">
        <v>1078</v>
      </c>
      <c r="E528" s="148"/>
      <c r="F528" s="2" t="s">
        <v>729</v>
      </c>
      <c r="G528" s="55">
        <f>'Stavební rozpočet-vyplnit'!G528</f>
        <v>5.4</v>
      </c>
      <c r="H528" s="55">
        <f>'Stavební rozpočet-vyplnit'!H528</f>
        <v>0</v>
      </c>
      <c r="I528" s="55">
        <f>G528*H528</f>
        <v>0</v>
      </c>
      <c r="J528" s="55">
        <f>'Stavební rozpočet-vyplnit'!J528</f>
        <v>0.0015</v>
      </c>
      <c r="K528" s="55">
        <f>G528*J528</f>
        <v>0.008100000000000001</v>
      </c>
      <c r="L528" s="57" t="s">
        <v>785</v>
      </c>
      <c r="Z528" s="55">
        <f>IF(AQ528="5",BJ528,0)</f>
        <v>0</v>
      </c>
      <c r="AB528" s="55">
        <f>IF(AQ528="1",BH528,0)</f>
        <v>0</v>
      </c>
      <c r="AC528" s="55">
        <f>IF(AQ528="1",BI528,0)</f>
        <v>0</v>
      </c>
      <c r="AD528" s="55">
        <f>IF(AQ528="7",BH528,0)</f>
        <v>0</v>
      </c>
      <c r="AE528" s="55">
        <f>IF(AQ528="7",BI528,0)</f>
        <v>0</v>
      </c>
      <c r="AF528" s="55">
        <f>IF(AQ528="2",BH528,0)</f>
        <v>0</v>
      </c>
      <c r="AG528" s="55">
        <f>IF(AQ528="2",BI528,0)</f>
        <v>0</v>
      </c>
      <c r="AH528" s="55">
        <f>IF(AQ528="0",BJ528,0)</f>
        <v>0</v>
      </c>
      <c r="AI528" s="34" t="s">
        <v>116</v>
      </c>
      <c r="AJ528" s="55">
        <f>IF(AN528=0,I528,0)</f>
        <v>0</v>
      </c>
      <c r="AK528" s="55">
        <f>IF(AN528=12,I528,0)</f>
        <v>0</v>
      </c>
      <c r="AL528" s="55">
        <f>IF(AN528=21,I528,0)</f>
        <v>0</v>
      </c>
      <c r="AN528" s="55">
        <v>21</v>
      </c>
      <c r="AO528" s="55">
        <f>H528*0.658103666</f>
        <v>0</v>
      </c>
      <c r="AP528" s="55">
        <f>H528*(1-0.658103666)</f>
        <v>0</v>
      </c>
      <c r="AQ528" s="58" t="s">
        <v>125</v>
      </c>
      <c r="AV528" s="55">
        <f>AW528+AX528</f>
        <v>0</v>
      </c>
      <c r="AW528" s="55">
        <f>G528*AO528</f>
        <v>0</v>
      </c>
      <c r="AX528" s="55">
        <f>G528*AP528</f>
        <v>0</v>
      </c>
      <c r="AY528" s="58" t="s">
        <v>1067</v>
      </c>
      <c r="AZ528" s="58" t="s">
        <v>1068</v>
      </c>
      <c r="BA528" s="34" t="s">
        <v>128</v>
      </c>
      <c r="BB528" s="67">
        <v>100033</v>
      </c>
      <c r="BC528" s="55">
        <f>AW528+AX528</f>
        <v>0</v>
      </c>
      <c r="BD528" s="55">
        <f>H528/(100-BE528)*100</f>
        <v>0</v>
      </c>
      <c r="BE528" s="55">
        <v>0</v>
      </c>
      <c r="BF528" s="55">
        <f>K528</f>
        <v>0.008100000000000001</v>
      </c>
      <c r="BH528" s="55">
        <f>G528*AO528</f>
        <v>0</v>
      </c>
      <c r="BI528" s="55">
        <f>G528*AP528</f>
        <v>0</v>
      </c>
      <c r="BJ528" s="55">
        <f>G528*H528</f>
        <v>0</v>
      </c>
      <c r="BK528" s="55"/>
      <c r="BL528" s="55">
        <v>711</v>
      </c>
      <c r="BW528" s="55">
        <v>21</v>
      </c>
    </row>
    <row r="529" spans="1:12" ht="13.5" customHeight="1">
      <c r="A529" s="59"/>
      <c r="D529" s="218" t="s">
        <v>3779</v>
      </c>
      <c r="E529" s="219"/>
      <c r="F529" s="219"/>
      <c r="G529" s="219"/>
      <c r="H529" s="219"/>
      <c r="I529" s="219"/>
      <c r="J529" s="219"/>
      <c r="K529" s="219"/>
      <c r="L529" s="221"/>
    </row>
    <row r="530" spans="1:12" ht="14.4">
      <c r="A530" s="59"/>
      <c r="D530" s="60" t="s">
        <v>1079</v>
      </c>
      <c r="E530" s="60" t="s">
        <v>4</v>
      </c>
      <c r="G530" s="68">
        <v>5.4</v>
      </c>
      <c r="L530" s="69"/>
    </row>
    <row r="531" spans="1:75" ht="13.5" customHeight="1">
      <c r="A531" s="1" t="s">
        <v>1080</v>
      </c>
      <c r="B531" s="2" t="s">
        <v>116</v>
      </c>
      <c r="C531" s="2" t="s">
        <v>1081</v>
      </c>
      <c r="D531" s="147" t="s">
        <v>1082</v>
      </c>
      <c r="E531" s="148"/>
      <c r="F531" s="2" t="s">
        <v>174</v>
      </c>
      <c r="G531" s="55">
        <f>'Stavební rozpočet-vyplnit'!G531</f>
        <v>29.3</v>
      </c>
      <c r="H531" s="55">
        <f>'Stavební rozpočet-vyplnit'!H531</f>
        <v>0</v>
      </c>
      <c r="I531" s="55">
        <f>G531*H531</f>
        <v>0</v>
      </c>
      <c r="J531" s="55">
        <f>'Stavební rozpočet-vyplnit'!J531</f>
        <v>2E-05</v>
      </c>
      <c r="K531" s="55">
        <f>G531*J531</f>
        <v>0.000586</v>
      </c>
      <c r="L531" s="57" t="s">
        <v>785</v>
      </c>
      <c r="Z531" s="55">
        <f>IF(AQ531="5",BJ531,0)</f>
        <v>0</v>
      </c>
      <c r="AB531" s="55">
        <f>IF(AQ531="1",BH531,0)</f>
        <v>0</v>
      </c>
      <c r="AC531" s="55">
        <f>IF(AQ531="1",BI531,0)</f>
        <v>0</v>
      </c>
      <c r="AD531" s="55">
        <f>IF(AQ531="7",BH531,0)</f>
        <v>0</v>
      </c>
      <c r="AE531" s="55">
        <f>IF(AQ531="7",BI531,0)</f>
        <v>0</v>
      </c>
      <c r="AF531" s="55">
        <f>IF(AQ531="2",BH531,0)</f>
        <v>0</v>
      </c>
      <c r="AG531" s="55">
        <f>IF(AQ531="2",BI531,0)</f>
        <v>0</v>
      </c>
      <c r="AH531" s="55">
        <f>IF(AQ531="0",BJ531,0)</f>
        <v>0</v>
      </c>
      <c r="AI531" s="34" t="s">
        <v>116</v>
      </c>
      <c r="AJ531" s="55">
        <f>IF(AN531=0,I531,0)</f>
        <v>0</v>
      </c>
      <c r="AK531" s="55">
        <f>IF(AN531=12,I531,0)</f>
        <v>0</v>
      </c>
      <c r="AL531" s="55">
        <f>IF(AN531=21,I531,0)</f>
        <v>0</v>
      </c>
      <c r="AN531" s="55">
        <v>21</v>
      </c>
      <c r="AO531" s="55">
        <f>H531*0.693217822</f>
        <v>0</v>
      </c>
      <c r="AP531" s="55">
        <f>H531*(1-0.693217822)</f>
        <v>0</v>
      </c>
      <c r="AQ531" s="58" t="s">
        <v>125</v>
      </c>
      <c r="AV531" s="55">
        <f>AW531+AX531</f>
        <v>0</v>
      </c>
      <c r="AW531" s="55">
        <f>G531*AO531</f>
        <v>0</v>
      </c>
      <c r="AX531" s="55">
        <f>G531*AP531</f>
        <v>0</v>
      </c>
      <c r="AY531" s="58" t="s">
        <v>1067</v>
      </c>
      <c r="AZ531" s="58" t="s">
        <v>1068</v>
      </c>
      <c r="BA531" s="34" t="s">
        <v>128</v>
      </c>
      <c r="BB531" s="67">
        <v>100033</v>
      </c>
      <c r="BC531" s="55">
        <f>AW531+AX531</f>
        <v>0</v>
      </c>
      <c r="BD531" s="55">
        <f>H531/(100-BE531)*100</f>
        <v>0</v>
      </c>
      <c r="BE531" s="55">
        <v>0</v>
      </c>
      <c r="BF531" s="55">
        <f>K531</f>
        <v>0.000586</v>
      </c>
      <c r="BH531" s="55">
        <f>G531*AO531</f>
        <v>0</v>
      </c>
      <c r="BI531" s="55">
        <f>G531*AP531</f>
        <v>0</v>
      </c>
      <c r="BJ531" s="55">
        <f>G531*H531</f>
        <v>0</v>
      </c>
      <c r="BK531" s="55"/>
      <c r="BL531" s="55">
        <v>711</v>
      </c>
      <c r="BW531" s="55">
        <v>21</v>
      </c>
    </row>
    <row r="532" spans="1:12" ht="13.5" customHeight="1">
      <c r="A532" s="59"/>
      <c r="D532" s="218" t="s">
        <v>1083</v>
      </c>
      <c r="E532" s="219"/>
      <c r="F532" s="219"/>
      <c r="G532" s="219"/>
      <c r="H532" s="219"/>
      <c r="I532" s="219"/>
      <c r="J532" s="219"/>
      <c r="K532" s="219"/>
      <c r="L532" s="221"/>
    </row>
    <row r="533" spans="1:12" ht="14.4">
      <c r="A533" s="59"/>
      <c r="D533" s="60" t="s">
        <v>896</v>
      </c>
      <c r="E533" s="60" t="s">
        <v>1084</v>
      </c>
      <c r="G533" s="68">
        <v>10.3</v>
      </c>
      <c r="L533" s="69"/>
    </row>
    <row r="534" spans="1:12" ht="14.4">
      <c r="A534" s="59"/>
      <c r="D534" s="60" t="s">
        <v>1085</v>
      </c>
      <c r="E534" s="60" t="s">
        <v>1074</v>
      </c>
      <c r="G534" s="68">
        <v>13.2</v>
      </c>
      <c r="L534" s="69"/>
    </row>
    <row r="535" spans="1:12" ht="14.4">
      <c r="A535" s="59"/>
      <c r="D535" s="60" t="s">
        <v>1086</v>
      </c>
      <c r="E535" s="60" t="s">
        <v>1076</v>
      </c>
      <c r="G535" s="68">
        <v>5.8</v>
      </c>
      <c r="L535" s="69"/>
    </row>
    <row r="536" spans="1:75" ht="13.5" customHeight="1">
      <c r="A536" s="1" t="s">
        <v>1087</v>
      </c>
      <c r="B536" s="2" t="s">
        <v>116</v>
      </c>
      <c r="C536" s="2" t="s">
        <v>1088</v>
      </c>
      <c r="D536" s="147" t="s">
        <v>1089</v>
      </c>
      <c r="E536" s="148"/>
      <c r="F536" s="2" t="s">
        <v>939</v>
      </c>
      <c r="G536" s="55">
        <f>'Stavební rozpočet-vyplnit'!G536</f>
        <v>0.04</v>
      </c>
      <c r="H536" s="55">
        <f>'Stavební rozpočet-vyplnit'!H536</f>
        <v>0</v>
      </c>
      <c r="I536" s="55">
        <f>G536*H536</f>
        <v>0</v>
      </c>
      <c r="J536" s="55">
        <f>'Stavební rozpočet-vyplnit'!J536</f>
        <v>0</v>
      </c>
      <c r="K536" s="55">
        <f>G536*J536</f>
        <v>0</v>
      </c>
      <c r="L536" s="57" t="s">
        <v>785</v>
      </c>
      <c r="Z536" s="55">
        <f>IF(AQ536="5",BJ536,0)</f>
        <v>0</v>
      </c>
      <c r="AB536" s="55">
        <f>IF(AQ536="1",BH536,0)</f>
        <v>0</v>
      </c>
      <c r="AC536" s="55">
        <f>IF(AQ536="1",BI536,0)</f>
        <v>0</v>
      </c>
      <c r="AD536" s="55">
        <f>IF(AQ536="7",BH536,0)</f>
        <v>0</v>
      </c>
      <c r="AE536" s="55">
        <f>IF(AQ536="7",BI536,0)</f>
        <v>0</v>
      </c>
      <c r="AF536" s="55">
        <f>IF(AQ536="2",BH536,0)</f>
        <v>0</v>
      </c>
      <c r="AG536" s="55">
        <f>IF(AQ536="2",BI536,0)</f>
        <v>0</v>
      </c>
      <c r="AH536" s="55">
        <f>IF(AQ536="0",BJ536,0)</f>
        <v>0</v>
      </c>
      <c r="AI536" s="34" t="s">
        <v>116</v>
      </c>
      <c r="AJ536" s="55">
        <f>IF(AN536=0,I536,0)</f>
        <v>0</v>
      </c>
      <c r="AK536" s="55">
        <f>IF(AN536=12,I536,0)</f>
        <v>0</v>
      </c>
      <c r="AL536" s="55">
        <f>IF(AN536=21,I536,0)</f>
        <v>0</v>
      </c>
      <c r="AN536" s="55">
        <v>21</v>
      </c>
      <c r="AO536" s="55">
        <f>H536*0</f>
        <v>0</v>
      </c>
      <c r="AP536" s="55">
        <f>H536*(1-0)</f>
        <v>0</v>
      </c>
      <c r="AQ536" s="58" t="s">
        <v>139</v>
      </c>
      <c r="AV536" s="55">
        <f>AW536+AX536</f>
        <v>0</v>
      </c>
      <c r="AW536" s="55">
        <f>G536*AO536</f>
        <v>0</v>
      </c>
      <c r="AX536" s="55">
        <f>G536*AP536</f>
        <v>0</v>
      </c>
      <c r="AY536" s="58" t="s">
        <v>1067</v>
      </c>
      <c r="AZ536" s="58" t="s">
        <v>1068</v>
      </c>
      <c r="BA536" s="34" t="s">
        <v>128</v>
      </c>
      <c r="BC536" s="55">
        <f>AW536+AX536</f>
        <v>0</v>
      </c>
      <c r="BD536" s="55">
        <f>H536/(100-BE536)*100</f>
        <v>0</v>
      </c>
      <c r="BE536" s="55">
        <v>0</v>
      </c>
      <c r="BF536" s="55">
        <f>K536</f>
        <v>0</v>
      </c>
      <c r="BH536" s="55">
        <f>G536*AO536</f>
        <v>0</v>
      </c>
      <c r="BI536" s="55">
        <f>G536*AP536</f>
        <v>0</v>
      </c>
      <c r="BJ536" s="55">
        <f>G536*H536</f>
        <v>0</v>
      </c>
      <c r="BK536" s="55"/>
      <c r="BL536" s="55">
        <v>711</v>
      </c>
      <c r="BW536" s="55">
        <v>21</v>
      </c>
    </row>
    <row r="537" spans="1:12" ht="14.4">
      <c r="A537" s="59"/>
      <c r="D537" s="60" t="s">
        <v>1090</v>
      </c>
      <c r="E537" s="60" t="s">
        <v>4</v>
      </c>
      <c r="G537" s="68">
        <v>0.04</v>
      </c>
      <c r="L537" s="69"/>
    </row>
    <row r="538" spans="1:47" ht="14.4">
      <c r="A538" s="50" t="s">
        <v>4</v>
      </c>
      <c r="B538" s="51" t="s">
        <v>116</v>
      </c>
      <c r="C538" s="51" t="s">
        <v>1091</v>
      </c>
      <c r="D538" s="222" t="s">
        <v>1092</v>
      </c>
      <c r="E538" s="223"/>
      <c r="F538" s="52" t="s">
        <v>79</v>
      </c>
      <c r="G538" s="52" t="s">
        <v>79</v>
      </c>
      <c r="H538" s="52" t="s">
        <v>79</v>
      </c>
      <c r="I538" s="27">
        <f>SUM(I539:I669)</f>
        <v>0</v>
      </c>
      <c r="J538" s="34" t="s">
        <v>4</v>
      </c>
      <c r="K538" s="27">
        <f>SUM(K539:K669)</f>
        <v>4.640213000000001</v>
      </c>
      <c r="L538" s="54" t="s">
        <v>4</v>
      </c>
      <c r="AI538" s="34" t="s">
        <v>116</v>
      </c>
      <c r="AS538" s="27">
        <f>SUM(AJ539:AJ669)</f>
        <v>0</v>
      </c>
      <c r="AT538" s="27">
        <f>SUM(AK539:AK669)</f>
        <v>0</v>
      </c>
      <c r="AU538" s="27">
        <f>SUM(AL539:AL669)</f>
        <v>0</v>
      </c>
    </row>
    <row r="539" spans="1:75" ht="13.5" customHeight="1">
      <c r="A539" s="1" t="s">
        <v>1093</v>
      </c>
      <c r="B539" s="2" t="s">
        <v>116</v>
      </c>
      <c r="C539" s="2" t="s">
        <v>1094</v>
      </c>
      <c r="D539" s="147" t="s">
        <v>1095</v>
      </c>
      <c r="E539" s="148"/>
      <c r="F539" s="2" t="s">
        <v>729</v>
      </c>
      <c r="G539" s="55">
        <f>'Stavební rozpočet-vyplnit'!G539</f>
        <v>367.7</v>
      </c>
      <c r="H539" s="55">
        <f>'Stavební rozpočet-vyplnit'!H539</f>
        <v>0</v>
      </c>
      <c r="I539" s="55">
        <f>G539*H539</f>
        <v>0</v>
      </c>
      <c r="J539" s="55">
        <f>'Stavební rozpočet-vyplnit'!J539</f>
        <v>0.0022</v>
      </c>
      <c r="K539" s="55">
        <f>G539*J539</f>
        <v>0.80894</v>
      </c>
      <c r="L539" s="57" t="s">
        <v>124</v>
      </c>
      <c r="Z539" s="55">
        <f>IF(AQ539="5",BJ539,0)</f>
        <v>0</v>
      </c>
      <c r="AB539" s="55">
        <f>IF(AQ539="1",BH539,0)</f>
        <v>0</v>
      </c>
      <c r="AC539" s="55">
        <f>IF(AQ539="1",BI539,0)</f>
        <v>0</v>
      </c>
      <c r="AD539" s="55">
        <f>IF(AQ539="7",BH539,0)</f>
        <v>0</v>
      </c>
      <c r="AE539" s="55">
        <f>IF(AQ539="7",BI539,0)</f>
        <v>0</v>
      </c>
      <c r="AF539" s="55">
        <f>IF(AQ539="2",BH539,0)</f>
        <v>0</v>
      </c>
      <c r="AG539" s="55">
        <f>IF(AQ539="2",BI539,0)</f>
        <v>0</v>
      </c>
      <c r="AH539" s="55">
        <f>IF(AQ539="0",BJ539,0)</f>
        <v>0</v>
      </c>
      <c r="AI539" s="34" t="s">
        <v>116</v>
      </c>
      <c r="AJ539" s="55">
        <f>IF(AN539=0,I539,0)</f>
        <v>0</v>
      </c>
      <c r="AK539" s="55">
        <f>IF(AN539=12,I539,0)</f>
        <v>0</v>
      </c>
      <c r="AL539" s="55">
        <f>IF(AN539=21,I539,0)</f>
        <v>0</v>
      </c>
      <c r="AN539" s="55">
        <v>21</v>
      </c>
      <c r="AO539" s="55">
        <f>H539*0</f>
        <v>0</v>
      </c>
      <c r="AP539" s="55">
        <f>H539*(1-0)</f>
        <v>0</v>
      </c>
      <c r="AQ539" s="58" t="s">
        <v>125</v>
      </c>
      <c r="AV539" s="55">
        <f>AW539+AX539</f>
        <v>0</v>
      </c>
      <c r="AW539" s="55">
        <f>G539*AO539</f>
        <v>0</v>
      </c>
      <c r="AX539" s="55">
        <f>G539*AP539</f>
        <v>0</v>
      </c>
      <c r="AY539" s="58" t="s">
        <v>1096</v>
      </c>
      <c r="AZ539" s="58" t="s">
        <v>1068</v>
      </c>
      <c r="BA539" s="34" t="s">
        <v>128</v>
      </c>
      <c r="BB539" s="67">
        <v>100005</v>
      </c>
      <c r="BC539" s="55">
        <f>AW539+AX539</f>
        <v>0</v>
      </c>
      <c r="BD539" s="55">
        <f>H539/(100-BE539)*100</f>
        <v>0</v>
      </c>
      <c r="BE539" s="55">
        <v>0</v>
      </c>
      <c r="BF539" s="55">
        <f>K539</f>
        <v>0.80894</v>
      </c>
      <c r="BH539" s="55">
        <f>G539*AO539</f>
        <v>0</v>
      </c>
      <c r="BI539" s="55">
        <f>G539*AP539</f>
        <v>0</v>
      </c>
      <c r="BJ539" s="55">
        <f>G539*H539</f>
        <v>0</v>
      </c>
      <c r="BK539" s="55"/>
      <c r="BL539" s="55">
        <v>713</v>
      </c>
      <c r="BW539" s="55">
        <v>21</v>
      </c>
    </row>
    <row r="540" spans="1:12" ht="13.5" customHeight="1">
      <c r="A540" s="59"/>
      <c r="D540" s="218" t="s">
        <v>1097</v>
      </c>
      <c r="E540" s="219"/>
      <c r="F540" s="219"/>
      <c r="G540" s="219"/>
      <c r="H540" s="219"/>
      <c r="I540" s="219"/>
      <c r="J540" s="219"/>
      <c r="K540" s="219"/>
      <c r="L540" s="221"/>
    </row>
    <row r="541" spans="1:12" ht="14.4">
      <c r="A541" s="59"/>
      <c r="D541" s="60" t="s">
        <v>1098</v>
      </c>
      <c r="E541" s="60" t="s">
        <v>4</v>
      </c>
      <c r="G541" s="68">
        <v>367.7</v>
      </c>
      <c r="L541" s="69"/>
    </row>
    <row r="542" spans="1:75" ht="13.5" customHeight="1">
      <c r="A542" s="1" t="s">
        <v>1099</v>
      </c>
      <c r="B542" s="2" t="s">
        <v>116</v>
      </c>
      <c r="C542" s="2" t="s">
        <v>1100</v>
      </c>
      <c r="D542" s="147" t="s">
        <v>1101</v>
      </c>
      <c r="E542" s="148"/>
      <c r="F542" s="2" t="s">
        <v>729</v>
      </c>
      <c r="G542" s="55">
        <f>'Stavební rozpočet-vyplnit'!G542</f>
        <v>316.12</v>
      </c>
      <c r="H542" s="55">
        <f>'Stavební rozpočet-vyplnit'!H542</f>
        <v>0</v>
      </c>
      <c r="I542" s="55">
        <f>G542*H542</f>
        <v>0</v>
      </c>
      <c r="J542" s="55">
        <f>'Stavební rozpočet-vyplnit'!J542</f>
        <v>0</v>
      </c>
      <c r="K542" s="55">
        <f>G542*J542</f>
        <v>0</v>
      </c>
      <c r="L542" s="57" t="s">
        <v>785</v>
      </c>
      <c r="Z542" s="55">
        <f>IF(AQ542="5",BJ542,0)</f>
        <v>0</v>
      </c>
      <c r="AB542" s="55">
        <f>IF(AQ542="1",BH542,0)</f>
        <v>0</v>
      </c>
      <c r="AC542" s="55">
        <f>IF(AQ542="1",BI542,0)</f>
        <v>0</v>
      </c>
      <c r="AD542" s="55">
        <f>IF(AQ542="7",BH542,0)</f>
        <v>0</v>
      </c>
      <c r="AE542" s="55">
        <f>IF(AQ542="7",BI542,0)</f>
        <v>0</v>
      </c>
      <c r="AF542" s="55">
        <f>IF(AQ542="2",BH542,0)</f>
        <v>0</v>
      </c>
      <c r="AG542" s="55">
        <f>IF(AQ542="2",BI542,0)</f>
        <v>0</v>
      </c>
      <c r="AH542" s="55">
        <f>IF(AQ542="0",BJ542,0)</f>
        <v>0</v>
      </c>
      <c r="AI542" s="34" t="s">
        <v>116</v>
      </c>
      <c r="AJ542" s="55">
        <f>IF(AN542=0,I542,0)</f>
        <v>0</v>
      </c>
      <c r="AK542" s="55">
        <f>IF(AN542=12,I542,0)</f>
        <v>0</v>
      </c>
      <c r="AL542" s="55">
        <f>IF(AN542=21,I542,0)</f>
        <v>0</v>
      </c>
      <c r="AN542" s="55">
        <v>21</v>
      </c>
      <c r="AO542" s="55">
        <f>H542*0</f>
        <v>0</v>
      </c>
      <c r="AP542" s="55">
        <f>H542*(1-0)</f>
        <v>0</v>
      </c>
      <c r="AQ542" s="58" t="s">
        <v>125</v>
      </c>
      <c r="AV542" s="55">
        <f>AW542+AX542</f>
        <v>0</v>
      </c>
      <c r="AW542" s="55">
        <f>G542*AO542</f>
        <v>0</v>
      </c>
      <c r="AX542" s="55">
        <f>G542*AP542</f>
        <v>0</v>
      </c>
      <c r="AY542" s="58" t="s">
        <v>1096</v>
      </c>
      <c r="AZ542" s="58" t="s">
        <v>1068</v>
      </c>
      <c r="BA542" s="34" t="s">
        <v>128</v>
      </c>
      <c r="BB542" s="67">
        <v>100005</v>
      </c>
      <c r="BC542" s="55">
        <f>AW542+AX542</f>
        <v>0</v>
      </c>
      <c r="BD542" s="55">
        <f>H542/(100-BE542)*100</f>
        <v>0</v>
      </c>
      <c r="BE542" s="55">
        <v>0</v>
      </c>
      <c r="BF542" s="55">
        <f>K542</f>
        <v>0</v>
      </c>
      <c r="BH542" s="55">
        <f>G542*AO542</f>
        <v>0</v>
      </c>
      <c r="BI542" s="55">
        <f>G542*AP542</f>
        <v>0</v>
      </c>
      <c r="BJ542" s="55">
        <f>G542*H542</f>
        <v>0</v>
      </c>
      <c r="BK542" s="55"/>
      <c r="BL542" s="55">
        <v>713</v>
      </c>
      <c r="BW542" s="55">
        <v>21</v>
      </c>
    </row>
    <row r="543" spans="1:12" ht="13.5" customHeight="1">
      <c r="A543" s="59"/>
      <c r="D543" s="218" t="s">
        <v>1102</v>
      </c>
      <c r="E543" s="219"/>
      <c r="F543" s="219"/>
      <c r="G543" s="219"/>
      <c r="H543" s="219"/>
      <c r="I543" s="219"/>
      <c r="J543" s="219"/>
      <c r="K543" s="219"/>
      <c r="L543" s="221"/>
    </row>
    <row r="544" spans="1:12" ht="14.4">
      <c r="A544" s="59"/>
      <c r="D544" s="60" t="s">
        <v>1103</v>
      </c>
      <c r="E544" s="60" t="s">
        <v>1104</v>
      </c>
      <c r="G544" s="68">
        <v>7.42</v>
      </c>
      <c r="L544" s="69"/>
    </row>
    <row r="545" spans="1:12" ht="14.4">
      <c r="A545" s="59"/>
      <c r="D545" s="60" t="s">
        <v>999</v>
      </c>
      <c r="E545" s="60" t="s">
        <v>1105</v>
      </c>
      <c r="G545" s="68">
        <v>52.9</v>
      </c>
      <c r="L545" s="69"/>
    </row>
    <row r="546" spans="1:12" ht="14.4">
      <c r="A546" s="59"/>
      <c r="D546" s="60" t="s">
        <v>1003</v>
      </c>
      <c r="E546" s="60" t="s">
        <v>1106</v>
      </c>
      <c r="G546" s="68">
        <v>255.8</v>
      </c>
      <c r="L546" s="69"/>
    </row>
    <row r="547" spans="1:75" ht="13.5" customHeight="1">
      <c r="A547" s="61" t="s">
        <v>1107</v>
      </c>
      <c r="B547" s="62" t="s">
        <v>116</v>
      </c>
      <c r="C547" s="62" t="s">
        <v>1108</v>
      </c>
      <c r="D547" s="224" t="s">
        <v>1109</v>
      </c>
      <c r="E547" s="225"/>
      <c r="F547" s="62" t="s">
        <v>729</v>
      </c>
      <c r="G547" s="63">
        <f>'Stavební rozpočet-vyplnit'!G547</f>
        <v>268.59</v>
      </c>
      <c r="H547" s="63">
        <f>'Stavební rozpočet-vyplnit'!H547</f>
        <v>0</v>
      </c>
      <c r="I547" s="63">
        <f>G547*H547</f>
        <v>0</v>
      </c>
      <c r="J547" s="63">
        <f>'Stavební rozpočet-vyplnit'!J547</f>
        <v>0.0036</v>
      </c>
      <c r="K547" s="63">
        <f>G547*J547</f>
        <v>0.9669239999999999</v>
      </c>
      <c r="L547" s="65" t="s">
        <v>1110</v>
      </c>
      <c r="Z547" s="55">
        <f>IF(AQ547="5",BJ547,0)</f>
        <v>0</v>
      </c>
      <c r="AB547" s="55">
        <f>IF(AQ547="1",BH547,0)</f>
        <v>0</v>
      </c>
      <c r="AC547" s="55">
        <f>IF(AQ547="1",BI547,0)</f>
        <v>0</v>
      </c>
      <c r="AD547" s="55">
        <f>IF(AQ547="7",BH547,0)</f>
        <v>0</v>
      </c>
      <c r="AE547" s="55">
        <f>IF(AQ547="7",BI547,0)</f>
        <v>0</v>
      </c>
      <c r="AF547" s="55">
        <f>IF(AQ547="2",BH547,0)</f>
        <v>0</v>
      </c>
      <c r="AG547" s="55">
        <f>IF(AQ547="2",BI547,0)</f>
        <v>0</v>
      </c>
      <c r="AH547" s="55">
        <f>IF(AQ547="0",BJ547,0)</f>
        <v>0</v>
      </c>
      <c r="AI547" s="34" t="s">
        <v>116</v>
      </c>
      <c r="AJ547" s="63">
        <f>IF(AN547=0,I547,0)</f>
        <v>0</v>
      </c>
      <c r="AK547" s="63">
        <f>IF(AN547=12,I547,0)</f>
        <v>0</v>
      </c>
      <c r="AL547" s="63">
        <f>IF(AN547=21,I547,0)</f>
        <v>0</v>
      </c>
      <c r="AN547" s="55">
        <v>21</v>
      </c>
      <c r="AO547" s="55">
        <f>H547*1</f>
        <v>0</v>
      </c>
      <c r="AP547" s="55">
        <f>H547*(1-1)</f>
        <v>0</v>
      </c>
      <c r="AQ547" s="66" t="s">
        <v>125</v>
      </c>
      <c r="AV547" s="55">
        <f>AW547+AX547</f>
        <v>0</v>
      </c>
      <c r="AW547" s="55">
        <f>G547*AO547</f>
        <v>0</v>
      </c>
      <c r="AX547" s="55">
        <f>G547*AP547</f>
        <v>0</v>
      </c>
      <c r="AY547" s="58" t="s">
        <v>1096</v>
      </c>
      <c r="AZ547" s="58" t="s">
        <v>1068</v>
      </c>
      <c r="BA547" s="34" t="s">
        <v>128</v>
      </c>
      <c r="BC547" s="55">
        <f>AW547+AX547</f>
        <v>0</v>
      </c>
      <c r="BD547" s="55">
        <f>H547/(100-BE547)*100</f>
        <v>0</v>
      </c>
      <c r="BE547" s="55">
        <v>0</v>
      </c>
      <c r="BF547" s="55">
        <f>K547</f>
        <v>0.9669239999999999</v>
      </c>
      <c r="BH547" s="63">
        <f>G547*AO547</f>
        <v>0</v>
      </c>
      <c r="BI547" s="63">
        <f>G547*AP547</f>
        <v>0</v>
      </c>
      <c r="BJ547" s="63">
        <f>G547*H547</f>
        <v>0</v>
      </c>
      <c r="BK547" s="63"/>
      <c r="BL547" s="55">
        <v>713</v>
      </c>
      <c r="BW547" s="55">
        <v>21</v>
      </c>
    </row>
    <row r="548" spans="1:12" ht="14.4">
      <c r="A548" s="59"/>
      <c r="D548" s="60" t="s">
        <v>1003</v>
      </c>
      <c r="E548" s="60" t="s">
        <v>1106</v>
      </c>
      <c r="G548" s="68">
        <v>255.8</v>
      </c>
      <c r="L548" s="69"/>
    </row>
    <row r="549" spans="1:12" ht="14.4">
      <c r="A549" s="59"/>
      <c r="D549" s="60" t="s">
        <v>1111</v>
      </c>
      <c r="E549" s="60" t="s">
        <v>4</v>
      </c>
      <c r="G549" s="68">
        <v>12.79</v>
      </c>
      <c r="L549" s="69"/>
    </row>
    <row r="550" spans="1:75" ht="13.5" customHeight="1">
      <c r="A550" s="61" t="s">
        <v>1112</v>
      </c>
      <c r="B550" s="62" t="s">
        <v>116</v>
      </c>
      <c r="C550" s="62" t="s">
        <v>1113</v>
      </c>
      <c r="D550" s="224" t="s">
        <v>1114</v>
      </c>
      <c r="E550" s="225"/>
      <c r="F550" s="62" t="s">
        <v>729</v>
      </c>
      <c r="G550" s="63">
        <f>'Stavební rozpočet-vyplnit'!G550</f>
        <v>55.55</v>
      </c>
      <c r="H550" s="63">
        <f>'Stavební rozpočet-vyplnit'!H550</f>
        <v>0</v>
      </c>
      <c r="I550" s="63">
        <f>G550*H550</f>
        <v>0</v>
      </c>
      <c r="J550" s="63">
        <f>'Stavební rozpočet-vyplnit'!J550</f>
        <v>0.00225</v>
      </c>
      <c r="K550" s="63">
        <f>G550*J550</f>
        <v>0.12498749999999999</v>
      </c>
      <c r="L550" s="65" t="s">
        <v>1110</v>
      </c>
      <c r="Z550" s="55">
        <f>IF(AQ550="5",BJ550,0)</f>
        <v>0</v>
      </c>
      <c r="AB550" s="55">
        <f>IF(AQ550="1",BH550,0)</f>
        <v>0</v>
      </c>
      <c r="AC550" s="55">
        <f>IF(AQ550="1",BI550,0)</f>
        <v>0</v>
      </c>
      <c r="AD550" s="55">
        <f>IF(AQ550="7",BH550,0)</f>
        <v>0</v>
      </c>
      <c r="AE550" s="55">
        <f>IF(AQ550="7",BI550,0)</f>
        <v>0</v>
      </c>
      <c r="AF550" s="55">
        <f>IF(AQ550="2",BH550,0)</f>
        <v>0</v>
      </c>
      <c r="AG550" s="55">
        <f>IF(AQ550="2",BI550,0)</f>
        <v>0</v>
      </c>
      <c r="AH550" s="55">
        <f>IF(AQ550="0",BJ550,0)</f>
        <v>0</v>
      </c>
      <c r="AI550" s="34" t="s">
        <v>116</v>
      </c>
      <c r="AJ550" s="63">
        <f>IF(AN550=0,I550,0)</f>
        <v>0</v>
      </c>
      <c r="AK550" s="63">
        <f>IF(AN550=12,I550,0)</f>
        <v>0</v>
      </c>
      <c r="AL550" s="63">
        <f>IF(AN550=21,I550,0)</f>
        <v>0</v>
      </c>
      <c r="AN550" s="55">
        <v>21</v>
      </c>
      <c r="AO550" s="55">
        <f>H550*1</f>
        <v>0</v>
      </c>
      <c r="AP550" s="55">
        <f>H550*(1-1)</f>
        <v>0</v>
      </c>
      <c r="AQ550" s="66" t="s">
        <v>125</v>
      </c>
      <c r="AV550" s="55">
        <f>AW550+AX550</f>
        <v>0</v>
      </c>
      <c r="AW550" s="55">
        <f>G550*AO550</f>
        <v>0</v>
      </c>
      <c r="AX550" s="55">
        <f>G550*AP550</f>
        <v>0</v>
      </c>
      <c r="AY550" s="58" t="s">
        <v>1096</v>
      </c>
      <c r="AZ550" s="58" t="s">
        <v>1068</v>
      </c>
      <c r="BA550" s="34" t="s">
        <v>128</v>
      </c>
      <c r="BC550" s="55">
        <f>AW550+AX550</f>
        <v>0</v>
      </c>
      <c r="BD550" s="55">
        <f>H550/(100-BE550)*100</f>
        <v>0</v>
      </c>
      <c r="BE550" s="55">
        <v>0</v>
      </c>
      <c r="BF550" s="55">
        <f>K550</f>
        <v>0.12498749999999999</v>
      </c>
      <c r="BH550" s="63">
        <f>G550*AO550</f>
        <v>0</v>
      </c>
      <c r="BI550" s="63">
        <f>G550*AP550</f>
        <v>0</v>
      </c>
      <c r="BJ550" s="63">
        <f>G550*H550</f>
        <v>0</v>
      </c>
      <c r="BK550" s="63"/>
      <c r="BL550" s="55">
        <v>713</v>
      </c>
      <c r="BW550" s="55">
        <v>21</v>
      </c>
    </row>
    <row r="551" spans="1:12" ht="14.4">
      <c r="A551" s="59"/>
      <c r="D551" s="60" t="s">
        <v>999</v>
      </c>
      <c r="E551" s="60" t="s">
        <v>1105</v>
      </c>
      <c r="G551" s="68">
        <v>52.9</v>
      </c>
      <c r="L551" s="69"/>
    </row>
    <row r="552" spans="1:12" ht="14.4">
      <c r="A552" s="59"/>
      <c r="D552" s="60" t="s">
        <v>1115</v>
      </c>
      <c r="E552" s="60" t="s">
        <v>4</v>
      </c>
      <c r="G552" s="68">
        <v>2.65</v>
      </c>
      <c r="L552" s="69"/>
    </row>
    <row r="553" spans="1:75" ht="13.5" customHeight="1">
      <c r="A553" s="61" t="s">
        <v>1116</v>
      </c>
      <c r="B553" s="62" t="s">
        <v>116</v>
      </c>
      <c r="C553" s="62" t="s">
        <v>1117</v>
      </c>
      <c r="D553" s="224" t="s">
        <v>1118</v>
      </c>
      <c r="E553" s="225"/>
      <c r="F553" s="62" t="s">
        <v>729</v>
      </c>
      <c r="G553" s="63">
        <f>'Stavební rozpočet-vyplnit'!G553</f>
        <v>7.79</v>
      </c>
      <c r="H553" s="63">
        <f>'Stavební rozpočet-vyplnit'!H553</f>
        <v>0</v>
      </c>
      <c r="I553" s="63">
        <f>G553*H553</f>
        <v>0</v>
      </c>
      <c r="J553" s="63">
        <f>'Stavební rozpočet-vyplnit'!J553</f>
        <v>0.001</v>
      </c>
      <c r="K553" s="63">
        <f>G553*J553</f>
        <v>0.00779</v>
      </c>
      <c r="L553" s="65" t="s">
        <v>785</v>
      </c>
      <c r="Z553" s="55">
        <f>IF(AQ553="5",BJ553,0)</f>
        <v>0</v>
      </c>
      <c r="AB553" s="55">
        <f>IF(AQ553="1",BH553,0)</f>
        <v>0</v>
      </c>
      <c r="AC553" s="55">
        <f>IF(AQ553="1",BI553,0)</f>
        <v>0</v>
      </c>
      <c r="AD553" s="55">
        <f>IF(AQ553="7",BH553,0)</f>
        <v>0</v>
      </c>
      <c r="AE553" s="55">
        <f>IF(AQ553="7",BI553,0)</f>
        <v>0</v>
      </c>
      <c r="AF553" s="55">
        <f>IF(AQ553="2",BH553,0)</f>
        <v>0</v>
      </c>
      <c r="AG553" s="55">
        <f>IF(AQ553="2",BI553,0)</f>
        <v>0</v>
      </c>
      <c r="AH553" s="55">
        <f>IF(AQ553="0",BJ553,0)</f>
        <v>0</v>
      </c>
      <c r="AI553" s="34" t="s">
        <v>116</v>
      </c>
      <c r="AJ553" s="63">
        <f>IF(AN553=0,I553,0)</f>
        <v>0</v>
      </c>
      <c r="AK553" s="63">
        <f>IF(AN553=12,I553,0)</f>
        <v>0</v>
      </c>
      <c r="AL553" s="63">
        <f>IF(AN553=21,I553,0)</f>
        <v>0</v>
      </c>
      <c r="AN553" s="55">
        <v>21</v>
      </c>
      <c r="AO553" s="55">
        <f>H553*1</f>
        <v>0</v>
      </c>
      <c r="AP553" s="55">
        <f>H553*(1-1)</f>
        <v>0</v>
      </c>
      <c r="AQ553" s="66" t="s">
        <v>125</v>
      </c>
      <c r="AV553" s="55">
        <f>AW553+AX553</f>
        <v>0</v>
      </c>
      <c r="AW553" s="55">
        <f>G553*AO553</f>
        <v>0</v>
      </c>
      <c r="AX553" s="55">
        <f>G553*AP553</f>
        <v>0</v>
      </c>
      <c r="AY553" s="58" t="s">
        <v>1096</v>
      </c>
      <c r="AZ553" s="58" t="s">
        <v>1068</v>
      </c>
      <c r="BA553" s="34" t="s">
        <v>128</v>
      </c>
      <c r="BC553" s="55">
        <f>AW553+AX553</f>
        <v>0</v>
      </c>
      <c r="BD553" s="55">
        <f>H553/(100-BE553)*100</f>
        <v>0</v>
      </c>
      <c r="BE553" s="55">
        <v>0</v>
      </c>
      <c r="BF553" s="55">
        <f>K553</f>
        <v>0.00779</v>
      </c>
      <c r="BH553" s="63">
        <f>G553*AO553</f>
        <v>0</v>
      </c>
      <c r="BI553" s="63">
        <f>G553*AP553</f>
        <v>0</v>
      </c>
      <c r="BJ553" s="63">
        <f>G553*H553</f>
        <v>0</v>
      </c>
      <c r="BK553" s="63"/>
      <c r="BL553" s="55">
        <v>713</v>
      </c>
      <c r="BW553" s="55">
        <v>21</v>
      </c>
    </row>
    <row r="554" spans="1:12" ht="14.4">
      <c r="A554" s="59"/>
      <c r="D554" s="60" t="s">
        <v>1103</v>
      </c>
      <c r="E554" s="60" t="s">
        <v>1104</v>
      </c>
      <c r="G554" s="68">
        <v>7.42</v>
      </c>
      <c r="L554" s="69"/>
    </row>
    <row r="555" spans="1:12" ht="14.4">
      <c r="A555" s="59"/>
      <c r="D555" s="60" t="s">
        <v>1119</v>
      </c>
      <c r="E555" s="60" t="s">
        <v>4</v>
      </c>
      <c r="G555" s="68">
        <v>0.37</v>
      </c>
      <c r="L555" s="69"/>
    </row>
    <row r="556" spans="1:75" ht="13.5" customHeight="1">
      <c r="A556" s="1" t="s">
        <v>1120</v>
      </c>
      <c r="B556" s="2" t="s">
        <v>116</v>
      </c>
      <c r="C556" s="2" t="s">
        <v>1121</v>
      </c>
      <c r="D556" s="147" t="s">
        <v>1122</v>
      </c>
      <c r="E556" s="148"/>
      <c r="F556" s="2" t="s">
        <v>729</v>
      </c>
      <c r="G556" s="55">
        <f>'Stavební rozpočet-vyplnit'!G556</f>
        <v>367.7</v>
      </c>
      <c r="H556" s="55">
        <f>'Stavební rozpočet-vyplnit'!H556</f>
        <v>0</v>
      </c>
      <c r="I556" s="55">
        <f>G556*H556</f>
        <v>0</v>
      </c>
      <c r="J556" s="55">
        <f>'Stavební rozpočet-vyplnit'!J556</f>
        <v>0</v>
      </c>
      <c r="K556" s="55">
        <f>G556*J556</f>
        <v>0</v>
      </c>
      <c r="L556" s="57" t="s">
        <v>785</v>
      </c>
      <c r="Z556" s="55">
        <f>IF(AQ556="5",BJ556,0)</f>
        <v>0</v>
      </c>
      <c r="AB556" s="55">
        <f>IF(AQ556="1",BH556,0)</f>
        <v>0</v>
      </c>
      <c r="AC556" s="55">
        <f>IF(AQ556="1",BI556,0)</f>
        <v>0</v>
      </c>
      <c r="AD556" s="55">
        <f>IF(AQ556="7",BH556,0)</f>
        <v>0</v>
      </c>
      <c r="AE556" s="55">
        <f>IF(AQ556="7",BI556,0)</f>
        <v>0</v>
      </c>
      <c r="AF556" s="55">
        <f>IF(AQ556="2",BH556,0)</f>
        <v>0</v>
      </c>
      <c r="AG556" s="55">
        <f>IF(AQ556="2",BI556,0)</f>
        <v>0</v>
      </c>
      <c r="AH556" s="55">
        <f>IF(AQ556="0",BJ556,0)</f>
        <v>0</v>
      </c>
      <c r="AI556" s="34" t="s">
        <v>116</v>
      </c>
      <c r="AJ556" s="55">
        <f>IF(AN556=0,I556,0)</f>
        <v>0</v>
      </c>
      <c r="AK556" s="55">
        <f>IF(AN556=12,I556,0)</f>
        <v>0</v>
      </c>
      <c r="AL556" s="55">
        <f>IF(AN556=21,I556,0)</f>
        <v>0</v>
      </c>
      <c r="AN556" s="55">
        <v>21</v>
      </c>
      <c r="AO556" s="55">
        <f>H556*0</f>
        <v>0</v>
      </c>
      <c r="AP556" s="55">
        <f>H556*(1-0)</f>
        <v>0</v>
      </c>
      <c r="AQ556" s="58" t="s">
        <v>125</v>
      </c>
      <c r="AV556" s="55">
        <f>AW556+AX556</f>
        <v>0</v>
      </c>
      <c r="AW556" s="55">
        <f>G556*AO556</f>
        <v>0</v>
      </c>
      <c r="AX556" s="55">
        <f>G556*AP556</f>
        <v>0</v>
      </c>
      <c r="AY556" s="58" t="s">
        <v>1096</v>
      </c>
      <c r="AZ556" s="58" t="s">
        <v>1068</v>
      </c>
      <c r="BA556" s="34" t="s">
        <v>128</v>
      </c>
      <c r="BB556" s="67">
        <v>100005</v>
      </c>
      <c r="BC556" s="55">
        <f>AW556+AX556</f>
        <v>0</v>
      </c>
      <c r="BD556" s="55">
        <f>H556/(100-BE556)*100</f>
        <v>0</v>
      </c>
      <c r="BE556" s="55">
        <v>0</v>
      </c>
      <c r="BF556" s="55">
        <f>K556</f>
        <v>0</v>
      </c>
      <c r="BH556" s="55">
        <f>G556*AO556</f>
        <v>0</v>
      </c>
      <c r="BI556" s="55">
        <f>G556*AP556</f>
        <v>0</v>
      </c>
      <c r="BJ556" s="55">
        <f>G556*H556</f>
        <v>0</v>
      </c>
      <c r="BK556" s="55"/>
      <c r="BL556" s="55">
        <v>713</v>
      </c>
      <c r="BW556" s="55">
        <v>21</v>
      </c>
    </row>
    <row r="557" spans="1:12" ht="13.5" customHeight="1">
      <c r="A557" s="59"/>
      <c r="D557" s="218" t="s">
        <v>1123</v>
      </c>
      <c r="E557" s="219"/>
      <c r="F557" s="219"/>
      <c r="G557" s="219"/>
      <c r="H557" s="219"/>
      <c r="I557" s="219"/>
      <c r="J557" s="219"/>
      <c r="K557" s="219"/>
      <c r="L557" s="221"/>
    </row>
    <row r="558" spans="1:12" ht="14.4">
      <c r="A558" s="59"/>
      <c r="D558" s="60" t="s">
        <v>1124</v>
      </c>
      <c r="E558" s="60" t="s">
        <v>816</v>
      </c>
      <c r="G558" s="68">
        <v>367.7</v>
      </c>
      <c r="L558" s="69"/>
    </row>
    <row r="559" spans="1:75" ht="13.5" customHeight="1">
      <c r="A559" s="1" t="s">
        <v>1125</v>
      </c>
      <c r="B559" s="2" t="s">
        <v>116</v>
      </c>
      <c r="C559" s="2" t="s">
        <v>1126</v>
      </c>
      <c r="D559" s="147" t="s">
        <v>1127</v>
      </c>
      <c r="E559" s="148"/>
      <c r="F559" s="2" t="s">
        <v>729</v>
      </c>
      <c r="G559" s="55">
        <f>'Stavební rozpočet-vyplnit'!G559</f>
        <v>367.7</v>
      </c>
      <c r="H559" s="55">
        <f>'Stavební rozpočet-vyplnit'!H559</f>
        <v>0</v>
      </c>
      <c r="I559" s="55">
        <f>G559*H559</f>
        <v>0</v>
      </c>
      <c r="J559" s="55">
        <f>'Stavební rozpočet-vyplnit'!J559</f>
        <v>2E-05</v>
      </c>
      <c r="K559" s="55">
        <f>G559*J559</f>
        <v>0.007354</v>
      </c>
      <c r="L559" s="57" t="s">
        <v>785</v>
      </c>
      <c r="Z559" s="55">
        <f>IF(AQ559="5",BJ559,0)</f>
        <v>0</v>
      </c>
      <c r="AB559" s="55">
        <f>IF(AQ559="1",BH559,0)</f>
        <v>0</v>
      </c>
      <c r="AC559" s="55">
        <f>IF(AQ559="1",BI559,0)</f>
        <v>0</v>
      </c>
      <c r="AD559" s="55">
        <f>IF(AQ559="7",BH559,0)</f>
        <v>0</v>
      </c>
      <c r="AE559" s="55">
        <f>IF(AQ559="7",BI559,0)</f>
        <v>0</v>
      </c>
      <c r="AF559" s="55">
        <f>IF(AQ559="2",BH559,0)</f>
        <v>0</v>
      </c>
      <c r="AG559" s="55">
        <f>IF(AQ559="2",BI559,0)</f>
        <v>0</v>
      </c>
      <c r="AH559" s="55">
        <f>IF(AQ559="0",BJ559,0)</f>
        <v>0</v>
      </c>
      <c r="AI559" s="34" t="s">
        <v>116</v>
      </c>
      <c r="AJ559" s="55">
        <f>IF(AN559=0,I559,0)</f>
        <v>0</v>
      </c>
      <c r="AK559" s="55">
        <f>IF(AN559=12,I559,0)</f>
        <v>0</v>
      </c>
      <c r="AL559" s="55">
        <f>IF(AN559=21,I559,0)</f>
        <v>0</v>
      </c>
      <c r="AN559" s="55">
        <v>21</v>
      </c>
      <c r="AO559" s="55">
        <f>H559*0.087514313</f>
        <v>0</v>
      </c>
      <c r="AP559" s="55">
        <f>H559*(1-0.087514313)</f>
        <v>0</v>
      </c>
      <c r="AQ559" s="58" t="s">
        <v>125</v>
      </c>
      <c r="AV559" s="55">
        <f>AW559+AX559</f>
        <v>0</v>
      </c>
      <c r="AW559" s="55">
        <f>G559*AO559</f>
        <v>0</v>
      </c>
      <c r="AX559" s="55">
        <f>G559*AP559</f>
        <v>0</v>
      </c>
      <c r="AY559" s="58" t="s">
        <v>1096</v>
      </c>
      <c r="AZ559" s="58" t="s">
        <v>1068</v>
      </c>
      <c r="BA559" s="34" t="s">
        <v>128</v>
      </c>
      <c r="BB559" s="67">
        <v>100005</v>
      </c>
      <c r="BC559" s="55">
        <f>AW559+AX559</f>
        <v>0</v>
      </c>
      <c r="BD559" s="55">
        <f>H559/(100-BE559)*100</f>
        <v>0</v>
      </c>
      <c r="BE559" s="55">
        <v>0</v>
      </c>
      <c r="BF559" s="55">
        <f>K559</f>
        <v>0.007354</v>
      </c>
      <c r="BH559" s="55">
        <f>G559*AO559</f>
        <v>0</v>
      </c>
      <c r="BI559" s="55">
        <f>G559*AP559</f>
        <v>0</v>
      </c>
      <c r="BJ559" s="55">
        <f>G559*H559</f>
        <v>0</v>
      </c>
      <c r="BK559" s="55"/>
      <c r="BL559" s="55">
        <v>713</v>
      </c>
      <c r="BW559" s="55">
        <v>21</v>
      </c>
    </row>
    <row r="560" spans="1:12" ht="13.5" customHeight="1">
      <c r="A560" s="59"/>
      <c r="D560" s="218" t="s">
        <v>1128</v>
      </c>
      <c r="E560" s="219"/>
      <c r="F560" s="219"/>
      <c r="G560" s="219"/>
      <c r="H560" s="219"/>
      <c r="I560" s="219"/>
      <c r="J560" s="219"/>
      <c r="K560" s="219"/>
      <c r="L560" s="221"/>
    </row>
    <row r="561" spans="1:12" ht="14.4">
      <c r="A561" s="59"/>
      <c r="D561" s="60" t="s">
        <v>1098</v>
      </c>
      <c r="E561" s="60" t="s">
        <v>4</v>
      </c>
      <c r="G561" s="68">
        <v>367.7</v>
      </c>
      <c r="L561" s="69"/>
    </row>
    <row r="562" spans="1:75" ht="13.5" customHeight="1">
      <c r="A562" s="61" t="s">
        <v>1129</v>
      </c>
      <c r="B562" s="62" t="s">
        <v>116</v>
      </c>
      <c r="C562" s="62" t="s">
        <v>1130</v>
      </c>
      <c r="D562" s="224" t="s">
        <v>1131</v>
      </c>
      <c r="E562" s="225"/>
      <c r="F562" s="62" t="s">
        <v>729</v>
      </c>
      <c r="G562" s="63">
        <f>'Stavební rozpočet-vyplnit'!G562</f>
        <v>404.47</v>
      </c>
      <c r="H562" s="63">
        <f>'Stavební rozpočet-vyplnit'!H562</f>
        <v>0</v>
      </c>
      <c r="I562" s="63">
        <f>G562*H562</f>
        <v>0</v>
      </c>
      <c r="J562" s="63">
        <f>'Stavební rozpočet-vyplnit'!J562</f>
        <v>0.00017</v>
      </c>
      <c r="K562" s="63">
        <f>G562*J562</f>
        <v>0.06875990000000001</v>
      </c>
      <c r="L562" s="65" t="s">
        <v>785</v>
      </c>
      <c r="Z562" s="55">
        <f>IF(AQ562="5",BJ562,0)</f>
        <v>0</v>
      </c>
      <c r="AB562" s="55">
        <f>IF(AQ562="1",BH562,0)</f>
        <v>0</v>
      </c>
      <c r="AC562" s="55">
        <f>IF(AQ562="1",BI562,0)</f>
        <v>0</v>
      </c>
      <c r="AD562" s="55">
        <f>IF(AQ562="7",BH562,0)</f>
        <v>0</v>
      </c>
      <c r="AE562" s="55">
        <f>IF(AQ562="7",BI562,0)</f>
        <v>0</v>
      </c>
      <c r="AF562" s="55">
        <f>IF(AQ562="2",BH562,0)</f>
        <v>0</v>
      </c>
      <c r="AG562" s="55">
        <f>IF(AQ562="2",BI562,0)</f>
        <v>0</v>
      </c>
      <c r="AH562" s="55">
        <f>IF(AQ562="0",BJ562,0)</f>
        <v>0</v>
      </c>
      <c r="AI562" s="34" t="s">
        <v>116</v>
      </c>
      <c r="AJ562" s="63">
        <f>IF(AN562=0,I562,0)</f>
        <v>0</v>
      </c>
      <c r="AK562" s="63">
        <f>IF(AN562=12,I562,0)</f>
        <v>0</v>
      </c>
      <c r="AL562" s="63">
        <f>IF(AN562=21,I562,0)</f>
        <v>0</v>
      </c>
      <c r="AN562" s="55">
        <v>21</v>
      </c>
      <c r="AO562" s="55">
        <f>H562*1</f>
        <v>0</v>
      </c>
      <c r="AP562" s="55">
        <f>H562*(1-1)</f>
        <v>0</v>
      </c>
      <c r="AQ562" s="66" t="s">
        <v>125</v>
      </c>
      <c r="AV562" s="55">
        <f>AW562+AX562</f>
        <v>0</v>
      </c>
      <c r="AW562" s="55">
        <f>G562*AO562</f>
        <v>0</v>
      </c>
      <c r="AX562" s="55">
        <f>G562*AP562</f>
        <v>0</v>
      </c>
      <c r="AY562" s="58" t="s">
        <v>1096</v>
      </c>
      <c r="AZ562" s="58" t="s">
        <v>1068</v>
      </c>
      <c r="BA562" s="34" t="s">
        <v>128</v>
      </c>
      <c r="BC562" s="55">
        <f>AW562+AX562</f>
        <v>0</v>
      </c>
      <c r="BD562" s="55">
        <f>H562/(100-BE562)*100</f>
        <v>0</v>
      </c>
      <c r="BE562" s="55">
        <v>0</v>
      </c>
      <c r="BF562" s="55">
        <f>K562</f>
        <v>0.06875990000000001</v>
      </c>
      <c r="BH562" s="63">
        <f>G562*AO562</f>
        <v>0</v>
      </c>
      <c r="BI562" s="63">
        <f>G562*AP562</f>
        <v>0</v>
      </c>
      <c r="BJ562" s="63">
        <f>G562*H562</f>
        <v>0</v>
      </c>
      <c r="BK562" s="63"/>
      <c r="BL562" s="55">
        <v>713</v>
      </c>
      <c r="BW562" s="55">
        <v>21</v>
      </c>
    </row>
    <row r="563" spans="1:12" ht="14.4">
      <c r="A563" s="59"/>
      <c r="D563" s="60" t="s">
        <v>1098</v>
      </c>
      <c r="E563" s="60" t="s">
        <v>4</v>
      </c>
      <c r="G563" s="68">
        <v>367.7</v>
      </c>
      <c r="L563" s="69"/>
    </row>
    <row r="564" spans="1:12" ht="14.4">
      <c r="A564" s="59"/>
      <c r="D564" s="60" t="s">
        <v>1132</v>
      </c>
      <c r="E564" s="60" t="s">
        <v>4</v>
      </c>
      <c r="G564" s="68">
        <v>36.77</v>
      </c>
      <c r="L564" s="69"/>
    </row>
    <row r="565" spans="1:75" ht="13.5" customHeight="1">
      <c r="A565" s="1" t="s">
        <v>1133</v>
      </c>
      <c r="B565" s="2" t="s">
        <v>116</v>
      </c>
      <c r="C565" s="2" t="s">
        <v>1134</v>
      </c>
      <c r="D565" s="147" t="s">
        <v>1135</v>
      </c>
      <c r="E565" s="148"/>
      <c r="F565" s="2" t="s">
        <v>374</v>
      </c>
      <c r="G565" s="55">
        <f>'Stavební rozpočet-vyplnit'!G565</f>
        <v>15</v>
      </c>
      <c r="H565" s="55">
        <f>'Stavební rozpočet-vyplnit'!H565</f>
        <v>0</v>
      </c>
      <c r="I565" s="55">
        <f>G565*H565</f>
        <v>0</v>
      </c>
      <c r="J565" s="55">
        <f>'Stavební rozpočet-vyplnit'!J565</f>
        <v>0</v>
      </c>
      <c r="K565" s="55">
        <f>G565*J565</f>
        <v>0</v>
      </c>
      <c r="L565" s="57" t="s">
        <v>124</v>
      </c>
      <c r="Z565" s="55">
        <f>IF(AQ565="5",BJ565,0)</f>
        <v>0</v>
      </c>
      <c r="AB565" s="55">
        <f>IF(AQ565="1",BH565,0)</f>
        <v>0</v>
      </c>
      <c r="AC565" s="55">
        <f>IF(AQ565="1",BI565,0)</f>
        <v>0</v>
      </c>
      <c r="AD565" s="55">
        <f>IF(AQ565="7",BH565,0)</f>
        <v>0</v>
      </c>
      <c r="AE565" s="55">
        <f>IF(AQ565="7",BI565,0)</f>
        <v>0</v>
      </c>
      <c r="AF565" s="55">
        <f>IF(AQ565="2",BH565,0)</f>
        <v>0</v>
      </c>
      <c r="AG565" s="55">
        <f>IF(AQ565="2",BI565,0)</f>
        <v>0</v>
      </c>
      <c r="AH565" s="55">
        <f>IF(AQ565="0",BJ565,0)</f>
        <v>0</v>
      </c>
      <c r="AI565" s="34" t="s">
        <v>116</v>
      </c>
      <c r="AJ565" s="55">
        <f>IF(AN565=0,I565,0)</f>
        <v>0</v>
      </c>
      <c r="AK565" s="55">
        <f>IF(AN565=12,I565,0)</f>
        <v>0</v>
      </c>
      <c r="AL565" s="55">
        <f>IF(AN565=21,I565,0)</f>
        <v>0</v>
      </c>
      <c r="AN565" s="55">
        <v>21</v>
      </c>
      <c r="AO565" s="55">
        <f>H565*0.566615385</f>
        <v>0</v>
      </c>
      <c r="AP565" s="55">
        <f>H565*(1-0.566615385)</f>
        <v>0</v>
      </c>
      <c r="AQ565" s="58" t="s">
        <v>125</v>
      </c>
      <c r="AV565" s="55">
        <f>AW565+AX565</f>
        <v>0</v>
      </c>
      <c r="AW565" s="55">
        <f>G565*AO565</f>
        <v>0</v>
      </c>
      <c r="AX565" s="55">
        <f>G565*AP565</f>
        <v>0</v>
      </c>
      <c r="AY565" s="58" t="s">
        <v>1096</v>
      </c>
      <c r="AZ565" s="58" t="s">
        <v>1068</v>
      </c>
      <c r="BA565" s="34" t="s">
        <v>128</v>
      </c>
      <c r="BC565" s="55">
        <f>AW565+AX565</f>
        <v>0</v>
      </c>
      <c r="BD565" s="55">
        <f>H565/(100-BE565)*100</f>
        <v>0</v>
      </c>
      <c r="BE565" s="55">
        <v>0</v>
      </c>
      <c r="BF565" s="55">
        <f>K565</f>
        <v>0</v>
      </c>
      <c r="BH565" s="55">
        <f>G565*AO565</f>
        <v>0</v>
      </c>
      <c r="BI565" s="55">
        <f>G565*AP565</f>
        <v>0</v>
      </c>
      <c r="BJ565" s="55">
        <f>G565*H565</f>
        <v>0</v>
      </c>
      <c r="BK565" s="55"/>
      <c r="BL565" s="55">
        <v>713</v>
      </c>
      <c r="BW565" s="55">
        <v>21</v>
      </c>
    </row>
    <row r="566" spans="1:12" ht="13.5" customHeight="1">
      <c r="A566" s="59"/>
      <c r="D566" s="218" t="s">
        <v>1136</v>
      </c>
      <c r="E566" s="219"/>
      <c r="F566" s="219"/>
      <c r="G566" s="219"/>
      <c r="H566" s="219"/>
      <c r="I566" s="219"/>
      <c r="J566" s="219"/>
      <c r="K566" s="219"/>
      <c r="L566" s="221"/>
    </row>
    <row r="567" spans="1:12" ht="14.4">
      <c r="A567" s="59"/>
      <c r="D567" s="60" t="s">
        <v>168</v>
      </c>
      <c r="E567" s="60" t="s">
        <v>4</v>
      </c>
      <c r="G567" s="68">
        <v>15</v>
      </c>
      <c r="L567" s="69"/>
    </row>
    <row r="568" spans="1:75" ht="13.5" customHeight="1">
      <c r="A568" s="1" t="s">
        <v>1137</v>
      </c>
      <c r="B568" s="2" t="s">
        <v>116</v>
      </c>
      <c r="C568" s="2" t="s">
        <v>1138</v>
      </c>
      <c r="D568" s="147" t="s">
        <v>1139</v>
      </c>
      <c r="E568" s="148"/>
      <c r="F568" s="2" t="s">
        <v>374</v>
      </c>
      <c r="G568" s="55">
        <f>'Stavební rozpočet-vyplnit'!G568</f>
        <v>18</v>
      </c>
      <c r="H568" s="55">
        <f>'Stavební rozpočet-vyplnit'!H568</f>
        <v>0</v>
      </c>
      <c r="I568" s="55">
        <f>G568*H568</f>
        <v>0</v>
      </c>
      <c r="J568" s="55">
        <f>'Stavební rozpočet-vyplnit'!J568</f>
        <v>0</v>
      </c>
      <c r="K568" s="55">
        <f>G568*J568</f>
        <v>0</v>
      </c>
      <c r="L568" s="57" t="s">
        <v>124</v>
      </c>
      <c r="Z568" s="55">
        <f>IF(AQ568="5",BJ568,0)</f>
        <v>0</v>
      </c>
      <c r="AB568" s="55">
        <f>IF(AQ568="1",BH568,0)</f>
        <v>0</v>
      </c>
      <c r="AC568" s="55">
        <f>IF(AQ568="1",BI568,0)</f>
        <v>0</v>
      </c>
      <c r="AD568" s="55">
        <f>IF(AQ568="7",BH568,0)</f>
        <v>0</v>
      </c>
      <c r="AE568" s="55">
        <f>IF(AQ568="7",BI568,0)</f>
        <v>0</v>
      </c>
      <c r="AF568" s="55">
        <f>IF(AQ568="2",BH568,0)</f>
        <v>0</v>
      </c>
      <c r="AG568" s="55">
        <f>IF(AQ568="2",BI568,0)</f>
        <v>0</v>
      </c>
      <c r="AH568" s="55">
        <f>IF(AQ568="0",BJ568,0)</f>
        <v>0</v>
      </c>
      <c r="AI568" s="34" t="s">
        <v>116</v>
      </c>
      <c r="AJ568" s="55">
        <f>IF(AN568=0,I568,0)</f>
        <v>0</v>
      </c>
      <c r="AK568" s="55">
        <f>IF(AN568=12,I568,0)</f>
        <v>0</v>
      </c>
      <c r="AL568" s="55">
        <f>IF(AN568=21,I568,0)</f>
        <v>0</v>
      </c>
      <c r="AN568" s="55">
        <v>21</v>
      </c>
      <c r="AO568" s="55">
        <f>H568*0.596627068</f>
        <v>0</v>
      </c>
      <c r="AP568" s="55">
        <f>H568*(1-0.596627068)</f>
        <v>0</v>
      </c>
      <c r="AQ568" s="58" t="s">
        <v>125</v>
      </c>
      <c r="AV568" s="55">
        <f>AW568+AX568</f>
        <v>0</v>
      </c>
      <c r="AW568" s="55">
        <f>G568*AO568</f>
        <v>0</v>
      </c>
      <c r="AX568" s="55">
        <f>G568*AP568</f>
        <v>0</v>
      </c>
      <c r="AY568" s="58" t="s">
        <v>1096</v>
      </c>
      <c r="AZ568" s="58" t="s">
        <v>1068</v>
      </c>
      <c r="BA568" s="34" t="s">
        <v>128</v>
      </c>
      <c r="BC568" s="55">
        <f>AW568+AX568</f>
        <v>0</v>
      </c>
      <c r="BD568" s="55">
        <f>H568/(100-BE568)*100</f>
        <v>0</v>
      </c>
      <c r="BE568" s="55">
        <v>0</v>
      </c>
      <c r="BF568" s="55">
        <f>K568</f>
        <v>0</v>
      </c>
      <c r="BH568" s="55">
        <f>G568*AO568</f>
        <v>0</v>
      </c>
      <c r="BI568" s="55">
        <f>G568*AP568</f>
        <v>0</v>
      </c>
      <c r="BJ568" s="55">
        <f>G568*H568</f>
        <v>0</v>
      </c>
      <c r="BK568" s="55"/>
      <c r="BL568" s="55">
        <v>713</v>
      </c>
      <c r="BW568" s="55">
        <v>21</v>
      </c>
    </row>
    <row r="569" spans="1:12" ht="13.5" customHeight="1">
      <c r="A569" s="59"/>
      <c r="D569" s="218" t="s">
        <v>1140</v>
      </c>
      <c r="E569" s="219"/>
      <c r="F569" s="219"/>
      <c r="G569" s="219"/>
      <c r="H569" s="219"/>
      <c r="I569" s="219"/>
      <c r="J569" s="219"/>
      <c r="K569" s="219"/>
      <c r="L569" s="221"/>
    </row>
    <row r="570" spans="1:12" ht="14.4">
      <c r="A570" s="59"/>
      <c r="D570" s="60" t="s">
        <v>150</v>
      </c>
      <c r="E570" s="60" t="s">
        <v>1141</v>
      </c>
      <c r="G570" s="68">
        <v>9</v>
      </c>
      <c r="L570" s="69"/>
    </row>
    <row r="571" spans="1:12" ht="14.4">
      <c r="A571" s="59"/>
      <c r="D571" s="60" t="s">
        <v>130</v>
      </c>
      <c r="E571" s="60" t="s">
        <v>1142</v>
      </c>
      <c r="G571" s="68">
        <v>2</v>
      </c>
      <c r="L571" s="69"/>
    </row>
    <row r="572" spans="1:12" ht="14.4">
      <c r="A572" s="59"/>
      <c r="D572" s="60" t="s">
        <v>120</v>
      </c>
      <c r="E572" s="60" t="s">
        <v>1143</v>
      </c>
      <c r="G572" s="68">
        <v>1</v>
      </c>
      <c r="L572" s="69"/>
    </row>
    <row r="573" spans="1:12" ht="14.4">
      <c r="A573" s="59"/>
      <c r="D573" s="60" t="s">
        <v>130</v>
      </c>
      <c r="E573" s="60" t="s">
        <v>1144</v>
      </c>
      <c r="G573" s="68">
        <v>2</v>
      </c>
      <c r="L573" s="69"/>
    </row>
    <row r="574" spans="1:12" ht="14.4">
      <c r="A574" s="59"/>
      <c r="D574" s="60" t="s">
        <v>136</v>
      </c>
      <c r="E574" s="60" t="s">
        <v>1145</v>
      </c>
      <c r="G574" s="68">
        <v>4</v>
      </c>
      <c r="L574" s="69"/>
    </row>
    <row r="575" spans="1:75" ht="13.5" customHeight="1">
      <c r="A575" s="1" t="s">
        <v>1146</v>
      </c>
      <c r="B575" s="2" t="s">
        <v>116</v>
      </c>
      <c r="C575" s="2" t="s">
        <v>1147</v>
      </c>
      <c r="D575" s="147" t="s">
        <v>1139</v>
      </c>
      <c r="E575" s="148"/>
      <c r="F575" s="2" t="s">
        <v>374</v>
      </c>
      <c r="G575" s="55">
        <f>'Stavební rozpočet-vyplnit'!G575</f>
        <v>5</v>
      </c>
      <c r="H575" s="55">
        <f>'Stavební rozpočet-vyplnit'!H575</f>
        <v>0</v>
      </c>
      <c r="I575" s="55">
        <f>G575*H575</f>
        <v>0</v>
      </c>
      <c r="J575" s="55">
        <f>'Stavební rozpočet-vyplnit'!J575</f>
        <v>0</v>
      </c>
      <c r="K575" s="55">
        <f>G575*J575</f>
        <v>0</v>
      </c>
      <c r="L575" s="57" t="s">
        <v>124</v>
      </c>
      <c r="Z575" s="55">
        <f>IF(AQ575="5",BJ575,0)</f>
        <v>0</v>
      </c>
      <c r="AB575" s="55">
        <f>IF(AQ575="1",BH575,0)</f>
        <v>0</v>
      </c>
      <c r="AC575" s="55">
        <f>IF(AQ575="1",BI575,0)</f>
        <v>0</v>
      </c>
      <c r="AD575" s="55">
        <f>IF(AQ575="7",BH575,0)</f>
        <v>0</v>
      </c>
      <c r="AE575" s="55">
        <f>IF(AQ575="7",BI575,0)</f>
        <v>0</v>
      </c>
      <c r="AF575" s="55">
        <f>IF(AQ575="2",BH575,0)</f>
        <v>0</v>
      </c>
      <c r="AG575" s="55">
        <f>IF(AQ575="2",BI575,0)</f>
        <v>0</v>
      </c>
      <c r="AH575" s="55">
        <f>IF(AQ575="0",BJ575,0)</f>
        <v>0</v>
      </c>
      <c r="AI575" s="34" t="s">
        <v>116</v>
      </c>
      <c r="AJ575" s="55">
        <f>IF(AN575=0,I575,0)</f>
        <v>0</v>
      </c>
      <c r="AK575" s="55">
        <f>IF(AN575=12,I575,0)</f>
        <v>0</v>
      </c>
      <c r="AL575" s="55">
        <f>IF(AN575=21,I575,0)</f>
        <v>0</v>
      </c>
      <c r="AN575" s="55">
        <v>21</v>
      </c>
      <c r="AO575" s="55">
        <f>H575*0.654343203</f>
        <v>0</v>
      </c>
      <c r="AP575" s="55">
        <f>H575*(1-0.654343203)</f>
        <v>0</v>
      </c>
      <c r="AQ575" s="58" t="s">
        <v>125</v>
      </c>
      <c r="AV575" s="55">
        <f>AW575+AX575</f>
        <v>0</v>
      </c>
      <c r="AW575" s="55">
        <f>G575*AO575</f>
        <v>0</v>
      </c>
      <c r="AX575" s="55">
        <f>G575*AP575</f>
        <v>0</v>
      </c>
      <c r="AY575" s="58" t="s">
        <v>1096</v>
      </c>
      <c r="AZ575" s="58" t="s">
        <v>1068</v>
      </c>
      <c r="BA575" s="34" t="s">
        <v>128</v>
      </c>
      <c r="BC575" s="55">
        <f>AW575+AX575</f>
        <v>0</v>
      </c>
      <c r="BD575" s="55">
        <f>H575/(100-BE575)*100</f>
        <v>0</v>
      </c>
      <c r="BE575" s="55">
        <v>0</v>
      </c>
      <c r="BF575" s="55">
        <f>K575</f>
        <v>0</v>
      </c>
      <c r="BH575" s="55">
        <f>G575*AO575</f>
        <v>0</v>
      </c>
      <c r="BI575" s="55">
        <f>G575*AP575</f>
        <v>0</v>
      </c>
      <c r="BJ575" s="55">
        <f>G575*H575</f>
        <v>0</v>
      </c>
      <c r="BK575" s="55"/>
      <c r="BL575" s="55">
        <v>713</v>
      </c>
      <c r="BW575" s="55">
        <v>21</v>
      </c>
    </row>
    <row r="576" spans="1:12" ht="13.5" customHeight="1">
      <c r="A576" s="59"/>
      <c r="D576" s="218" t="s">
        <v>1148</v>
      </c>
      <c r="E576" s="219"/>
      <c r="F576" s="219"/>
      <c r="G576" s="219"/>
      <c r="H576" s="219"/>
      <c r="I576" s="219"/>
      <c r="J576" s="219"/>
      <c r="K576" s="219"/>
      <c r="L576" s="221"/>
    </row>
    <row r="577" spans="1:12" ht="14.4">
      <c r="A577" s="59"/>
      <c r="D577" s="60" t="s">
        <v>130</v>
      </c>
      <c r="E577" s="60" t="s">
        <v>1149</v>
      </c>
      <c r="G577" s="68">
        <v>2</v>
      </c>
      <c r="L577" s="69"/>
    </row>
    <row r="578" spans="1:12" ht="14.4">
      <c r="A578" s="59"/>
      <c r="D578" s="60" t="s">
        <v>120</v>
      </c>
      <c r="E578" s="60" t="s">
        <v>1150</v>
      </c>
      <c r="G578" s="68">
        <v>1</v>
      </c>
      <c r="L578" s="69"/>
    </row>
    <row r="579" spans="1:12" ht="14.4">
      <c r="A579" s="59"/>
      <c r="D579" s="60" t="s">
        <v>130</v>
      </c>
      <c r="E579" s="60" t="s">
        <v>1151</v>
      </c>
      <c r="G579" s="68">
        <v>2</v>
      </c>
      <c r="L579" s="69"/>
    </row>
    <row r="580" spans="1:75" ht="13.5" customHeight="1">
      <c r="A580" s="1" t="s">
        <v>1152</v>
      </c>
      <c r="B580" s="2" t="s">
        <v>116</v>
      </c>
      <c r="C580" s="2" t="s">
        <v>1153</v>
      </c>
      <c r="D580" s="147" t="s">
        <v>1139</v>
      </c>
      <c r="E580" s="148"/>
      <c r="F580" s="2" t="s">
        <v>374</v>
      </c>
      <c r="G580" s="55">
        <f>'Stavební rozpočet-vyplnit'!G580</f>
        <v>2</v>
      </c>
      <c r="H580" s="55">
        <f>'Stavební rozpočet-vyplnit'!H580</f>
        <v>0</v>
      </c>
      <c r="I580" s="55">
        <f>G580*H580</f>
        <v>0</v>
      </c>
      <c r="J580" s="55">
        <f>'Stavební rozpočet-vyplnit'!J580</f>
        <v>0</v>
      </c>
      <c r="K580" s="55">
        <f>G580*J580</f>
        <v>0</v>
      </c>
      <c r="L580" s="57" t="s">
        <v>124</v>
      </c>
      <c r="Z580" s="55">
        <f>IF(AQ580="5",BJ580,0)</f>
        <v>0</v>
      </c>
      <c r="AB580" s="55">
        <f>IF(AQ580="1",BH580,0)</f>
        <v>0</v>
      </c>
      <c r="AC580" s="55">
        <f>IF(AQ580="1",BI580,0)</f>
        <v>0</v>
      </c>
      <c r="AD580" s="55">
        <f>IF(AQ580="7",BH580,0)</f>
        <v>0</v>
      </c>
      <c r="AE580" s="55">
        <f>IF(AQ580="7",BI580,0)</f>
        <v>0</v>
      </c>
      <c r="AF580" s="55">
        <f>IF(AQ580="2",BH580,0)</f>
        <v>0</v>
      </c>
      <c r="AG580" s="55">
        <f>IF(AQ580="2",BI580,0)</f>
        <v>0</v>
      </c>
      <c r="AH580" s="55">
        <f>IF(AQ580="0",BJ580,0)</f>
        <v>0</v>
      </c>
      <c r="AI580" s="34" t="s">
        <v>116</v>
      </c>
      <c r="AJ580" s="55">
        <f>IF(AN580=0,I580,0)</f>
        <v>0</v>
      </c>
      <c r="AK580" s="55">
        <f>IF(AN580=12,I580,0)</f>
        <v>0</v>
      </c>
      <c r="AL580" s="55">
        <f>IF(AN580=21,I580,0)</f>
        <v>0</v>
      </c>
      <c r="AN580" s="55">
        <v>21</v>
      </c>
      <c r="AO580" s="55">
        <f>H580*0.80552359</f>
        <v>0</v>
      </c>
      <c r="AP580" s="55">
        <f>H580*(1-0.80552359)</f>
        <v>0</v>
      </c>
      <c r="AQ580" s="58" t="s">
        <v>125</v>
      </c>
      <c r="AV580" s="55">
        <f>AW580+AX580</f>
        <v>0</v>
      </c>
      <c r="AW580" s="55">
        <f>G580*AO580</f>
        <v>0</v>
      </c>
      <c r="AX580" s="55">
        <f>G580*AP580</f>
        <v>0</v>
      </c>
      <c r="AY580" s="58" t="s">
        <v>1096</v>
      </c>
      <c r="AZ580" s="58" t="s">
        <v>1068</v>
      </c>
      <c r="BA580" s="34" t="s">
        <v>128</v>
      </c>
      <c r="BC580" s="55">
        <f>AW580+AX580</f>
        <v>0</v>
      </c>
      <c r="BD580" s="55">
        <f>H580/(100-BE580)*100</f>
        <v>0</v>
      </c>
      <c r="BE580" s="55">
        <v>0</v>
      </c>
      <c r="BF580" s="55">
        <f>K580</f>
        <v>0</v>
      </c>
      <c r="BH580" s="55">
        <f>G580*AO580</f>
        <v>0</v>
      </c>
      <c r="BI580" s="55">
        <f>G580*AP580</f>
        <v>0</v>
      </c>
      <c r="BJ580" s="55">
        <f>G580*H580</f>
        <v>0</v>
      </c>
      <c r="BK580" s="55"/>
      <c r="BL580" s="55">
        <v>713</v>
      </c>
      <c r="BW580" s="55">
        <v>21</v>
      </c>
    </row>
    <row r="581" spans="1:12" ht="13.5" customHeight="1">
      <c r="A581" s="59"/>
      <c r="D581" s="218" t="s">
        <v>1154</v>
      </c>
      <c r="E581" s="219"/>
      <c r="F581" s="219"/>
      <c r="G581" s="219"/>
      <c r="H581" s="219"/>
      <c r="I581" s="219"/>
      <c r="J581" s="219"/>
      <c r="K581" s="219"/>
      <c r="L581" s="221"/>
    </row>
    <row r="582" spans="1:12" ht="14.4">
      <c r="A582" s="59"/>
      <c r="D582" s="60" t="s">
        <v>120</v>
      </c>
      <c r="E582" s="60" t="s">
        <v>1155</v>
      </c>
      <c r="G582" s="68">
        <v>1</v>
      </c>
      <c r="L582" s="69"/>
    </row>
    <row r="583" spans="1:12" ht="14.4">
      <c r="A583" s="59"/>
      <c r="D583" s="60" t="s">
        <v>120</v>
      </c>
      <c r="E583" s="60" t="s">
        <v>1156</v>
      </c>
      <c r="G583" s="68">
        <v>1</v>
      </c>
      <c r="L583" s="69"/>
    </row>
    <row r="584" spans="1:75" ht="13.5" customHeight="1">
      <c r="A584" s="1" t="s">
        <v>1157</v>
      </c>
      <c r="B584" s="2" t="s">
        <v>116</v>
      </c>
      <c r="C584" s="2" t="s">
        <v>1158</v>
      </c>
      <c r="D584" s="147" t="s">
        <v>1159</v>
      </c>
      <c r="E584" s="148"/>
      <c r="F584" s="2" t="s">
        <v>729</v>
      </c>
      <c r="G584" s="55">
        <f>'Stavební rozpočet-vyplnit'!G584</f>
        <v>247.7</v>
      </c>
      <c r="H584" s="55">
        <f>'Stavební rozpočet-vyplnit'!H584</f>
        <v>0</v>
      </c>
      <c r="I584" s="55">
        <f>G584*H584</f>
        <v>0</v>
      </c>
      <c r="J584" s="55">
        <f>'Stavební rozpočet-vyplnit'!J584</f>
        <v>0.00112</v>
      </c>
      <c r="K584" s="55">
        <f>G584*J584</f>
        <v>0.27742399999999995</v>
      </c>
      <c r="L584" s="57" t="s">
        <v>124</v>
      </c>
      <c r="Z584" s="55">
        <f>IF(AQ584="5",BJ584,0)</f>
        <v>0</v>
      </c>
      <c r="AB584" s="55">
        <f>IF(AQ584="1",BH584,0)</f>
        <v>0</v>
      </c>
      <c r="AC584" s="55">
        <f>IF(AQ584="1",BI584,0)</f>
        <v>0</v>
      </c>
      <c r="AD584" s="55">
        <f>IF(AQ584="7",BH584,0)</f>
        <v>0</v>
      </c>
      <c r="AE584" s="55">
        <f>IF(AQ584="7",BI584,0)</f>
        <v>0</v>
      </c>
      <c r="AF584" s="55">
        <f>IF(AQ584="2",BH584,0)</f>
        <v>0</v>
      </c>
      <c r="AG584" s="55">
        <f>IF(AQ584="2",BI584,0)</f>
        <v>0</v>
      </c>
      <c r="AH584" s="55">
        <f>IF(AQ584="0",BJ584,0)</f>
        <v>0</v>
      </c>
      <c r="AI584" s="34" t="s">
        <v>116</v>
      </c>
      <c r="AJ584" s="55">
        <f>IF(AN584=0,I584,0)</f>
        <v>0</v>
      </c>
      <c r="AK584" s="55">
        <f>IF(AN584=12,I584,0)</f>
        <v>0</v>
      </c>
      <c r="AL584" s="55">
        <f>IF(AN584=21,I584,0)</f>
        <v>0</v>
      </c>
      <c r="AN584" s="55">
        <v>21</v>
      </c>
      <c r="AO584" s="55">
        <f>H584*0</f>
        <v>0</v>
      </c>
      <c r="AP584" s="55">
        <f>H584*(1-0)</f>
        <v>0</v>
      </c>
      <c r="AQ584" s="58" t="s">
        <v>125</v>
      </c>
      <c r="AV584" s="55">
        <f>AW584+AX584</f>
        <v>0</v>
      </c>
      <c r="AW584" s="55">
        <f>G584*AO584</f>
        <v>0</v>
      </c>
      <c r="AX584" s="55">
        <f>G584*AP584</f>
        <v>0</v>
      </c>
      <c r="AY584" s="58" t="s">
        <v>1096</v>
      </c>
      <c r="AZ584" s="58" t="s">
        <v>1068</v>
      </c>
      <c r="BA584" s="34" t="s">
        <v>128</v>
      </c>
      <c r="BB584" s="67">
        <v>100005</v>
      </c>
      <c r="BC584" s="55">
        <f>AW584+AX584</f>
        <v>0</v>
      </c>
      <c r="BD584" s="55">
        <f>H584/(100-BE584)*100</f>
        <v>0</v>
      </c>
      <c r="BE584" s="55">
        <v>0</v>
      </c>
      <c r="BF584" s="55">
        <f>K584</f>
        <v>0.27742399999999995</v>
      </c>
      <c r="BH584" s="55">
        <f>G584*AO584</f>
        <v>0</v>
      </c>
      <c r="BI584" s="55">
        <f>G584*AP584</f>
        <v>0</v>
      </c>
      <c r="BJ584" s="55">
        <f>G584*H584</f>
        <v>0</v>
      </c>
      <c r="BK584" s="55"/>
      <c r="BL584" s="55">
        <v>713</v>
      </c>
      <c r="BW584" s="55">
        <v>21</v>
      </c>
    </row>
    <row r="585" spans="1:12" ht="14.4">
      <c r="A585" s="59"/>
      <c r="D585" s="60" t="s">
        <v>1160</v>
      </c>
      <c r="E585" s="60" t="s">
        <v>4</v>
      </c>
      <c r="G585" s="68">
        <v>247.7</v>
      </c>
      <c r="L585" s="69"/>
    </row>
    <row r="586" spans="1:75" ht="13.5" customHeight="1">
      <c r="A586" s="61" t="s">
        <v>1161</v>
      </c>
      <c r="B586" s="62" t="s">
        <v>116</v>
      </c>
      <c r="C586" s="62" t="s">
        <v>1162</v>
      </c>
      <c r="D586" s="224" t="s">
        <v>1163</v>
      </c>
      <c r="E586" s="225"/>
      <c r="F586" s="62" t="s">
        <v>729</v>
      </c>
      <c r="G586" s="63">
        <f>'Stavební rozpočet-vyplnit'!G586</f>
        <v>272.47</v>
      </c>
      <c r="H586" s="63">
        <f>'Stavební rozpočet-vyplnit'!H586</f>
        <v>0</v>
      </c>
      <c r="I586" s="63">
        <f>G586*H586</f>
        <v>0</v>
      </c>
      <c r="J586" s="63">
        <f>'Stavební rozpočet-vyplnit'!J586</f>
        <v>0.0003</v>
      </c>
      <c r="K586" s="63">
        <f>G586*J586</f>
        <v>0.081741</v>
      </c>
      <c r="L586" s="65" t="s">
        <v>785</v>
      </c>
      <c r="Z586" s="55">
        <f>IF(AQ586="5",BJ586,0)</f>
        <v>0</v>
      </c>
      <c r="AB586" s="55">
        <f>IF(AQ586="1",BH586,0)</f>
        <v>0</v>
      </c>
      <c r="AC586" s="55">
        <f>IF(AQ586="1",BI586,0)</f>
        <v>0</v>
      </c>
      <c r="AD586" s="55">
        <f>IF(AQ586="7",BH586,0)</f>
        <v>0</v>
      </c>
      <c r="AE586" s="55">
        <f>IF(AQ586="7",BI586,0)</f>
        <v>0</v>
      </c>
      <c r="AF586" s="55">
        <f>IF(AQ586="2",BH586,0)</f>
        <v>0</v>
      </c>
      <c r="AG586" s="55">
        <f>IF(AQ586="2",BI586,0)</f>
        <v>0</v>
      </c>
      <c r="AH586" s="55">
        <f>IF(AQ586="0",BJ586,0)</f>
        <v>0</v>
      </c>
      <c r="AI586" s="34" t="s">
        <v>116</v>
      </c>
      <c r="AJ586" s="63">
        <f>IF(AN586=0,I586,0)</f>
        <v>0</v>
      </c>
      <c r="AK586" s="63">
        <f>IF(AN586=12,I586,0)</f>
        <v>0</v>
      </c>
      <c r="AL586" s="63">
        <f>IF(AN586=21,I586,0)</f>
        <v>0</v>
      </c>
      <c r="AN586" s="55">
        <v>21</v>
      </c>
      <c r="AO586" s="55">
        <f>H586*1</f>
        <v>0</v>
      </c>
      <c r="AP586" s="55">
        <f>H586*(1-1)</f>
        <v>0</v>
      </c>
      <c r="AQ586" s="66" t="s">
        <v>125</v>
      </c>
      <c r="AV586" s="55">
        <f>AW586+AX586</f>
        <v>0</v>
      </c>
      <c r="AW586" s="55">
        <f>G586*AO586</f>
        <v>0</v>
      </c>
      <c r="AX586" s="55">
        <f>G586*AP586</f>
        <v>0</v>
      </c>
      <c r="AY586" s="58" t="s">
        <v>1096</v>
      </c>
      <c r="AZ586" s="58" t="s">
        <v>1068</v>
      </c>
      <c r="BA586" s="34" t="s">
        <v>128</v>
      </c>
      <c r="BC586" s="55">
        <f>AW586+AX586</f>
        <v>0</v>
      </c>
      <c r="BD586" s="55">
        <f>H586/(100-BE586)*100</f>
        <v>0</v>
      </c>
      <c r="BE586" s="55">
        <v>0</v>
      </c>
      <c r="BF586" s="55">
        <f>K586</f>
        <v>0.081741</v>
      </c>
      <c r="BH586" s="63">
        <f>G586*AO586</f>
        <v>0</v>
      </c>
      <c r="BI586" s="63">
        <f>G586*AP586</f>
        <v>0</v>
      </c>
      <c r="BJ586" s="63">
        <f>G586*H586</f>
        <v>0</v>
      </c>
      <c r="BK586" s="63"/>
      <c r="BL586" s="55">
        <v>713</v>
      </c>
      <c r="BW586" s="55">
        <v>21</v>
      </c>
    </row>
    <row r="587" spans="1:12" ht="14.4">
      <c r="A587" s="59"/>
      <c r="D587" s="60" t="s">
        <v>1160</v>
      </c>
      <c r="E587" s="60" t="s">
        <v>4</v>
      </c>
      <c r="G587" s="68">
        <v>247.7</v>
      </c>
      <c r="L587" s="69"/>
    </row>
    <row r="588" spans="1:12" ht="14.4">
      <c r="A588" s="59"/>
      <c r="D588" s="60" t="s">
        <v>1164</v>
      </c>
      <c r="E588" s="60" t="s">
        <v>4</v>
      </c>
      <c r="G588" s="68">
        <v>24.77</v>
      </c>
      <c r="L588" s="69"/>
    </row>
    <row r="589" spans="1:75" ht="13.5" customHeight="1">
      <c r="A589" s="1" t="s">
        <v>1165</v>
      </c>
      <c r="B589" s="2" t="s">
        <v>116</v>
      </c>
      <c r="C589" s="2" t="s">
        <v>1166</v>
      </c>
      <c r="D589" s="147" t="s">
        <v>1167</v>
      </c>
      <c r="E589" s="148"/>
      <c r="F589" s="2" t="s">
        <v>729</v>
      </c>
      <c r="G589" s="55">
        <f>'Stavební rozpočet-vyplnit'!G589</f>
        <v>367.7</v>
      </c>
      <c r="H589" s="55">
        <f>'Stavební rozpočet-vyplnit'!H589</f>
        <v>0</v>
      </c>
      <c r="I589" s="55">
        <f>G589*H589</f>
        <v>0</v>
      </c>
      <c r="J589" s="55">
        <f>'Stavební rozpočet-vyplnit'!J589</f>
        <v>0.00018</v>
      </c>
      <c r="K589" s="55">
        <f>G589*J589</f>
        <v>0.06618600000000001</v>
      </c>
      <c r="L589" s="57" t="s">
        <v>124</v>
      </c>
      <c r="Z589" s="55">
        <f>IF(AQ589="5",BJ589,0)</f>
        <v>0</v>
      </c>
      <c r="AB589" s="55">
        <f>IF(AQ589="1",BH589,0)</f>
        <v>0</v>
      </c>
      <c r="AC589" s="55">
        <f>IF(AQ589="1",BI589,0)</f>
        <v>0</v>
      </c>
      <c r="AD589" s="55">
        <f>IF(AQ589="7",BH589,0)</f>
        <v>0</v>
      </c>
      <c r="AE589" s="55">
        <f>IF(AQ589="7",BI589,0)</f>
        <v>0</v>
      </c>
      <c r="AF589" s="55">
        <f>IF(AQ589="2",BH589,0)</f>
        <v>0</v>
      </c>
      <c r="AG589" s="55">
        <f>IF(AQ589="2",BI589,0)</f>
        <v>0</v>
      </c>
      <c r="AH589" s="55">
        <f>IF(AQ589="0",BJ589,0)</f>
        <v>0</v>
      </c>
      <c r="AI589" s="34" t="s">
        <v>116</v>
      </c>
      <c r="AJ589" s="55">
        <f>IF(AN589=0,I589,0)</f>
        <v>0</v>
      </c>
      <c r="AK589" s="55">
        <f>IF(AN589=12,I589,0)</f>
        <v>0</v>
      </c>
      <c r="AL589" s="55">
        <f>IF(AN589=21,I589,0)</f>
        <v>0</v>
      </c>
      <c r="AN589" s="55">
        <v>21</v>
      </c>
      <c r="AO589" s="55">
        <f>H589*0</f>
        <v>0</v>
      </c>
      <c r="AP589" s="55">
        <f>H589*(1-0)</f>
        <v>0</v>
      </c>
      <c r="AQ589" s="58" t="s">
        <v>125</v>
      </c>
      <c r="AV589" s="55">
        <f>AW589+AX589</f>
        <v>0</v>
      </c>
      <c r="AW589" s="55">
        <f>G589*AO589</f>
        <v>0</v>
      </c>
      <c r="AX589" s="55">
        <f>G589*AP589</f>
        <v>0</v>
      </c>
      <c r="AY589" s="58" t="s">
        <v>1096</v>
      </c>
      <c r="AZ589" s="58" t="s">
        <v>1068</v>
      </c>
      <c r="BA589" s="34" t="s">
        <v>128</v>
      </c>
      <c r="BB589" s="67">
        <v>100005</v>
      </c>
      <c r="BC589" s="55">
        <f>AW589+AX589</f>
        <v>0</v>
      </c>
      <c r="BD589" s="55">
        <f>H589/(100-BE589)*100</f>
        <v>0</v>
      </c>
      <c r="BE589" s="55">
        <v>0</v>
      </c>
      <c r="BF589" s="55">
        <f>K589</f>
        <v>0.06618600000000001</v>
      </c>
      <c r="BH589" s="55">
        <f>G589*AO589</f>
        <v>0</v>
      </c>
      <c r="BI589" s="55">
        <f>G589*AP589</f>
        <v>0</v>
      </c>
      <c r="BJ589" s="55">
        <f>G589*H589</f>
        <v>0</v>
      </c>
      <c r="BK589" s="55"/>
      <c r="BL589" s="55">
        <v>713</v>
      </c>
      <c r="BW589" s="55">
        <v>21</v>
      </c>
    </row>
    <row r="590" spans="1:12" ht="14.4">
      <c r="A590" s="59"/>
      <c r="D590" s="60" t="s">
        <v>1098</v>
      </c>
      <c r="E590" s="60" t="s">
        <v>4</v>
      </c>
      <c r="G590" s="68">
        <v>367.7</v>
      </c>
      <c r="L590" s="69"/>
    </row>
    <row r="591" spans="1:75" ht="13.5" customHeight="1">
      <c r="A591" s="1" t="s">
        <v>1168</v>
      </c>
      <c r="B591" s="2" t="s">
        <v>116</v>
      </c>
      <c r="C591" s="2" t="s">
        <v>1166</v>
      </c>
      <c r="D591" s="147" t="s">
        <v>1169</v>
      </c>
      <c r="E591" s="148"/>
      <c r="F591" s="2" t="s">
        <v>729</v>
      </c>
      <c r="G591" s="55">
        <f>'Stavební rozpočet-vyplnit'!G591</f>
        <v>367.7</v>
      </c>
      <c r="H591" s="55">
        <f>'Stavební rozpočet-vyplnit'!H591</f>
        <v>0</v>
      </c>
      <c r="I591" s="55">
        <f>G591*H591</f>
        <v>0</v>
      </c>
      <c r="J591" s="55">
        <f>'Stavební rozpočet-vyplnit'!J591</f>
        <v>0.00018</v>
      </c>
      <c r="K591" s="55">
        <f>G591*J591</f>
        <v>0.06618600000000001</v>
      </c>
      <c r="L591" s="57" t="s">
        <v>124</v>
      </c>
      <c r="Z591" s="55">
        <f>IF(AQ591="5",BJ591,0)</f>
        <v>0</v>
      </c>
      <c r="AB591" s="55">
        <f>IF(AQ591="1",BH591,0)</f>
        <v>0</v>
      </c>
      <c r="AC591" s="55">
        <f>IF(AQ591="1",BI591,0)</f>
        <v>0</v>
      </c>
      <c r="AD591" s="55">
        <f>IF(AQ591="7",BH591,0)</f>
        <v>0</v>
      </c>
      <c r="AE591" s="55">
        <f>IF(AQ591="7",BI591,0)</f>
        <v>0</v>
      </c>
      <c r="AF591" s="55">
        <f>IF(AQ591="2",BH591,0)</f>
        <v>0</v>
      </c>
      <c r="AG591" s="55">
        <f>IF(AQ591="2",BI591,0)</f>
        <v>0</v>
      </c>
      <c r="AH591" s="55">
        <f>IF(AQ591="0",BJ591,0)</f>
        <v>0</v>
      </c>
      <c r="AI591" s="34" t="s">
        <v>116</v>
      </c>
      <c r="AJ591" s="55">
        <f>IF(AN591=0,I591,0)</f>
        <v>0</v>
      </c>
      <c r="AK591" s="55">
        <f>IF(AN591=12,I591,0)</f>
        <v>0</v>
      </c>
      <c r="AL591" s="55">
        <f>IF(AN591=21,I591,0)</f>
        <v>0</v>
      </c>
      <c r="AN591" s="55">
        <v>21</v>
      </c>
      <c r="AO591" s="55">
        <f>H591*0</f>
        <v>0</v>
      </c>
      <c r="AP591" s="55">
        <f>H591*(1-0)</f>
        <v>0</v>
      </c>
      <c r="AQ591" s="58" t="s">
        <v>125</v>
      </c>
      <c r="AV591" s="55">
        <f>AW591+AX591</f>
        <v>0</v>
      </c>
      <c r="AW591" s="55">
        <f>G591*AO591</f>
        <v>0</v>
      </c>
      <c r="AX591" s="55">
        <f>G591*AP591</f>
        <v>0</v>
      </c>
      <c r="AY591" s="58" t="s">
        <v>1096</v>
      </c>
      <c r="AZ591" s="58" t="s">
        <v>1068</v>
      </c>
      <c r="BA591" s="34" t="s">
        <v>128</v>
      </c>
      <c r="BB591" s="67">
        <v>100005</v>
      </c>
      <c r="BC591" s="55">
        <f>AW591+AX591</f>
        <v>0</v>
      </c>
      <c r="BD591" s="55">
        <f>H591/(100-BE591)*100</f>
        <v>0</v>
      </c>
      <c r="BE591" s="55">
        <v>0</v>
      </c>
      <c r="BF591" s="55">
        <f>K591</f>
        <v>0.06618600000000001</v>
      </c>
      <c r="BH591" s="55">
        <f>G591*AO591</f>
        <v>0</v>
      </c>
      <c r="BI591" s="55">
        <f>G591*AP591</f>
        <v>0</v>
      </c>
      <c r="BJ591" s="55">
        <f>G591*H591</f>
        <v>0</v>
      </c>
      <c r="BK591" s="55"/>
      <c r="BL591" s="55">
        <v>713</v>
      </c>
      <c r="BW591" s="55">
        <v>21</v>
      </c>
    </row>
    <row r="592" spans="1:12" ht="13.5" customHeight="1">
      <c r="A592" s="59"/>
      <c r="D592" s="218" t="s">
        <v>1170</v>
      </c>
      <c r="E592" s="219"/>
      <c r="F592" s="219"/>
      <c r="G592" s="219"/>
      <c r="H592" s="219"/>
      <c r="I592" s="219"/>
      <c r="J592" s="219"/>
      <c r="K592" s="219"/>
      <c r="L592" s="221"/>
    </row>
    <row r="593" spans="1:12" ht="14.4">
      <c r="A593" s="59"/>
      <c r="D593" s="60" t="s">
        <v>1098</v>
      </c>
      <c r="E593" s="60" t="s">
        <v>4</v>
      </c>
      <c r="G593" s="68">
        <v>367.7</v>
      </c>
      <c r="L593" s="69"/>
    </row>
    <row r="594" spans="1:75" ht="13.5" customHeight="1">
      <c r="A594" s="1" t="s">
        <v>1171</v>
      </c>
      <c r="B594" s="2" t="s">
        <v>116</v>
      </c>
      <c r="C594" s="2" t="s">
        <v>1172</v>
      </c>
      <c r="D594" s="147" t="s">
        <v>1173</v>
      </c>
      <c r="E594" s="148"/>
      <c r="F594" s="2" t="s">
        <v>729</v>
      </c>
      <c r="G594" s="55">
        <f>'Stavební rozpočet-vyplnit'!G594</f>
        <v>222.8</v>
      </c>
      <c r="H594" s="55">
        <f>'Stavební rozpočet-vyplnit'!H594</f>
        <v>0</v>
      </c>
      <c r="I594" s="55">
        <f>G594*H594</f>
        <v>0</v>
      </c>
      <c r="J594" s="55">
        <f>'Stavební rozpočet-vyplnit'!J594</f>
        <v>0.00023</v>
      </c>
      <c r="K594" s="55">
        <f>G594*J594</f>
        <v>0.051244000000000005</v>
      </c>
      <c r="L594" s="57" t="s">
        <v>785</v>
      </c>
      <c r="Z594" s="55">
        <f>IF(AQ594="5",BJ594,0)</f>
        <v>0</v>
      </c>
      <c r="AB594" s="55">
        <f>IF(AQ594="1",BH594,0)</f>
        <v>0</v>
      </c>
      <c r="AC594" s="55">
        <f>IF(AQ594="1",BI594,0)</f>
        <v>0</v>
      </c>
      <c r="AD594" s="55">
        <f>IF(AQ594="7",BH594,0)</f>
        <v>0</v>
      </c>
      <c r="AE594" s="55">
        <f>IF(AQ594="7",BI594,0)</f>
        <v>0</v>
      </c>
      <c r="AF594" s="55">
        <f>IF(AQ594="2",BH594,0)</f>
        <v>0</v>
      </c>
      <c r="AG594" s="55">
        <f>IF(AQ594="2",BI594,0)</f>
        <v>0</v>
      </c>
      <c r="AH594" s="55">
        <f>IF(AQ594="0",BJ594,0)</f>
        <v>0</v>
      </c>
      <c r="AI594" s="34" t="s">
        <v>116</v>
      </c>
      <c r="AJ594" s="55">
        <f>IF(AN594=0,I594,0)</f>
        <v>0</v>
      </c>
      <c r="AK594" s="55">
        <f>IF(AN594=12,I594,0)</f>
        <v>0</v>
      </c>
      <c r="AL594" s="55">
        <f>IF(AN594=21,I594,0)</f>
        <v>0</v>
      </c>
      <c r="AN594" s="55">
        <v>21</v>
      </c>
      <c r="AO594" s="55">
        <f>H594*0.069343131</f>
        <v>0</v>
      </c>
      <c r="AP594" s="55">
        <f>H594*(1-0.069343131)</f>
        <v>0</v>
      </c>
      <c r="AQ594" s="58" t="s">
        <v>125</v>
      </c>
      <c r="AV594" s="55">
        <f>AW594+AX594</f>
        <v>0</v>
      </c>
      <c r="AW594" s="55">
        <f>G594*AO594</f>
        <v>0</v>
      </c>
      <c r="AX594" s="55">
        <f>G594*AP594</f>
        <v>0</v>
      </c>
      <c r="AY594" s="58" t="s">
        <v>1096</v>
      </c>
      <c r="AZ594" s="58" t="s">
        <v>1068</v>
      </c>
      <c r="BA594" s="34" t="s">
        <v>128</v>
      </c>
      <c r="BB594" s="67">
        <v>100005</v>
      </c>
      <c r="BC594" s="55">
        <f>AW594+AX594</f>
        <v>0</v>
      </c>
      <c r="BD594" s="55">
        <f>H594/(100-BE594)*100</f>
        <v>0</v>
      </c>
      <c r="BE594" s="55">
        <v>0</v>
      </c>
      <c r="BF594" s="55">
        <f>K594</f>
        <v>0.051244000000000005</v>
      </c>
      <c r="BH594" s="55">
        <f>G594*AO594</f>
        <v>0</v>
      </c>
      <c r="BI594" s="55">
        <f>G594*AP594</f>
        <v>0</v>
      </c>
      <c r="BJ594" s="55">
        <f>G594*H594</f>
        <v>0</v>
      </c>
      <c r="BK594" s="55"/>
      <c r="BL594" s="55">
        <v>713</v>
      </c>
      <c r="BW594" s="55">
        <v>21</v>
      </c>
    </row>
    <row r="595" spans="1:12" ht="14.4">
      <c r="A595" s="59"/>
      <c r="D595" s="60" t="s">
        <v>1174</v>
      </c>
      <c r="E595" s="60" t="s">
        <v>1175</v>
      </c>
      <c r="G595" s="68">
        <v>49.98</v>
      </c>
      <c r="L595" s="69"/>
    </row>
    <row r="596" spans="1:12" ht="14.4">
      <c r="A596" s="59"/>
      <c r="D596" s="60" t="s">
        <v>1176</v>
      </c>
      <c r="E596" s="60" t="s">
        <v>1177</v>
      </c>
      <c r="G596" s="68">
        <v>36.8</v>
      </c>
      <c r="L596" s="69"/>
    </row>
    <row r="597" spans="1:12" ht="14.4">
      <c r="A597" s="59"/>
      <c r="D597" s="60" t="s">
        <v>1178</v>
      </c>
      <c r="E597" s="60" t="s">
        <v>1179</v>
      </c>
      <c r="G597" s="68">
        <v>69.3</v>
      </c>
      <c r="L597" s="69"/>
    </row>
    <row r="598" spans="1:12" ht="14.4">
      <c r="A598" s="59"/>
      <c r="D598" s="60" t="s">
        <v>1180</v>
      </c>
      <c r="E598" s="60" t="s">
        <v>1181</v>
      </c>
      <c r="G598" s="68">
        <v>11.02</v>
      </c>
      <c r="L598" s="69"/>
    </row>
    <row r="599" spans="1:12" ht="14.4">
      <c r="A599" s="59"/>
      <c r="D599" s="60" t="s">
        <v>920</v>
      </c>
      <c r="E599" s="60" t="s">
        <v>1182</v>
      </c>
      <c r="G599" s="68">
        <v>55.7</v>
      </c>
      <c r="L599" s="69"/>
    </row>
    <row r="600" spans="1:75" ht="13.5" customHeight="1">
      <c r="A600" s="61" t="s">
        <v>1183</v>
      </c>
      <c r="B600" s="62" t="s">
        <v>116</v>
      </c>
      <c r="C600" s="62" t="s">
        <v>1184</v>
      </c>
      <c r="D600" s="224" t="s">
        <v>1185</v>
      </c>
      <c r="E600" s="225"/>
      <c r="F600" s="62" t="s">
        <v>729</v>
      </c>
      <c r="G600" s="63">
        <f>'Stavební rozpočet-vyplnit'!G600</f>
        <v>37.9</v>
      </c>
      <c r="H600" s="63">
        <f>'Stavební rozpočet-vyplnit'!H600</f>
        <v>0</v>
      </c>
      <c r="I600" s="63">
        <f>G600*H600</f>
        <v>0</v>
      </c>
      <c r="J600" s="63">
        <f>'Stavební rozpočet-vyplnit'!J600</f>
        <v>0.00272</v>
      </c>
      <c r="K600" s="63">
        <f>G600*J600</f>
        <v>0.103088</v>
      </c>
      <c r="L600" s="65" t="s">
        <v>785</v>
      </c>
      <c r="Z600" s="55">
        <f>IF(AQ600="5",BJ600,0)</f>
        <v>0</v>
      </c>
      <c r="AB600" s="55">
        <f>IF(AQ600="1",BH600,0)</f>
        <v>0</v>
      </c>
      <c r="AC600" s="55">
        <f>IF(AQ600="1",BI600,0)</f>
        <v>0</v>
      </c>
      <c r="AD600" s="55">
        <f>IF(AQ600="7",BH600,0)</f>
        <v>0</v>
      </c>
      <c r="AE600" s="55">
        <f>IF(AQ600="7",BI600,0)</f>
        <v>0</v>
      </c>
      <c r="AF600" s="55">
        <f>IF(AQ600="2",BH600,0)</f>
        <v>0</v>
      </c>
      <c r="AG600" s="55">
        <f>IF(AQ600="2",BI600,0)</f>
        <v>0</v>
      </c>
      <c r="AH600" s="55">
        <f>IF(AQ600="0",BJ600,0)</f>
        <v>0</v>
      </c>
      <c r="AI600" s="34" t="s">
        <v>116</v>
      </c>
      <c r="AJ600" s="63">
        <f>IF(AN600=0,I600,0)</f>
        <v>0</v>
      </c>
      <c r="AK600" s="63">
        <f>IF(AN600=12,I600,0)</f>
        <v>0</v>
      </c>
      <c r="AL600" s="63">
        <f>IF(AN600=21,I600,0)</f>
        <v>0</v>
      </c>
      <c r="AN600" s="55">
        <v>21</v>
      </c>
      <c r="AO600" s="55">
        <f>H600*1</f>
        <v>0</v>
      </c>
      <c r="AP600" s="55">
        <f>H600*(1-1)</f>
        <v>0</v>
      </c>
      <c r="AQ600" s="66" t="s">
        <v>125</v>
      </c>
      <c r="AV600" s="55">
        <f>AW600+AX600</f>
        <v>0</v>
      </c>
      <c r="AW600" s="55">
        <f>G600*AO600</f>
        <v>0</v>
      </c>
      <c r="AX600" s="55">
        <f>G600*AP600</f>
        <v>0</v>
      </c>
      <c r="AY600" s="58" t="s">
        <v>1096</v>
      </c>
      <c r="AZ600" s="58" t="s">
        <v>1068</v>
      </c>
      <c r="BA600" s="34" t="s">
        <v>128</v>
      </c>
      <c r="BC600" s="55">
        <f>AW600+AX600</f>
        <v>0</v>
      </c>
      <c r="BD600" s="55">
        <f>H600/(100-BE600)*100</f>
        <v>0</v>
      </c>
      <c r="BE600" s="55">
        <v>0</v>
      </c>
      <c r="BF600" s="55">
        <f>K600</f>
        <v>0.103088</v>
      </c>
      <c r="BH600" s="63">
        <f>G600*AO600</f>
        <v>0</v>
      </c>
      <c r="BI600" s="63">
        <f>G600*AP600</f>
        <v>0</v>
      </c>
      <c r="BJ600" s="63">
        <f>G600*H600</f>
        <v>0</v>
      </c>
      <c r="BK600" s="63"/>
      <c r="BL600" s="55">
        <v>713</v>
      </c>
      <c r="BW600" s="55">
        <v>21</v>
      </c>
    </row>
    <row r="601" spans="1:12" ht="14.4">
      <c r="A601" s="59"/>
      <c r="D601" s="60" t="s">
        <v>1176</v>
      </c>
      <c r="E601" s="60" t="s">
        <v>4</v>
      </c>
      <c r="G601" s="68">
        <v>36.8</v>
      </c>
      <c r="L601" s="69"/>
    </row>
    <row r="602" spans="1:12" ht="14.4">
      <c r="A602" s="59"/>
      <c r="D602" s="60" t="s">
        <v>1186</v>
      </c>
      <c r="E602" s="60" t="s">
        <v>4</v>
      </c>
      <c r="G602" s="68">
        <v>1.1</v>
      </c>
      <c r="L602" s="69"/>
    </row>
    <row r="603" spans="1:75" ht="13.5" customHeight="1">
      <c r="A603" s="61" t="s">
        <v>1187</v>
      </c>
      <c r="B603" s="62" t="s">
        <v>116</v>
      </c>
      <c r="C603" s="62" t="s">
        <v>1188</v>
      </c>
      <c r="D603" s="224" t="s">
        <v>1189</v>
      </c>
      <c r="E603" s="225"/>
      <c r="F603" s="62" t="s">
        <v>729</v>
      </c>
      <c r="G603" s="63">
        <f>'Stavební rozpočet-vyplnit'!G603</f>
        <v>57.37</v>
      </c>
      <c r="H603" s="63">
        <f>'Stavební rozpočet-vyplnit'!H603</f>
        <v>0</v>
      </c>
      <c r="I603" s="63">
        <f>G603*H603</f>
        <v>0</v>
      </c>
      <c r="J603" s="63">
        <f>'Stavební rozpočet-vyplnit'!J603</f>
        <v>0.0017</v>
      </c>
      <c r="K603" s="63">
        <f>G603*J603</f>
        <v>0.09752899999999999</v>
      </c>
      <c r="L603" s="65" t="s">
        <v>785</v>
      </c>
      <c r="Z603" s="55">
        <f>IF(AQ603="5",BJ603,0)</f>
        <v>0</v>
      </c>
      <c r="AB603" s="55">
        <f>IF(AQ603="1",BH603,0)</f>
        <v>0</v>
      </c>
      <c r="AC603" s="55">
        <f>IF(AQ603="1",BI603,0)</f>
        <v>0</v>
      </c>
      <c r="AD603" s="55">
        <f>IF(AQ603="7",BH603,0)</f>
        <v>0</v>
      </c>
      <c r="AE603" s="55">
        <f>IF(AQ603="7",BI603,0)</f>
        <v>0</v>
      </c>
      <c r="AF603" s="55">
        <f>IF(AQ603="2",BH603,0)</f>
        <v>0</v>
      </c>
      <c r="AG603" s="55">
        <f>IF(AQ603="2",BI603,0)</f>
        <v>0</v>
      </c>
      <c r="AH603" s="55">
        <f>IF(AQ603="0",BJ603,0)</f>
        <v>0</v>
      </c>
      <c r="AI603" s="34" t="s">
        <v>116</v>
      </c>
      <c r="AJ603" s="63">
        <f>IF(AN603=0,I603,0)</f>
        <v>0</v>
      </c>
      <c r="AK603" s="63">
        <f>IF(AN603=12,I603,0)</f>
        <v>0</v>
      </c>
      <c r="AL603" s="63">
        <f>IF(AN603=21,I603,0)</f>
        <v>0</v>
      </c>
      <c r="AN603" s="55">
        <v>21</v>
      </c>
      <c r="AO603" s="55">
        <f>H603*1</f>
        <v>0</v>
      </c>
      <c r="AP603" s="55">
        <f>H603*(1-1)</f>
        <v>0</v>
      </c>
      <c r="AQ603" s="66" t="s">
        <v>125</v>
      </c>
      <c r="AV603" s="55">
        <f>AW603+AX603</f>
        <v>0</v>
      </c>
      <c r="AW603" s="55">
        <f>G603*AO603</f>
        <v>0</v>
      </c>
      <c r="AX603" s="55">
        <f>G603*AP603</f>
        <v>0</v>
      </c>
      <c r="AY603" s="58" t="s">
        <v>1096</v>
      </c>
      <c r="AZ603" s="58" t="s">
        <v>1068</v>
      </c>
      <c r="BA603" s="34" t="s">
        <v>128</v>
      </c>
      <c r="BC603" s="55">
        <f>AW603+AX603</f>
        <v>0</v>
      </c>
      <c r="BD603" s="55">
        <f>H603/(100-BE603)*100</f>
        <v>0</v>
      </c>
      <c r="BE603" s="55">
        <v>0</v>
      </c>
      <c r="BF603" s="55">
        <f>K603</f>
        <v>0.09752899999999999</v>
      </c>
      <c r="BH603" s="63">
        <f>G603*AO603</f>
        <v>0</v>
      </c>
      <c r="BI603" s="63">
        <f>G603*AP603</f>
        <v>0</v>
      </c>
      <c r="BJ603" s="63">
        <f>G603*H603</f>
        <v>0</v>
      </c>
      <c r="BK603" s="63"/>
      <c r="BL603" s="55">
        <v>713</v>
      </c>
      <c r="BW603" s="55">
        <v>21</v>
      </c>
    </row>
    <row r="604" spans="1:12" ht="14.4">
      <c r="A604" s="59"/>
      <c r="D604" s="60" t="s">
        <v>920</v>
      </c>
      <c r="E604" s="60" t="s">
        <v>4</v>
      </c>
      <c r="G604" s="68">
        <v>55.7</v>
      </c>
      <c r="L604" s="69"/>
    </row>
    <row r="605" spans="1:12" ht="14.4">
      <c r="A605" s="59"/>
      <c r="D605" s="60" t="s">
        <v>1190</v>
      </c>
      <c r="E605" s="60" t="s">
        <v>4</v>
      </c>
      <c r="G605" s="68">
        <v>1.67</v>
      </c>
      <c r="L605" s="69"/>
    </row>
    <row r="606" spans="1:75" ht="13.5" customHeight="1">
      <c r="A606" s="61" t="s">
        <v>1191</v>
      </c>
      <c r="B606" s="62" t="s">
        <v>116</v>
      </c>
      <c r="C606" s="62" t="s">
        <v>1192</v>
      </c>
      <c r="D606" s="224" t="s">
        <v>1193</v>
      </c>
      <c r="E606" s="225"/>
      <c r="F606" s="62" t="s">
        <v>729</v>
      </c>
      <c r="G606" s="63">
        <f>'Stavební rozpočet-vyplnit'!G606</f>
        <v>82.73</v>
      </c>
      <c r="H606" s="63">
        <f>'Stavební rozpočet-vyplnit'!H606</f>
        <v>0</v>
      </c>
      <c r="I606" s="63">
        <f>G606*H606</f>
        <v>0</v>
      </c>
      <c r="J606" s="63">
        <f>'Stavební rozpočet-vyplnit'!J606</f>
        <v>0.00204</v>
      </c>
      <c r="K606" s="63">
        <f>G606*J606</f>
        <v>0.1687692</v>
      </c>
      <c r="L606" s="65" t="s">
        <v>785</v>
      </c>
      <c r="Z606" s="55">
        <f>IF(AQ606="5",BJ606,0)</f>
        <v>0</v>
      </c>
      <c r="AB606" s="55">
        <f>IF(AQ606="1",BH606,0)</f>
        <v>0</v>
      </c>
      <c r="AC606" s="55">
        <f>IF(AQ606="1",BI606,0)</f>
        <v>0</v>
      </c>
      <c r="AD606" s="55">
        <f>IF(AQ606="7",BH606,0)</f>
        <v>0</v>
      </c>
      <c r="AE606" s="55">
        <f>IF(AQ606="7",BI606,0)</f>
        <v>0</v>
      </c>
      <c r="AF606" s="55">
        <f>IF(AQ606="2",BH606,0)</f>
        <v>0</v>
      </c>
      <c r="AG606" s="55">
        <f>IF(AQ606="2",BI606,0)</f>
        <v>0</v>
      </c>
      <c r="AH606" s="55">
        <f>IF(AQ606="0",BJ606,0)</f>
        <v>0</v>
      </c>
      <c r="AI606" s="34" t="s">
        <v>116</v>
      </c>
      <c r="AJ606" s="63">
        <f>IF(AN606=0,I606,0)</f>
        <v>0</v>
      </c>
      <c r="AK606" s="63">
        <f>IF(AN606=12,I606,0)</f>
        <v>0</v>
      </c>
      <c r="AL606" s="63">
        <f>IF(AN606=21,I606,0)</f>
        <v>0</v>
      </c>
      <c r="AN606" s="55">
        <v>21</v>
      </c>
      <c r="AO606" s="55">
        <f>H606*1</f>
        <v>0</v>
      </c>
      <c r="AP606" s="55">
        <f>H606*(1-1)</f>
        <v>0</v>
      </c>
      <c r="AQ606" s="66" t="s">
        <v>125</v>
      </c>
      <c r="AV606" s="55">
        <f>AW606+AX606</f>
        <v>0</v>
      </c>
      <c r="AW606" s="55">
        <f>G606*AO606</f>
        <v>0</v>
      </c>
      <c r="AX606" s="55">
        <f>G606*AP606</f>
        <v>0</v>
      </c>
      <c r="AY606" s="58" t="s">
        <v>1096</v>
      </c>
      <c r="AZ606" s="58" t="s">
        <v>1068</v>
      </c>
      <c r="BA606" s="34" t="s">
        <v>128</v>
      </c>
      <c r="BC606" s="55">
        <f>AW606+AX606</f>
        <v>0</v>
      </c>
      <c r="BD606" s="55">
        <f>H606/(100-BE606)*100</f>
        <v>0</v>
      </c>
      <c r="BE606" s="55">
        <v>0</v>
      </c>
      <c r="BF606" s="55">
        <f>K606</f>
        <v>0.1687692</v>
      </c>
      <c r="BH606" s="63">
        <f>G606*AO606</f>
        <v>0</v>
      </c>
      <c r="BI606" s="63">
        <f>G606*AP606</f>
        <v>0</v>
      </c>
      <c r="BJ606" s="63">
        <f>G606*H606</f>
        <v>0</v>
      </c>
      <c r="BK606" s="63"/>
      <c r="BL606" s="55">
        <v>713</v>
      </c>
      <c r="BW606" s="55">
        <v>21</v>
      </c>
    </row>
    <row r="607" spans="1:12" ht="14.4">
      <c r="A607" s="59"/>
      <c r="D607" s="60" t="s">
        <v>1194</v>
      </c>
      <c r="E607" s="60" t="s">
        <v>4</v>
      </c>
      <c r="G607" s="68">
        <v>80.32</v>
      </c>
      <c r="L607" s="69"/>
    </row>
    <row r="608" spans="1:12" ht="14.4">
      <c r="A608" s="59"/>
      <c r="D608" s="60" t="s">
        <v>1195</v>
      </c>
      <c r="E608" s="60" t="s">
        <v>4</v>
      </c>
      <c r="G608" s="68">
        <v>2.41</v>
      </c>
      <c r="L608" s="69"/>
    </row>
    <row r="609" spans="1:75" ht="13.5" customHeight="1">
      <c r="A609" s="61" t="s">
        <v>1196</v>
      </c>
      <c r="B609" s="62" t="s">
        <v>116</v>
      </c>
      <c r="C609" s="62" t="s">
        <v>1197</v>
      </c>
      <c r="D609" s="224" t="s">
        <v>1198</v>
      </c>
      <c r="E609" s="225"/>
      <c r="F609" s="62" t="s">
        <v>729</v>
      </c>
      <c r="G609" s="63">
        <f>'Stavební rozpočet-vyplnit'!G609</f>
        <v>51.5</v>
      </c>
      <c r="H609" s="63">
        <f>'Stavební rozpočet-vyplnit'!H609</f>
        <v>0</v>
      </c>
      <c r="I609" s="63">
        <f>G609*H609</f>
        <v>0</v>
      </c>
      <c r="J609" s="63">
        <f>'Stavební rozpočet-vyplnit'!J609</f>
        <v>0.00136</v>
      </c>
      <c r="K609" s="63">
        <f>G609*J609</f>
        <v>0.07004</v>
      </c>
      <c r="L609" s="65" t="s">
        <v>785</v>
      </c>
      <c r="Z609" s="55">
        <f>IF(AQ609="5",BJ609,0)</f>
        <v>0</v>
      </c>
      <c r="AB609" s="55">
        <f>IF(AQ609="1",BH609,0)</f>
        <v>0</v>
      </c>
      <c r="AC609" s="55">
        <f>IF(AQ609="1",BI609,0)</f>
        <v>0</v>
      </c>
      <c r="AD609" s="55">
        <f>IF(AQ609="7",BH609,0)</f>
        <v>0</v>
      </c>
      <c r="AE609" s="55">
        <f>IF(AQ609="7",BI609,0)</f>
        <v>0</v>
      </c>
      <c r="AF609" s="55">
        <f>IF(AQ609="2",BH609,0)</f>
        <v>0</v>
      </c>
      <c r="AG609" s="55">
        <f>IF(AQ609="2",BI609,0)</f>
        <v>0</v>
      </c>
      <c r="AH609" s="55">
        <f>IF(AQ609="0",BJ609,0)</f>
        <v>0</v>
      </c>
      <c r="AI609" s="34" t="s">
        <v>116</v>
      </c>
      <c r="AJ609" s="63">
        <f>IF(AN609=0,I609,0)</f>
        <v>0</v>
      </c>
      <c r="AK609" s="63">
        <f>IF(AN609=12,I609,0)</f>
        <v>0</v>
      </c>
      <c r="AL609" s="63">
        <f>IF(AN609=21,I609,0)</f>
        <v>0</v>
      </c>
      <c r="AN609" s="55">
        <v>21</v>
      </c>
      <c r="AO609" s="55">
        <f>H609*1</f>
        <v>0</v>
      </c>
      <c r="AP609" s="55">
        <f>H609*(1-1)</f>
        <v>0</v>
      </c>
      <c r="AQ609" s="66" t="s">
        <v>125</v>
      </c>
      <c r="AV609" s="55">
        <f>AW609+AX609</f>
        <v>0</v>
      </c>
      <c r="AW609" s="55">
        <f>G609*AO609</f>
        <v>0</v>
      </c>
      <c r="AX609" s="55">
        <f>G609*AP609</f>
        <v>0</v>
      </c>
      <c r="AY609" s="58" t="s">
        <v>1096</v>
      </c>
      <c r="AZ609" s="58" t="s">
        <v>1068</v>
      </c>
      <c r="BA609" s="34" t="s">
        <v>128</v>
      </c>
      <c r="BC609" s="55">
        <f>AW609+AX609</f>
        <v>0</v>
      </c>
      <c r="BD609" s="55">
        <f>H609/(100-BE609)*100</f>
        <v>0</v>
      </c>
      <c r="BE609" s="55">
        <v>0</v>
      </c>
      <c r="BF609" s="55">
        <f>K609</f>
        <v>0.07004</v>
      </c>
      <c r="BH609" s="63">
        <f>G609*AO609</f>
        <v>0</v>
      </c>
      <c r="BI609" s="63">
        <f>G609*AP609</f>
        <v>0</v>
      </c>
      <c r="BJ609" s="63">
        <f>G609*H609</f>
        <v>0</v>
      </c>
      <c r="BK609" s="63"/>
      <c r="BL609" s="55">
        <v>713</v>
      </c>
      <c r="BW609" s="55">
        <v>21</v>
      </c>
    </row>
    <row r="610" spans="1:12" ht="14.4">
      <c r="A610" s="59"/>
      <c r="D610" s="60" t="s">
        <v>280</v>
      </c>
      <c r="E610" s="60" t="s">
        <v>4</v>
      </c>
      <c r="G610" s="68">
        <v>50</v>
      </c>
      <c r="L610" s="69"/>
    </row>
    <row r="611" spans="1:12" ht="14.4">
      <c r="A611" s="59"/>
      <c r="D611" s="60" t="s">
        <v>1199</v>
      </c>
      <c r="E611" s="60" t="s">
        <v>4</v>
      </c>
      <c r="G611" s="68">
        <v>1.5</v>
      </c>
      <c r="L611" s="69"/>
    </row>
    <row r="612" spans="1:75" ht="13.5" customHeight="1">
      <c r="A612" s="1" t="s">
        <v>1200</v>
      </c>
      <c r="B612" s="2" t="s">
        <v>116</v>
      </c>
      <c r="C612" s="2" t="s">
        <v>1201</v>
      </c>
      <c r="D612" s="147" t="s">
        <v>1202</v>
      </c>
      <c r="E612" s="148"/>
      <c r="F612" s="2" t="s">
        <v>729</v>
      </c>
      <c r="G612" s="55">
        <f>'Stavební rozpočet-vyplnit'!G612</f>
        <v>158.2</v>
      </c>
      <c r="H612" s="55">
        <f>'Stavební rozpočet-vyplnit'!H612</f>
        <v>0</v>
      </c>
      <c r="I612" s="55">
        <f>G612*H612</f>
        <v>0</v>
      </c>
      <c r="J612" s="55">
        <f>'Stavební rozpočet-vyplnit'!J612</f>
        <v>0.00022</v>
      </c>
      <c r="K612" s="55">
        <f>G612*J612</f>
        <v>0.034804</v>
      </c>
      <c r="L612" s="57" t="s">
        <v>785</v>
      </c>
      <c r="Z612" s="55">
        <f>IF(AQ612="5",BJ612,0)</f>
        <v>0</v>
      </c>
      <c r="AB612" s="55">
        <f>IF(AQ612="1",BH612,0)</f>
        <v>0</v>
      </c>
      <c r="AC612" s="55">
        <f>IF(AQ612="1",BI612,0)</f>
        <v>0</v>
      </c>
      <c r="AD612" s="55">
        <f>IF(AQ612="7",BH612,0)</f>
        <v>0</v>
      </c>
      <c r="AE612" s="55">
        <f>IF(AQ612="7",BI612,0)</f>
        <v>0</v>
      </c>
      <c r="AF612" s="55">
        <f>IF(AQ612="2",BH612,0)</f>
        <v>0</v>
      </c>
      <c r="AG612" s="55">
        <f>IF(AQ612="2",BI612,0)</f>
        <v>0</v>
      </c>
      <c r="AH612" s="55">
        <f>IF(AQ612="0",BJ612,0)</f>
        <v>0</v>
      </c>
      <c r="AI612" s="34" t="s">
        <v>116</v>
      </c>
      <c r="AJ612" s="55">
        <f>IF(AN612=0,I612,0)</f>
        <v>0</v>
      </c>
      <c r="AK612" s="55">
        <f>IF(AN612=12,I612,0)</f>
        <v>0</v>
      </c>
      <c r="AL612" s="55">
        <f>IF(AN612=21,I612,0)</f>
        <v>0</v>
      </c>
      <c r="AN612" s="55">
        <v>21</v>
      </c>
      <c r="AO612" s="55">
        <f>H612*0.584842105</f>
        <v>0</v>
      </c>
      <c r="AP612" s="55">
        <f>H612*(1-0.584842105)</f>
        <v>0</v>
      </c>
      <c r="AQ612" s="58" t="s">
        <v>125</v>
      </c>
      <c r="AV612" s="55">
        <f>AW612+AX612</f>
        <v>0</v>
      </c>
      <c r="AW612" s="55">
        <f>G612*AO612</f>
        <v>0</v>
      </c>
      <c r="AX612" s="55">
        <f>G612*AP612</f>
        <v>0</v>
      </c>
      <c r="AY612" s="58" t="s">
        <v>1096</v>
      </c>
      <c r="AZ612" s="58" t="s">
        <v>1068</v>
      </c>
      <c r="BA612" s="34" t="s">
        <v>128</v>
      </c>
      <c r="BB612" s="67">
        <v>100005</v>
      </c>
      <c r="BC612" s="55">
        <f>AW612+AX612</f>
        <v>0</v>
      </c>
      <c r="BD612" s="55">
        <f>H612/(100-BE612)*100</f>
        <v>0</v>
      </c>
      <c r="BE612" s="55">
        <v>0</v>
      </c>
      <c r="BF612" s="55">
        <f>K612</f>
        <v>0.034804</v>
      </c>
      <c r="BH612" s="55">
        <f>G612*AO612</f>
        <v>0</v>
      </c>
      <c r="BI612" s="55">
        <f>G612*AP612</f>
        <v>0</v>
      </c>
      <c r="BJ612" s="55">
        <f>G612*H612</f>
        <v>0</v>
      </c>
      <c r="BK612" s="55"/>
      <c r="BL612" s="55">
        <v>713</v>
      </c>
      <c r="BW612" s="55">
        <v>21</v>
      </c>
    </row>
    <row r="613" spans="1:12" ht="13.5" customHeight="1">
      <c r="A613" s="59"/>
      <c r="D613" s="218" t="s">
        <v>1203</v>
      </c>
      <c r="E613" s="219"/>
      <c r="F613" s="219"/>
      <c r="G613" s="219"/>
      <c r="H613" s="219"/>
      <c r="I613" s="219"/>
      <c r="J613" s="219"/>
      <c r="K613" s="219"/>
      <c r="L613" s="221"/>
    </row>
    <row r="614" spans="1:12" ht="14.4">
      <c r="A614" s="59"/>
      <c r="D614" s="60" t="s">
        <v>1204</v>
      </c>
      <c r="E614" s="60" t="s">
        <v>1205</v>
      </c>
      <c r="G614" s="68">
        <v>55.7</v>
      </c>
      <c r="L614" s="69"/>
    </row>
    <row r="615" spans="1:12" ht="14.4">
      <c r="A615" s="59"/>
      <c r="D615" s="60" t="s">
        <v>289</v>
      </c>
      <c r="E615" s="60" t="s">
        <v>1206</v>
      </c>
      <c r="G615" s="68">
        <v>53</v>
      </c>
      <c r="L615" s="69"/>
    </row>
    <row r="616" spans="1:12" ht="14.4">
      <c r="A616" s="59"/>
      <c r="D616" s="60" t="s">
        <v>1207</v>
      </c>
      <c r="E616" s="60" t="s">
        <v>1208</v>
      </c>
      <c r="G616" s="68">
        <v>49.5</v>
      </c>
      <c r="L616" s="69"/>
    </row>
    <row r="617" spans="1:75" ht="13.5" customHeight="1">
      <c r="A617" s="1" t="s">
        <v>1209</v>
      </c>
      <c r="B617" s="2" t="s">
        <v>116</v>
      </c>
      <c r="C617" s="2" t="s">
        <v>1210</v>
      </c>
      <c r="D617" s="147" t="s">
        <v>1211</v>
      </c>
      <c r="E617" s="148"/>
      <c r="F617" s="2" t="s">
        <v>729</v>
      </c>
      <c r="G617" s="55">
        <f>'Stavební rozpočet-vyplnit'!G617</f>
        <v>247.7</v>
      </c>
      <c r="H617" s="55">
        <f>'Stavební rozpočet-vyplnit'!H617</f>
        <v>0</v>
      </c>
      <c r="I617" s="55">
        <f>G617*H617</f>
        <v>0</v>
      </c>
      <c r="J617" s="55">
        <f>'Stavební rozpočet-vyplnit'!J617</f>
        <v>0</v>
      </c>
      <c r="K617" s="55">
        <f>G617*J617</f>
        <v>0</v>
      </c>
      <c r="L617" s="57" t="s">
        <v>785</v>
      </c>
      <c r="Z617" s="55">
        <f>IF(AQ617="5",BJ617,0)</f>
        <v>0</v>
      </c>
      <c r="AB617" s="55">
        <f>IF(AQ617="1",BH617,0)</f>
        <v>0</v>
      </c>
      <c r="AC617" s="55">
        <f>IF(AQ617="1",BI617,0)</f>
        <v>0</v>
      </c>
      <c r="AD617" s="55">
        <f>IF(AQ617="7",BH617,0)</f>
        <v>0</v>
      </c>
      <c r="AE617" s="55">
        <f>IF(AQ617="7",BI617,0)</f>
        <v>0</v>
      </c>
      <c r="AF617" s="55">
        <f>IF(AQ617="2",BH617,0)</f>
        <v>0</v>
      </c>
      <c r="AG617" s="55">
        <f>IF(AQ617="2",BI617,0)</f>
        <v>0</v>
      </c>
      <c r="AH617" s="55">
        <f>IF(AQ617="0",BJ617,0)</f>
        <v>0</v>
      </c>
      <c r="AI617" s="34" t="s">
        <v>116</v>
      </c>
      <c r="AJ617" s="55">
        <f>IF(AN617=0,I617,0)</f>
        <v>0</v>
      </c>
      <c r="AK617" s="55">
        <f>IF(AN617=12,I617,0)</f>
        <v>0</v>
      </c>
      <c r="AL617" s="55">
        <f>IF(AN617=21,I617,0)</f>
        <v>0</v>
      </c>
      <c r="AN617" s="55">
        <v>21</v>
      </c>
      <c r="AO617" s="55">
        <f>H617*0</f>
        <v>0</v>
      </c>
      <c r="AP617" s="55">
        <f>H617*(1-0)</f>
        <v>0</v>
      </c>
      <c r="AQ617" s="58" t="s">
        <v>125</v>
      </c>
      <c r="AV617" s="55">
        <f>AW617+AX617</f>
        <v>0</v>
      </c>
      <c r="AW617" s="55">
        <f>G617*AO617</f>
        <v>0</v>
      </c>
      <c r="AX617" s="55">
        <f>G617*AP617</f>
        <v>0</v>
      </c>
      <c r="AY617" s="58" t="s">
        <v>1096</v>
      </c>
      <c r="AZ617" s="58" t="s">
        <v>1068</v>
      </c>
      <c r="BA617" s="34" t="s">
        <v>128</v>
      </c>
      <c r="BB617" s="67">
        <v>100005</v>
      </c>
      <c r="BC617" s="55">
        <f>AW617+AX617</f>
        <v>0</v>
      </c>
      <c r="BD617" s="55">
        <f>H617/(100-BE617)*100</f>
        <v>0</v>
      </c>
      <c r="BE617" s="55">
        <v>0</v>
      </c>
      <c r="BF617" s="55">
        <f>K617</f>
        <v>0</v>
      </c>
      <c r="BH617" s="55">
        <f>G617*AO617</f>
        <v>0</v>
      </c>
      <c r="BI617" s="55">
        <f>G617*AP617</f>
        <v>0</v>
      </c>
      <c r="BJ617" s="55">
        <f>G617*H617</f>
        <v>0</v>
      </c>
      <c r="BK617" s="55"/>
      <c r="BL617" s="55">
        <v>713</v>
      </c>
      <c r="BW617" s="55">
        <v>21</v>
      </c>
    </row>
    <row r="618" spans="1:12" ht="13.5" customHeight="1">
      <c r="A618" s="59"/>
      <c r="D618" s="218" t="s">
        <v>1212</v>
      </c>
      <c r="E618" s="219"/>
      <c r="F618" s="219"/>
      <c r="G618" s="219"/>
      <c r="H618" s="219"/>
      <c r="I618" s="219"/>
      <c r="J618" s="219"/>
      <c r="K618" s="219"/>
      <c r="L618" s="221"/>
    </row>
    <row r="619" spans="1:12" ht="14.4">
      <c r="A619" s="59"/>
      <c r="D619" s="60" t="s">
        <v>1160</v>
      </c>
      <c r="E619" s="60" t="s">
        <v>4</v>
      </c>
      <c r="G619" s="68">
        <v>247.7</v>
      </c>
      <c r="L619" s="69"/>
    </row>
    <row r="620" spans="1:75" ht="13.5" customHeight="1">
      <c r="A620" s="61" t="s">
        <v>1213</v>
      </c>
      <c r="B620" s="62" t="s">
        <v>116</v>
      </c>
      <c r="C620" s="62" t="s">
        <v>1214</v>
      </c>
      <c r="D620" s="224" t="s">
        <v>1215</v>
      </c>
      <c r="E620" s="225"/>
      <c r="F620" s="62" t="s">
        <v>729</v>
      </c>
      <c r="G620" s="63">
        <f>'Stavební rozpočet-vyplnit'!G620</f>
        <v>255.13</v>
      </c>
      <c r="H620" s="63">
        <f>'Stavební rozpočet-vyplnit'!H620</f>
        <v>0</v>
      </c>
      <c r="I620" s="63">
        <f>G620*H620</f>
        <v>0</v>
      </c>
      <c r="J620" s="63">
        <f>'Stavební rozpočet-vyplnit'!J620</f>
        <v>0.00144</v>
      </c>
      <c r="K620" s="63">
        <f>G620*J620</f>
        <v>0.3673872</v>
      </c>
      <c r="L620" s="65" t="s">
        <v>785</v>
      </c>
      <c r="Z620" s="55">
        <f>IF(AQ620="5",BJ620,0)</f>
        <v>0</v>
      </c>
      <c r="AB620" s="55">
        <f>IF(AQ620="1",BH620,0)</f>
        <v>0</v>
      </c>
      <c r="AC620" s="55">
        <f>IF(AQ620="1",BI620,0)</f>
        <v>0</v>
      </c>
      <c r="AD620" s="55">
        <f>IF(AQ620="7",BH620,0)</f>
        <v>0</v>
      </c>
      <c r="AE620" s="55">
        <f>IF(AQ620="7",BI620,0)</f>
        <v>0</v>
      </c>
      <c r="AF620" s="55">
        <f>IF(AQ620="2",BH620,0)</f>
        <v>0</v>
      </c>
      <c r="AG620" s="55">
        <f>IF(AQ620="2",BI620,0)</f>
        <v>0</v>
      </c>
      <c r="AH620" s="55">
        <f>IF(AQ620="0",BJ620,0)</f>
        <v>0</v>
      </c>
      <c r="AI620" s="34" t="s">
        <v>116</v>
      </c>
      <c r="AJ620" s="63">
        <f>IF(AN620=0,I620,0)</f>
        <v>0</v>
      </c>
      <c r="AK620" s="63">
        <f>IF(AN620=12,I620,0)</f>
        <v>0</v>
      </c>
      <c r="AL620" s="63">
        <f>IF(AN620=21,I620,0)</f>
        <v>0</v>
      </c>
      <c r="AN620" s="55">
        <v>21</v>
      </c>
      <c r="AO620" s="55">
        <f>H620*1</f>
        <v>0</v>
      </c>
      <c r="AP620" s="55">
        <f>H620*(1-1)</f>
        <v>0</v>
      </c>
      <c r="AQ620" s="66" t="s">
        <v>125</v>
      </c>
      <c r="AV620" s="55">
        <f>AW620+AX620</f>
        <v>0</v>
      </c>
      <c r="AW620" s="55">
        <f>G620*AO620</f>
        <v>0</v>
      </c>
      <c r="AX620" s="55">
        <f>G620*AP620</f>
        <v>0</v>
      </c>
      <c r="AY620" s="58" t="s">
        <v>1096</v>
      </c>
      <c r="AZ620" s="58" t="s">
        <v>1068</v>
      </c>
      <c r="BA620" s="34" t="s">
        <v>128</v>
      </c>
      <c r="BC620" s="55">
        <f>AW620+AX620</f>
        <v>0</v>
      </c>
      <c r="BD620" s="55">
        <f>H620/(100-BE620)*100</f>
        <v>0</v>
      </c>
      <c r="BE620" s="55">
        <v>0</v>
      </c>
      <c r="BF620" s="55">
        <f>K620</f>
        <v>0.3673872</v>
      </c>
      <c r="BH620" s="63">
        <f>G620*AO620</f>
        <v>0</v>
      </c>
      <c r="BI620" s="63">
        <f>G620*AP620</f>
        <v>0</v>
      </c>
      <c r="BJ620" s="63">
        <f>G620*H620</f>
        <v>0</v>
      </c>
      <c r="BK620" s="63"/>
      <c r="BL620" s="55">
        <v>713</v>
      </c>
      <c r="BW620" s="55">
        <v>21</v>
      </c>
    </row>
    <row r="621" spans="1:12" ht="14.4">
      <c r="A621" s="59"/>
      <c r="D621" s="60" t="s">
        <v>1160</v>
      </c>
      <c r="E621" s="60" t="s">
        <v>4</v>
      </c>
      <c r="G621" s="68">
        <v>247.7</v>
      </c>
      <c r="L621" s="69"/>
    </row>
    <row r="622" spans="1:12" ht="14.4">
      <c r="A622" s="59"/>
      <c r="D622" s="60" t="s">
        <v>1216</v>
      </c>
      <c r="E622" s="60" t="s">
        <v>4</v>
      </c>
      <c r="G622" s="68">
        <v>7.43</v>
      </c>
      <c r="L622" s="69"/>
    </row>
    <row r="623" spans="1:75" ht="13.5" customHeight="1">
      <c r="A623" s="61" t="s">
        <v>1217</v>
      </c>
      <c r="B623" s="62" t="s">
        <v>116</v>
      </c>
      <c r="C623" s="62" t="s">
        <v>1218</v>
      </c>
      <c r="D623" s="224" t="s">
        <v>1219</v>
      </c>
      <c r="E623" s="225"/>
      <c r="F623" s="62" t="s">
        <v>729</v>
      </c>
      <c r="G623" s="63">
        <f>'Stavební rozpočet-vyplnit'!G623</f>
        <v>255.13</v>
      </c>
      <c r="H623" s="63">
        <f>'Stavební rozpočet-vyplnit'!H623</f>
        <v>0</v>
      </c>
      <c r="I623" s="63">
        <f>G623*H623</f>
        <v>0</v>
      </c>
      <c r="J623" s="63">
        <f>'Stavební rozpočet-vyplnit'!J623</f>
        <v>0.00216</v>
      </c>
      <c r="K623" s="63">
        <f>G623*J623</f>
        <v>0.5510808</v>
      </c>
      <c r="L623" s="65" t="s">
        <v>785</v>
      </c>
      <c r="Z623" s="55">
        <f>IF(AQ623="5",BJ623,0)</f>
        <v>0</v>
      </c>
      <c r="AB623" s="55">
        <f>IF(AQ623="1",BH623,0)</f>
        <v>0</v>
      </c>
      <c r="AC623" s="55">
        <f>IF(AQ623="1",BI623,0)</f>
        <v>0</v>
      </c>
      <c r="AD623" s="55">
        <f>IF(AQ623="7",BH623,0)</f>
        <v>0</v>
      </c>
      <c r="AE623" s="55">
        <f>IF(AQ623="7",BI623,0)</f>
        <v>0</v>
      </c>
      <c r="AF623" s="55">
        <f>IF(AQ623="2",BH623,0)</f>
        <v>0</v>
      </c>
      <c r="AG623" s="55">
        <f>IF(AQ623="2",BI623,0)</f>
        <v>0</v>
      </c>
      <c r="AH623" s="55">
        <f>IF(AQ623="0",BJ623,0)</f>
        <v>0</v>
      </c>
      <c r="AI623" s="34" t="s">
        <v>116</v>
      </c>
      <c r="AJ623" s="63">
        <f>IF(AN623=0,I623,0)</f>
        <v>0</v>
      </c>
      <c r="AK623" s="63">
        <f>IF(AN623=12,I623,0)</f>
        <v>0</v>
      </c>
      <c r="AL623" s="63">
        <f>IF(AN623=21,I623,0)</f>
        <v>0</v>
      </c>
      <c r="AN623" s="55">
        <v>21</v>
      </c>
      <c r="AO623" s="55">
        <f>H623*1</f>
        <v>0</v>
      </c>
      <c r="AP623" s="55">
        <f>H623*(1-1)</f>
        <v>0</v>
      </c>
      <c r="AQ623" s="66" t="s">
        <v>125</v>
      </c>
      <c r="AV623" s="55">
        <f>AW623+AX623</f>
        <v>0</v>
      </c>
      <c r="AW623" s="55">
        <f>G623*AO623</f>
        <v>0</v>
      </c>
      <c r="AX623" s="55">
        <f>G623*AP623</f>
        <v>0</v>
      </c>
      <c r="AY623" s="58" t="s">
        <v>1096</v>
      </c>
      <c r="AZ623" s="58" t="s">
        <v>1068</v>
      </c>
      <c r="BA623" s="34" t="s">
        <v>128</v>
      </c>
      <c r="BC623" s="55">
        <f>AW623+AX623</f>
        <v>0</v>
      </c>
      <c r="BD623" s="55">
        <f>H623/(100-BE623)*100</f>
        <v>0</v>
      </c>
      <c r="BE623" s="55">
        <v>0</v>
      </c>
      <c r="BF623" s="55">
        <f>K623</f>
        <v>0.5510808</v>
      </c>
      <c r="BH623" s="63">
        <f>G623*AO623</f>
        <v>0</v>
      </c>
      <c r="BI623" s="63">
        <f>G623*AP623</f>
        <v>0</v>
      </c>
      <c r="BJ623" s="63">
        <f>G623*H623</f>
        <v>0</v>
      </c>
      <c r="BK623" s="63"/>
      <c r="BL623" s="55">
        <v>713</v>
      </c>
      <c r="BW623" s="55">
        <v>21</v>
      </c>
    </row>
    <row r="624" spans="1:12" ht="14.4">
      <c r="A624" s="59"/>
      <c r="D624" s="60" t="s">
        <v>1160</v>
      </c>
      <c r="E624" s="60" t="s">
        <v>4</v>
      </c>
      <c r="G624" s="68">
        <v>247.7</v>
      </c>
      <c r="L624" s="69"/>
    </row>
    <row r="625" spans="1:12" ht="14.4">
      <c r="A625" s="59"/>
      <c r="D625" s="60" t="s">
        <v>1216</v>
      </c>
      <c r="E625" s="60" t="s">
        <v>4</v>
      </c>
      <c r="G625" s="68">
        <v>7.43</v>
      </c>
      <c r="L625" s="69"/>
    </row>
    <row r="626" spans="1:75" ht="13.5" customHeight="1">
      <c r="A626" s="1" t="s">
        <v>1220</v>
      </c>
      <c r="B626" s="2" t="s">
        <v>116</v>
      </c>
      <c r="C626" s="2" t="s">
        <v>1221</v>
      </c>
      <c r="D626" s="147" t="s">
        <v>1222</v>
      </c>
      <c r="E626" s="148"/>
      <c r="F626" s="2" t="s">
        <v>729</v>
      </c>
      <c r="G626" s="55">
        <f>'Stavební rozpočet-vyplnit'!G626</f>
        <v>163.3</v>
      </c>
      <c r="H626" s="55">
        <f>'Stavební rozpočet-vyplnit'!H626</f>
        <v>0</v>
      </c>
      <c r="I626" s="55">
        <f>G626*H626</f>
        <v>0</v>
      </c>
      <c r="J626" s="55">
        <f>'Stavební rozpočet-vyplnit'!J626</f>
        <v>0.00023</v>
      </c>
      <c r="K626" s="55">
        <f>G626*J626</f>
        <v>0.037559</v>
      </c>
      <c r="L626" s="57" t="s">
        <v>785</v>
      </c>
      <c r="Z626" s="55">
        <f>IF(AQ626="5",BJ626,0)</f>
        <v>0</v>
      </c>
      <c r="AB626" s="55">
        <f>IF(AQ626="1",BH626,0)</f>
        <v>0</v>
      </c>
      <c r="AC626" s="55">
        <f>IF(AQ626="1",BI626,0)</f>
        <v>0</v>
      </c>
      <c r="AD626" s="55">
        <f>IF(AQ626="7",BH626,0)</f>
        <v>0</v>
      </c>
      <c r="AE626" s="55">
        <f>IF(AQ626="7",BI626,0)</f>
        <v>0</v>
      </c>
      <c r="AF626" s="55">
        <f>IF(AQ626="2",BH626,0)</f>
        <v>0</v>
      </c>
      <c r="AG626" s="55">
        <f>IF(AQ626="2",BI626,0)</f>
        <v>0</v>
      </c>
      <c r="AH626" s="55">
        <f>IF(AQ626="0",BJ626,0)</f>
        <v>0</v>
      </c>
      <c r="AI626" s="34" t="s">
        <v>116</v>
      </c>
      <c r="AJ626" s="55">
        <f>IF(AN626=0,I626,0)</f>
        <v>0</v>
      </c>
      <c r="AK626" s="55">
        <f>IF(AN626=12,I626,0)</f>
        <v>0</v>
      </c>
      <c r="AL626" s="55">
        <f>IF(AN626=21,I626,0)</f>
        <v>0</v>
      </c>
      <c r="AN626" s="55">
        <v>21</v>
      </c>
      <c r="AO626" s="55">
        <f>H626*0.031971154</f>
        <v>0</v>
      </c>
      <c r="AP626" s="55">
        <f>H626*(1-0.031971154)</f>
        <v>0</v>
      </c>
      <c r="AQ626" s="58" t="s">
        <v>125</v>
      </c>
      <c r="AV626" s="55">
        <f>AW626+AX626</f>
        <v>0</v>
      </c>
      <c r="AW626" s="55">
        <f>G626*AO626</f>
        <v>0</v>
      </c>
      <c r="AX626" s="55">
        <f>G626*AP626</f>
        <v>0</v>
      </c>
      <c r="AY626" s="58" t="s">
        <v>1096</v>
      </c>
      <c r="AZ626" s="58" t="s">
        <v>1068</v>
      </c>
      <c r="BA626" s="34" t="s">
        <v>128</v>
      </c>
      <c r="BB626" s="67">
        <v>100005</v>
      </c>
      <c r="BC626" s="55">
        <f>AW626+AX626</f>
        <v>0</v>
      </c>
      <c r="BD626" s="55">
        <f>H626/(100-BE626)*100</f>
        <v>0</v>
      </c>
      <c r="BE626" s="55">
        <v>0</v>
      </c>
      <c r="BF626" s="55">
        <f>K626</f>
        <v>0.037559</v>
      </c>
      <c r="BH626" s="55">
        <f>G626*AO626</f>
        <v>0</v>
      </c>
      <c r="BI626" s="55">
        <f>G626*AP626</f>
        <v>0</v>
      </c>
      <c r="BJ626" s="55">
        <f>G626*H626</f>
        <v>0</v>
      </c>
      <c r="BK626" s="55"/>
      <c r="BL626" s="55">
        <v>713</v>
      </c>
      <c r="BW626" s="55">
        <v>21</v>
      </c>
    </row>
    <row r="627" spans="1:12" ht="13.5" customHeight="1">
      <c r="A627" s="59"/>
      <c r="D627" s="218" t="s">
        <v>1212</v>
      </c>
      <c r="E627" s="219"/>
      <c r="F627" s="219"/>
      <c r="G627" s="219"/>
      <c r="H627" s="219"/>
      <c r="I627" s="219"/>
      <c r="J627" s="219"/>
      <c r="K627" s="219"/>
      <c r="L627" s="221"/>
    </row>
    <row r="628" spans="1:12" ht="14.4">
      <c r="A628" s="59"/>
      <c r="D628" s="60" t="s">
        <v>1223</v>
      </c>
      <c r="E628" s="60" t="s">
        <v>4</v>
      </c>
      <c r="G628" s="68">
        <v>163.3</v>
      </c>
      <c r="L628" s="69"/>
    </row>
    <row r="629" spans="1:75" ht="13.5" customHeight="1">
      <c r="A629" s="61" t="s">
        <v>1224</v>
      </c>
      <c r="B629" s="62" t="s">
        <v>116</v>
      </c>
      <c r="C629" s="62" t="s">
        <v>1214</v>
      </c>
      <c r="D629" s="224" t="s">
        <v>1215</v>
      </c>
      <c r="E629" s="225"/>
      <c r="F629" s="62" t="s">
        <v>729</v>
      </c>
      <c r="G629" s="63">
        <f>'Stavební rozpočet-vyplnit'!G629</f>
        <v>339.49</v>
      </c>
      <c r="H629" s="63">
        <f>'Stavební rozpočet-vyplnit'!H629</f>
        <v>0</v>
      </c>
      <c r="I629" s="63">
        <f>G629*H629</f>
        <v>0</v>
      </c>
      <c r="J629" s="63">
        <f>'Stavební rozpočet-vyplnit'!J629</f>
        <v>0.00144</v>
      </c>
      <c r="K629" s="63">
        <f>G629*J629</f>
        <v>0.48886560000000007</v>
      </c>
      <c r="L629" s="65" t="s">
        <v>785</v>
      </c>
      <c r="Z629" s="55">
        <f>IF(AQ629="5",BJ629,0)</f>
        <v>0</v>
      </c>
      <c r="AB629" s="55">
        <f>IF(AQ629="1",BH629,0)</f>
        <v>0</v>
      </c>
      <c r="AC629" s="55">
        <f>IF(AQ629="1",BI629,0)</f>
        <v>0</v>
      </c>
      <c r="AD629" s="55">
        <f>IF(AQ629="7",BH629,0)</f>
        <v>0</v>
      </c>
      <c r="AE629" s="55">
        <f>IF(AQ629="7",BI629,0)</f>
        <v>0</v>
      </c>
      <c r="AF629" s="55">
        <f>IF(AQ629="2",BH629,0)</f>
        <v>0</v>
      </c>
      <c r="AG629" s="55">
        <f>IF(AQ629="2",BI629,0)</f>
        <v>0</v>
      </c>
      <c r="AH629" s="55">
        <f>IF(AQ629="0",BJ629,0)</f>
        <v>0</v>
      </c>
      <c r="AI629" s="34" t="s">
        <v>116</v>
      </c>
      <c r="AJ629" s="63">
        <f>IF(AN629=0,I629,0)</f>
        <v>0</v>
      </c>
      <c r="AK629" s="63">
        <f>IF(AN629=12,I629,0)</f>
        <v>0</v>
      </c>
      <c r="AL629" s="63">
        <f>IF(AN629=21,I629,0)</f>
        <v>0</v>
      </c>
      <c r="AN629" s="55">
        <v>21</v>
      </c>
      <c r="AO629" s="55">
        <f>H629*1</f>
        <v>0</v>
      </c>
      <c r="AP629" s="55">
        <f>H629*(1-1)</f>
        <v>0</v>
      </c>
      <c r="AQ629" s="66" t="s">
        <v>125</v>
      </c>
      <c r="AV629" s="55">
        <f>AW629+AX629</f>
        <v>0</v>
      </c>
      <c r="AW629" s="55">
        <f>G629*AO629</f>
        <v>0</v>
      </c>
      <c r="AX629" s="55">
        <f>G629*AP629</f>
        <v>0</v>
      </c>
      <c r="AY629" s="58" t="s">
        <v>1096</v>
      </c>
      <c r="AZ629" s="58" t="s">
        <v>1068</v>
      </c>
      <c r="BA629" s="34" t="s">
        <v>128</v>
      </c>
      <c r="BC629" s="55">
        <f>AW629+AX629</f>
        <v>0</v>
      </c>
      <c r="BD629" s="55">
        <f>H629/(100-BE629)*100</f>
        <v>0</v>
      </c>
      <c r="BE629" s="55">
        <v>0</v>
      </c>
      <c r="BF629" s="55">
        <f>K629</f>
        <v>0.48886560000000007</v>
      </c>
      <c r="BH629" s="63">
        <f>G629*AO629</f>
        <v>0</v>
      </c>
      <c r="BI629" s="63">
        <f>G629*AP629</f>
        <v>0</v>
      </c>
      <c r="BJ629" s="63">
        <f>G629*H629</f>
        <v>0</v>
      </c>
      <c r="BK629" s="63"/>
      <c r="BL629" s="55">
        <v>713</v>
      </c>
      <c r="BW629" s="55">
        <v>21</v>
      </c>
    </row>
    <row r="630" spans="1:12" ht="14.4">
      <c r="A630" s="59"/>
      <c r="D630" s="60" t="s">
        <v>1225</v>
      </c>
      <c r="E630" s="60" t="s">
        <v>4</v>
      </c>
      <c r="G630" s="68">
        <v>329.6</v>
      </c>
      <c r="L630" s="69"/>
    </row>
    <row r="631" spans="1:12" ht="14.4">
      <c r="A631" s="59"/>
      <c r="D631" s="60" t="s">
        <v>1226</v>
      </c>
      <c r="E631" s="60" t="s">
        <v>4</v>
      </c>
      <c r="G631" s="68">
        <v>9.89</v>
      </c>
      <c r="L631" s="69"/>
    </row>
    <row r="632" spans="1:75" ht="13.5" customHeight="1">
      <c r="A632" s="1" t="s">
        <v>1227</v>
      </c>
      <c r="B632" s="2" t="s">
        <v>116</v>
      </c>
      <c r="C632" s="2" t="s">
        <v>1228</v>
      </c>
      <c r="D632" s="147" t="s">
        <v>1229</v>
      </c>
      <c r="E632" s="148"/>
      <c r="F632" s="2" t="s">
        <v>729</v>
      </c>
      <c r="G632" s="55">
        <f>'Stavební rozpočet-vyplnit'!G632</f>
        <v>413.4</v>
      </c>
      <c r="H632" s="55">
        <f>'Stavební rozpočet-vyplnit'!H632</f>
        <v>0</v>
      </c>
      <c r="I632" s="55">
        <f>G632*H632</f>
        <v>0</v>
      </c>
      <c r="J632" s="55">
        <f>'Stavební rozpočet-vyplnit'!J632</f>
        <v>0.00022</v>
      </c>
      <c r="K632" s="55">
        <f>G632*J632</f>
        <v>0.090948</v>
      </c>
      <c r="L632" s="57" t="s">
        <v>785</v>
      </c>
      <c r="Z632" s="55">
        <f>IF(AQ632="5",BJ632,0)</f>
        <v>0</v>
      </c>
      <c r="AB632" s="55">
        <f>IF(AQ632="1",BH632,0)</f>
        <v>0</v>
      </c>
      <c r="AC632" s="55">
        <f>IF(AQ632="1",BI632,0)</f>
        <v>0</v>
      </c>
      <c r="AD632" s="55">
        <f>IF(AQ632="7",BH632,0)</f>
        <v>0</v>
      </c>
      <c r="AE632" s="55">
        <f>IF(AQ632="7",BI632,0)</f>
        <v>0</v>
      </c>
      <c r="AF632" s="55">
        <f>IF(AQ632="2",BH632,0)</f>
        <v>0</v>
      </c>
      <c r="AG632" s="55">
        <f>IF(AQ632="2",BI632,0)</f>
        <v>0</v>
      </c>
      <c r="AH632" s="55">
        <f>IF(AQ632="0",BJ632,0)</f>
        <v>0</v>
      </c>
      <c r="AI632" s="34" t="s">
        <v>116</v>
      </c>
      <c r="AJ632" s="55">
        <f>IF(AN632=0,I632,0)</f>
        <v>0</v>
      </c>
      <c r="AK632" s="55">
        <f>IF(AN632=12,I632,0)</f>
        <v>0</v>
      </c>
      <c r="AL632" s="55">
        <f>IF(AN632=21,I632,0)</f>
        <v>0</v>
      </c>
      <c r="AN632" s="55">
        <v>21</v>
      </c>
      <c r="AO632" s="55">
        <f>H632*0.522776471</f>
        <v>0</v>
      </c>
      <c r="AP632" s="55">
        <f>H632*(1-0.522776471)</f>
        <v>0</v>
      </c>
      <c r="AQ632" s="58" t="s">
        <v>125</v>
      </c>
      <c r="AV632" s="55">
        <f>AW632+AX632</f>
        <v>0</v>
      </c>
      <c r="AW632" s="55">
        <f>G632*AO632</f>
        <v>0</v>
      </c>
      <c r="AX632" s="55">
        <f>G632*AP632</f>
        <v>0</v>
      </c>
      <c r="AY632" s="58" t="s">
        <v>1096</v>
      </c>
      <c r="AZ632" s="58" t="s">
        <v>1068</v>
      </c>
      <c r="BA632" s="34" t="s">
        <v>128</v>
      </c>
      <c r="BB632" s="67">
        <v>100005</v>
      </c>
      <c r="BC632" s="55">
        <f>AW632+AX632</f>
        <v>0</v>
      </c>
      <c r="BD632" s="55">
        <f>H632/(100-BE632)*100</f>
        <v>0</v>
      </c>
      <c r="BE632" s="55">
        <v>0</v>
      </c>
      <c r="BF632" s="55">
        <f>K632</f>
        <v>0.090948</v>
      </c>
      <c r="BH632" s="55">
        <f>G632*AO632</f>
        <v>0</v>
      </c>
      <c r="BI632" s="55">
        <f>G632*AP632</f>
        <v>0</v>
      </c>
      <c r="BJ632" s="55">
        <f>G632*H632</f>
        <v>0</v>
      </c>
      <c r="BK632" s="55"/>
      <c r="BL632" s="55">
        <v>713</v>
      </c>
      <c r="BW632" s="55">
        <v>21</v>
      </c>
    </row>
    <row r="633" spans="1:12" ht="13.5" customHeight="1">
      <c r="A633" s="59"/>
      <c r="D633" s="218" t="s">
        <v>1203</v>
      </c>
      <c r="E633" s="219"/>
      <c r="F633" s="219"/>
      <c r="G633" s="219"/>
      <c r="H633" s="219"/>
      <c r="I633" s="219"/>
      <c r="J633" s="219"/>
      <c r="K633" s="219"/>
      <c r="L633" s="221"/>
    </row>
    <row r="634" spans="1:12" ht="14.4">
      <c r="A634" s="59"/>
      <c r="D634" s="60" t="s">
        <v>1230</v>
      </c>
      <c r="E634" s="60" t="s">
        <v>1231</v>
      </c>
      <c r="G634" s="68">
        <v>413.4</v>
      </c>
      <c r="L634" s="69"/>
    </row>
    <row r="635" spans="1:75" ht="13.5" customHeight="1">
      <c r="A635" s="1" t="s">
        <v>1232</v>
      </c>
      <c r="B635" s="2" t="s">
        <v>116</v>
      </c>
      <c r="C635" s="2" t="s">
        <v>1233</v>
      </c>
      <c r="D635" s="147" t="s">
        <v>1234</v>
      </c>
      <c r="E635" s="148"/>
      <c r="F635" s="2" t="s">
        <v>729</v>
      </c>
      <c r="G635" s="55">
        <f>'Stavební rozpočet-vyplnit'!G635</f>
        <v>118.83</v>
      </c>
      <c r="H635" s="55">
        <f>'Stavební rozpočet-vyplnit'!H635</f>
        <v>0</v>
      </c>
      <c r="I635" s="55">
        <f>G635*H635</f>
        <v>0</v>
      </c>
      <c r="J635" s="55">
        <f>'Stavební rozpočet-vyplnit'!J635</f>
        <v>0.00076</v>
      </c>
      <c r="K635" s="55">
        <f>G635*J635</f>
        <v>0.09031080000000001</v>
      </c>
      <c r="L635" s="57" t="s">
        <v>785</v>
      </c>
      <c r="Z635" s="55">
        <f>IF(AQ635="5",BJ635,0)</f>
        <v>0</v>
      </c>
      <c r="AB635" s="55">
        <f>IF(AQ635="1",BH635,0)</f>
        <v>0</v>
      </c>
      <c r="AC635" s="55">
        <f>IF(AQ635="1",BI635,0)</f>
        <v>0</v>
      </c>
      <c r="AD635" s="55">
        <f>IF(AQ635="7",BH635,0)</f>
        <v>0</v>
      </c>
      <c r="AE635" s="55">
        <f>IF(AQ635="7",BI635,0)</f>
        <v>0</v>
      </c>
      <c r="AF635" s="55">
        <f>IF(AQ635="2",BH635,0)</f>
        <v>0</v>
      </c>
      <c r="AG635" s="55">
        <f>IF(AQ635="2",BI635,0)</f>
        <v>0</v>
      </c>
      <c r="AH635" s="55">
        <f>IF(AQ635="0",BJ635,0)</f>
        <v>0</v>
      </c>
      <c r="AI635" s="34" t="s">
        <v>116</v>
      </c>
      <c r="AJ635" s="55">
        <f>IF(AN635=0,I635,0)</f>
        <v>0</v>
      </c>
      <c r="AK635" s="55">
        <f>IF(AN635=12,I635,0)</f>
        <v>0</v>
      </c>
      <c r="AL635" s="55">
        <f>IF(AN635=21,I635,0)</f>
        <v>0</v>
      </c>
      <c r="AN635" s="55">
        <v>21</v>
      </c>
      <c r="AO635" s="55">
        <f>H635*0.358927206</f>
        <v>0</v>
      </c>
      <c r="AP635" s="55">
        <f>H635*(1-0.358927206)</f>
        <v>0</v>
      </c>
      <c r="AQ635" s="58" t="s">
        <v>125</v>
      </c>
      <c r="AV635" s="55">
        <f>AW635+AX635</f>
        <v>0</v>
      </c>
      <c r="AW635" s="55">
        <f>G635*AO635</f>
        <v>0</v>
      </c>
      <c r="AX635" s="55">
        <f>G635*AP635</f>
        <v>0</v>
      </c>
      <c r="AY635" s="58" t="s">
        <v>1096</v>
      </c>
      <c r="AZ635" s="58" t="s">
        <v>1068</v>
      </c>
      <c r="BA635" s="34" t="s">
        <v>128</v>
      </c>
      <c r="BB635" s="67">
        <v>100005</v>
      </c>
      <c r="BC635" s="55">
        <f>AW635+AX635</f>
        <v>0</v>
      </c>
      <c r="BD635" s="55">
        <f>H635/(100-BE635)*100</f>
        <v>0</v>
      </c>
      <c r="BE635" s="55">
        <v>0</v>
      </c>
      <c r="BF635" s="55">
        <f>K635</f>
        <v>0.09031080000000001</v>
      </c>
      <c r="BH635" s="55">
        <f>G635*AO635</f>
        <v>0</v>
      </c>
      <c r="BI635" s="55">
        <f>G635*AP635</f>
        <v>0</v>
      </c>
      <c r="BJ635" s="55">
        <f>G635*H635</f>
        <v>0</v>
      </c>
      <c r="BK635" s="55"/>
      <c r="BL635" s="55">
        <v>713</v>
      </c>
      <c r="BW635" s="55">
        <v>21</v>
      </c>
    </row>
    <row r="636" spans="1:12" ht="13.5" customHeight="1">
      <c r="A636" s="59"/>
      <c r="D636" s="218" t="s">
        <v>1235</v>
      </c>
      <c r="E636" s="219"/>
      <c r="F636" s="219"/>
      <c r="G636" s="219"/>
      <c r="H636" s="219"/>
      <c r="I636" s="219"/>
      <c r="J636" s="219"/>
      <c r="K636" s="219"/>
      <c r="L636" s="221"/>
    </row>
    <row r="637" spans="1:12" ht="14.4">
      <c r="A637" s="59"/>
      <c r="D637" s="60" t="s">
        <v>1236</v>
      </c>
      <c r="E637" s="60" t="s">
        <v>1237</v>
      </c>
      <c r="G637" s="68">
        <v>45.25</v>
      </c>
      <c r="L637" s="69"/>
    </row>
    <row r="638" spans="1:12" ht="14.4">
      <c r="A638" s="59"/>
      <c r="D638" s="60" t="s">
        <v>1238</v>
      </c>
      <c r="E638" s="60" t="s">
        <v>1239</v>
      </c>
      <c r="G638" s="68">
        <v>29.69</v>
      </c>
      <c r="L638" s="69"/>
    </row>
    <row r="639" spans="1:12" ht="14.4">
      <c r="A639" s="59"/>
      <c r="D639" s="60" t="s">
        <v>1240</v>
      </c>
      <c r="E639" s="60" t="s">
        <v>1241</v>
      </c>
      <c r="G639" s="68">
        <v>18.72</v>
      </c>
      <c r="L639" s="69"/>
    </row>
    <row r="640" spans="1:12" ht="14.4">
      <c r="A640" s="59"/>
      <c r="D640" s="60" t="s">
        <v>1242</v>
      </c>
      <c r="E640" s="60" t="s">
        <v>1243</v>
      </c>
      <c r="G640" s="68">
        <v>25.17</v>
      </c>
      <c r="L640" s="69"/>
    </row>
    <row r="641" spans="1:75" ht="13.5" customHeight="1">
      <c r="A641" s="1" t="s">
        <v>1244</v>
      </c>
      <c r="B641" s="2" t="s">
        <v>116</v>
      </c>
      <c r="C641" s="2" t="s">
        <v>1245</v>
      </c>
      <c r="D641" s="147" t="s">
        <v>1246</v>
      </c>
      <c r="E641" s="148"/>
      <c r="F641" s="2" t="s">
        <v>174</v>
      </c>
      <c r="G641" s="55">
        <f>'Stavební rozpočet-vyplnit'!G641</f>
        <v>305.6</v>
      </c>
      <c r="H641" s="55">
        <f>'Stavební rozpočet-vyplnit'!H641</f>
        <v>0</v>
      </c>
      <c r="I641" s="55">
        <f>G641*H641</f>
        <v>0</v>
      </c>
      <c r="J641" s="55">
        <f>'Stavební rozpočet-vyplnit'!J641</f>
        <v>0</v>
      </c>
      <c r="K641" s="55">
        <f>G641*J641</f>
        <v>0</v>
      </c>
      <c r="L641" s="57" t="s">
        <v>785</v>
      </c>
      <c r="Z641" s="55">
        <f>IF(AQ641="5",BJ641,0)</f>
        <v>0</v>
      </c>
      <c r="AB641" s="55">
        <f>IF(AQ641="1",BH641,0)</f>
        <v>0</v>
      </c>
      <c r="AC641" s="55">
        <f>IF(AQ641="1",BI641,0)</f>
        <v>0</v>
      </c>
      <c r="AD641" s="55">
        <f>IF(AQ641="7",BH641,0)</f>
        <v>0</v>
      </c>
      <c r="AE641" s="55">
        <f>IF(AQ641="7",BI641,0)</f>
        <v>0</v>
      </c>
      <c r="AF641" s="55">
        <f>IF(AQ641="2",BH641,0)</f>
        <v>0</v>
      </c>
      <c r="AG641" s="55">
        <f>IF(AQ641="2",BI641,0)</f>
        <v>0</v>
      </c>
      <c r="AH641" s="55">
        <f>IF(AQ641="0",BJ641,0)</f>
        <v>0</v>
      </c>
      <c r="AI641" s="34" t="s">
        <v>116</v>
      </c>
      <c r="AJ641" s="55">
        <f>IF(AN641=0,I641,0)</f>
        <v>0</v>
      </c>
      <c r="AK641" s="55">
        <f>IF(AN641=12,I641,0)</f>
        <v>0</v>
      </c>
      <c r="AL641" s="55">
        <f>IF(AN641=21,I641,0)</f>
        <v>0</v>
      </c>
      <c r="AN641" s="55">
        <v>21</v>
      </c>
      <c r="AO641" s="55">
        <f>H641*0</f>
        <v>0</v>
      </c>
      <c r="AP641" s="55">
        <f>H641*(1-0)</f>
        <v>0</v>
      </c>
      <c r="AQ641" s="58" t="s">
        <v>125</v>
      </c>
      <c r="AV641" s="55">
        <f>AW641+AX641</f>
        <v>0</v>
      </c>
      <c r="AW641" s="55">
        <f>G641*AO641</f>
        <v>0</v>
      </c>
      <c r="AX641" s="55">
        <f>G641*AP641</f>
        <v>0</v>
      </c>
      <c r="AY641" s="58" t="s">
        <v>1096</v>
      </c>
      <c r="AZ641" s="58" t="s">
        <v>1068</v>
      </c>
      <c r="BA641" s="34" t="s">
        <v>128</v>
      </c>
      <c r="BB641" s="67">
        <v>100005</v>
      </c>
      <c r="BC641" s="55">
        <f>AW641+AX641</f>
        <v>0</v>
      </c>
      <c r="BD641" s="55">
        <f>H641/(100-BE641)*100</f>
        <v>0</v>
      </c>
      <c r="BE641" s="55">
        <v>0</v>
      </c>
      <c r="BF641" s="55">
        <f>K641</f>
        <v>0</v>
      </c>
      <c r="BH641" s="55">
        <f>G641*AO641</f>
        <v>0</v>
      </c>
      <c r="BI641" s="55">
        <f>G641*AP641</f>
        <v>0</v>
      </c>
      <c r="BJ641" s="55">
        <f>G641*H641</f>
        <v>0</v>
      </c>
      <c r="BK641" s="55"/>
      <c r="BL641" s="55">
        <v>713</v>
      </c>
      <c r="BW641" s="55">
        <v>21</v>
      </c>
    </row>
    <row r="642" spans="1:12" ht="13.5" customHeight="1">
      <c r="A642" s="59"/>
      <c r="D642" s="218" t="s">
        <v>1102</v>
      </c>
      <c r="E642" s="219"/>
      <c r="F642" s="219"/>
      <c r="G642" s="219"/>
      <c r="H642" s="219"/>
      <c r="I642" s="219"/>
      <c r="J642" s="219"/>
      <c r="K642" s="219"/>
      <c r="L642" s="221"/>
    </row>
    <row r="643" spans="1:12" ht="14.4">
      <c r="A643" s="59"/>
      <c r="D643" s="60" t="s">
        <v>1247</v>
      </c>
      <c r="E643" s="60" t="s">
        <v>4</v>
      </c>
      <c r="G643" s="68">
        <v>305.6</v>
      </c>
      <c r="L643" s="69"/>
    </row>
    <row r="644" spans="1:75" ht="13.5" customHeight="1">
      <c r="A644" s="61" t="s">
        <v>1248</v>
      </c>
      <c r="B644" s="62" t="s">
        <v>116</v>
      </c>
      <c r="C644" s="62" t="s">
        <v>1249</v>
      </c>
      <c r="D644" s="224" t="s">
        <v>1250</v>
      </c>
      <c r="E644" s="225"/>
      <c r="F644" s="62" t="s">
        <v>174</v>
      </c>
      <c r="G644" s="63">
        <f>'Stavební rozpočet-vyplnit'!G644</f>
        <v>314.77</v>
      </c>
      <c r="H644" s="63">
        <f>'Stavební rozpočet-vyplnit'!H644</f>
        <v>0</v>
      </c>
      <c r="I644" s="63">
        <f>G644*H644</f>
        <v>0</v>
      </c>
      <c r="J644" s="63">
        <f>'Stavební rozpočet-vyplnit'!J644</f>
        <v>0</v>
      </c>
      <c r="K644" s="63">
        <f>G644*J644</f>
        <v>0</v>
      </c>
      <c r="L644" s="65" t="s">
        <v>124</v>
      </c>
      <c r="Z644" s="55">
        <f>IF(AQ644="5",BJ644,0)</f>
        <v>0</v>
      </c>
      <c r="AB644" s="55">
        <f>IF(AQ644="1",BH644,0)</f>
        <v>0</v>
      </c>
      <c r="AC644" s="55">
        <f>IF(AQ644="1",BI644,0)</f>
        <v>0</v>
      </c>
      <c r="AD644" s="55">
        <f>IF(AQ644="7",BH644,0)</f>
        <v>0</v>
      </c>
      <c r="AE644" s="55">
        <f>IF(AQ644="7",BI644,0)</f>
        <v>0</v>
      </c>
      <c r="AF644" s="55">
        <f>IF(AQ644="2",BH644,0)</f>
        <v>0</v>
      </c>
      <c r="AG644" s="55">
        <f>IF(AQ644="2",BI644,0)</f>
        <v>0</v>
      </c>
      <c r="AH644" s="55">
        <f>IF(AQ644="0",BJ644,0)</f>
        <v>0</v>
      </c>
      <c r="AI644" s="34" t="s">
        <v>116</v>
      </c>
      <c r="AJ644" s="63">
        <f>IF(AN644=0,I644,0)</f>
        <v>0</v>
      </c>
      <c r="AK644" s="63">
        <f>IF(AN644=12,I644,0)</f>
        <v>0</v>
      </c>
      <c r="AL644" s="63">
        <f>IF(AN644=21,I644,0)</f>
        <v>0</v>
      </c>
      <c r="AN644" s="55">
        <v>21</v>
      </c>
      <c r="AO644" s="55">
        <f>H644*1</f>
        <v>0</v>
      </c>
      <c r="AP644" s="55">
        <f>H644*(1-1)</f>
        <v>0</v>
      </c>
      <c r="AQ644" s="66" t="s">
        <v>125</v>
      </c>
      <c r="AV644" s="55">
        <f>AW644+AX644</f>
        <v>0</v>
      </c>
      <c r="AW644" s="55">
        <f>G644*AO644</f>
        <v>0</v>
      </c>
      <c r="AX644" s="55">
        <f>G644*AP644</f>
        <v>0</v>
      </c>
      <c r="AY644" s="58" t="s">
        <v>1096</v>
      </c>
      <c r="AZ644" s="58" t="s">
        <v>1068</v>
      </c>
      <c r="BA644" s="34" t="s">
        <v>128</v>
      </c>
      <c r="BC644" s="55">
        <f>AW644+AX644</f>
        <v>0</v>
      </c>
      <c r="BD644" s="55">
        <f>H644/(100-BE644)*100</f>
        <v>0</v>
      </c>
      <c r="BE644" s="55">
        <v>0</v>
      </c>
      <c r="BF644" s="55">
        <f>K644</f>
        <v>0</v>
      </c>
      <c r="BH644" s="63">
        <f>G644*AO644</f>
        <v>0</v>
      </c>
      <c r="BI644" s="63">
        <f>G644*AP644</f>
        <v>0</v>
      </c>
      <c r="BJ644" s="63">
        <f>G644*H644</f>
        <v>0</v>
      </c>
      <c r="BK644" s="63"/>
      <c r="BL644" s="55">
        <v>713</v>
      </c>
      <c r="BW644" s="55">
        <v>21</v>
      </c>
    </row>
    <row r="645" spans="1:12" ht="14.4">
      <c r="A645" s="59"/>
      <c r="D645" s="60" t="s">
        <v>1251</v>
      </c>
      <c r="E645" s="60" t="s">
        <v>4</v>
      </c>
      <c r="G645" s="68">
        <v>305.6</v>
      </c>
      <c r="L645" s="69"/>
    </row>
    <row r="646" spans="1:12" ht="14.4">
      <c r="A646" s="59"/>
      <c r="D646" s="60" t="s">
        <v>1252</v>
      </c>
      <c r="E646" s="60" t="s">
        <v>4</v>
      </c>
      <c r="G646" s="68">
        <v>9.17</v>
      </c>
      <c r="L646" s="69"/>
    </row>
    <row r="647" spans="1:75" ht="13.5" customHeight="1">
      <c r="A647" s="1" t="s">
        <v>1253</v>
      </c>
      <c r="B647" s="2" t="s">
        <v>116</v>
      </c>
      <c r="C647" s="2" t="s">
        <v>1254</v>
      </c>
      <c r="D647" s="147" t="s">
        <v>1255</v>
      </c>
      <c r="E647" s="148"/>
      <c r="F647" s="2" t="s">
        <v>729</v>
      </c>
      <c r="G647" s="55">
        <f>'Stavební rozpočet-vyplnit'!G647</f>
        <v>7.5</v>
      </c>
      <c r="H647" s="55">
        <f>'Stavební rozpočet-vyplnit'!H647</f>
        <v>0</v>
      </c>
      <c r="I647" s="55">
        <f>G647*H647</f>
        <v>0</v>
      </c>
      <c r="J647" s="55">
        <f>'Stavební rozpočet-vyplnit'!J647</f>
        <v>1E-05</v>
      </c>
      <c r="K647" s="55">
        <f>G647*J647</f>
        <v>7.500000000000001E-05</v>
      </c>
      <c r="L647" s="57" t="s">
        <v>785</v>
      </c>
      <c r="Z647" s="55">
        <f>IF(AQ647="5",BJ647,0)</f>
        <v>0</v>
      </c>
      <c r="AB647" s="55">
        <f>IF(AQ647="1",BH647,0)</f>
        <v>0</v>
      </c>
      <c r="AC647" s="55">
        <f>IF(AQ647="1",BI647,0)</f>
        <v>0</v>
      </c>
      <c r="AD647" s="55">
        <f>IF(AQ647="7",BH647,0)</f>
        <v>0</v>
      </c>
      <c r="AE647" s="55">
        <f>IF(AQ647="7",BI647,0)</f>
        <v>0</v>
      </c>
      <c r="AF647" s="55">
        <f>IF(AQ647="2",BH647,0)</f>
        <v>0</v>
      </c>
      <c r="AG647" s="55">
        <f>IF(AQ647="2",BI647,0)</f>
        <v>0</v>
      </c>
      <c r="AH647" s="55">
        <f>IF(AQ647="0",BJ647,0)</f>
        <v>0</v>
      </c>
      <c r="AI647" s="34" t="s">
        <v>116</v>
      </c>
      <c r="AJ647" s="55">
        <f>IF(AN647=0,I647,0)</f>
        <v>0</v>
      </c>
      <c r="AK647" s="55">
        <f>IF(AN647=12,I647,0)</f>
        <v>0</v>
      </c>
      <c r="AL647" s="55">
        <f>IF(AN647=21,I647,0)</f>
        <v>0</v>
      </c>
      <c r="AN647" s="55">
        <v>21</v>
      </c>
      <c r="AO647" s="55">
        <f>H647*0.211548696</f>
        <v>0</v>
      </c>
      <c r="AP647" s="55">
        <f>H647*(1-0.211548696)</f>
        <v>0</v>
      </c>
      <c r="AQ647" s="58" t="s">
        <v>125</v>
      </c>
      <c r="AV647" s="55">
        <f>AW647+AX647</f>
        <v>0</v>
      </c>
      <c r="AW647" s="55">
        <f>G647*AO647</f>
        <v>0</v>
      </c>
      <c r="AX647" s="55">
        <f>G647*AP647</f>
        <v>0</v>
      </c>
      <c r="AY647" s="58" t="s">
        <v>1096</v>
      </c>
      <c r="AZ647" s="58" t="s">
        <v>1068</v>
      </c>
      <c r="BA647" s="34" t="s">
        <v>128</v>
      </c>
      <c r="BB647" s="67">
        <v>100005</v>
      </c>
      <c r="BC647" s="55">
        <f>AW647+AX647</f>
        <v>0</v>
      </c>
      <c r="BD647" s="55">
        <f>H647/(100-BE647)*100</f>
        <v>0</v>
      </c>
      <c r="BE647" s="55">
        <v>0</v>
      </c>
      <c r="BF647" s="55">
        <f>K647</f>
        <v>7.500000000000001E-05</v>
      </c>
      <c r="BH647" s="55">
        <f>G647*AO647</f>
        <v>0</v>
      </c>
      <c r="BI647" s="55">
        <f>G647*AP647</f>
        <v>0</v>
      </c>
      <c r="BJ647" s="55">
        <f>G647*H647</f>
        <v>0</v>
      </c>
      <c r="BK647" s="55"/>
      <c r="BL647" s="55">
        <v>713</v>
      </c>
      <c r="BW647" s="55">
        <v>21</v>
      </c>
    </row>
    <row r="648" spans="1:12" ht="13.5" customHeight="1">
      <c r="A648" s="59"/>
      <c r="D648" s="218" t="s">
        <v>1256</v>
      </c>
      <c r="E648" s="219"/>
      <c r="F648" s="219"/>
      <c r="G648" s="219"/>
      <c r="H648" s="219"/>
      <c r="I648" s="219"/>
      <c r="J648" s="219"/>
      <c r="K648" s="219"/>
      <c r="L648" s="221"/>
    </row>
    <row r="649" spans="1:12" ht="14.4">
      <c r="A649" s="59"/>
      <c r="D649" s="60" t="s">
        <v>1257</v>
      </c>
      <c r="E649" s="60" t="s">
        <v>4</v>
      </c>
      <c r="G649" s="68">
        <v>7.5</v>
      </c>
      <c r="L649" s="69"/>
    </row>
    <row r="650" spans="1:75" ht="13.5" customHeight="1">
      <c r="A650" s="1" t="s">
        <v>1258</v>
      </c>
      <c r="B650" s="2" t="s">
        <v>116</v>
      </c>
      <c r="C650" s="2" t="s">
        <v>1259</v>
      </c>
      <c r="D650" s="147" t="s">
        <v>1260</v>
      </c>
      <c r="E650" s="148"/>
      <c r="F650" s="2" t="s">
        <v>729</v>
      </c>
      <c r="G650" s="55">
        <f>'Stavební rozpočet-vyplnit'!G650</f>
        <v>61.1</v>
      </c>
      <c r="H650" s="55">
        <f>'Stavební rozpočet-vyplnit'!H650</f>
        <v>0</v>
      </c>
      <c r="I650" s="55">
        <f>G650*H650</f>
        <v>0</v>
      </c>
      <c r="J650" s="55">
        <f>'Stavební rozpočet-vyplnit'!J650</f>
        <v>0.0002</v>
      </c>
      <c r="K650" s="55">
        <f>G650*J650</f>
        <v>0.012220000000000002</v>
      </c>
      <c r="L650" s="57" t="s">
        <v>785</v>
      </c>
      <c r="Z650" s="55">
        <f>IF(AQ650="5",BJ650,0)</f>
        <v>0</v>
      </c>
      <c r="AB650" s="55">
        <f>IF(AQ650="1",BH650,0)</f>
        <v>0</v>
      </c>
      <c r="AC650" s="55">
        <f>IF(AQ650="1",BI650,0)</f>
        <v>0</v>
      </c>
      <c r="AD650" s="55">
        <f>IF(AQ650="7",BH650,0)</f>
        <v>0</v>
      </c>
      <c r="AE650" s="55">
        <f>IF(AQ650="7",BI650,0)</f>
        <v>0</v>
      </c>
      <c r="AF650" s="55">
        <f>IF(AQ650="2",BH650,0)</f>
        <v>0</v>
      </c>
      <c r="AG650" s="55">
        <f>IF(AQ650="2",BI650,0)</f>
        <v>0</v>
      </c>
      <c r="AH650" s="55">
        <f>IF(AQ650="0",BJ650,0)</f>
        <v>0</v>
      </c>
      <c r="AI650" s="34" t="s">
        <v>116</v>
      </c>
      <c r="AJ650" s="55">
        <f>IF(AN650=0,I650,0)</f>
        <v>0</v>
      </c>
      <c r="AK650" s="55">
        <f>IF(AN650=12,I650,0)</f>
        <v>0</v>
      </c>
      <c r="AL650" s="55">
        <f>IF(AN650=21,I650,0)</f>
        <v>0</v>
      </c>
      <c r="AN650" s="55">
        <v>21</v>
      </c>
      <c r="AO650" s="55">
        <f>H650*0.650296569</f>
        <v>0</v>
      </c>
      <c r="AP650" s="55">
        <f>H650*(1-0.650296569)</f>
        <v>0</v>
      </c>
      <c r="AQ650" s="58" t="s">
        <v>125</v>
      </c>
      <c r="AV650" s="55">
        <f>AW650+AX650</f>
        <v>0</v>
      </c>
      <c r="AW650" s="55">
        <f>G650*AO650</f>
        <v>0</v>
      </c>
      <c r="AX650" s="55">
        <f>G650*AP650</f>
        <v>0</v>
      </c>
      <c r="AY650" s="58" t="s">
        <v>1096</v>
      </c>
      <c r="AZ650" s="58" t="s">
        <v>1068</v>
      </c>
      <c r="BA650" s="34" t="s">
        <v>128</v>
      </c>
      <c r="BB650" s="67">
        <v>100005</v>
      </c>
      <c r="BC650" s="55">
        <f>AW650+AX650</f>
        <v>0</v>
      </c>
      <c r="BD650" s="55">
        <f>H650/(100-BE650)*100</f>
        <v>0</v>
      </c>
      <c r="BE650" s="55">
        <v>0</v>
      </c>
      <c r="BF650" s="55">
        <f>K650</f>
        <v>0.012220000000000002</v>
      </c>
      <c r="BH650" s="55">
        <f>G650*AO650</f>
        <v>0</v>
      </c>
      <c r="BI650" s="55">
        <f>G650*AP650</f>
        <v>0</v>
      </c>
      <c r="BJ650" s="55">
        <f>G650*H650</f>
        <v>0</v>
      </c>
      <c r="BK650" s="55"/>
      <c r="BL650" s="55">
        <v>713</v>
      </c>
      <c r="BW650" s="55">
        <v>21</v>
      </c>
    </row>
    <row r="651" spans="1:12" ht="13.5" customHeight="1">
      <c r="A651" s="59"/>
      <c r="D651" s="218" t="s">
        <v>1261</v>
      </c>
      <c r="E651" s="219"/>
      <c r="F651" s="219"/>
      <c r="G651" s="219"/>
      <c r="H651" s="219"/>
      <c r="I651" s="219"/>
      <c r="J651" s="219"/>
      <c r="K651" s="219"/>
      <c r="L651" s="221"/>
    </row>
    <row r="652" spans="1:12" ht="14.4">
      <c r="A652" s="59"/>
      <c r="D652" s="60" t="s">
        <v>1262</v>
      </c>
      <c r="E652" s="60" t="s">
        <v>1208</v>
      </c>
      <c r="G652" s="68">
        <v>61.1</v>
      </c>
      <c r="L652" s="69"/>
    </row>
    <row r="653" spans="1:75" ht="27" customHeight="1">
      <c r="A653" s="1" t="s">
        <v>1263</v>
      </c>
      <c r="B653" s="2" t="s">
        <v>116</v>
      </c>
      <c r="C653" s="2" t="s">
        <v>1264</v>
      </c>
      <c r="D653" s="147" t="s">
        <v>1265</v>
      </c>
      <c r="E653" s="148"/>
      <c r="F653" s="2" t="s">
        <v>174</v>
      </c>
      <c r="G653" s="55">
        <f>'Stavební rozpočet-vyplnit'!G653</f>
        <v>90</v>
      </c>
      <c r="H653" s="55">
        <f>'Stavební rozpočet-vyplnit'!H653</f>
        <v>0</v>
      </c>
      <c r="I653" s="55">
        <f>G653*H653</f>
        <v>0</v>
      </c>
      <c r="J653" s="55">
        <f>'Stavební rozpočet-vyplnit'!J653</f>
        <v>0</v>
      </c>
      <c r="K653" s="55">
        <f>G653*J653</f>
        <v>0</v>
      </c>
      <c r="L653" s="57" t="s">
        <v>124</v>
      </c>
      <c r="Z653" s="55">
        <f>IF(AQ653="5",BJ653,0)</f>
        <v>0</v>
      </c>
      <c r="AB653" s="55">
        <f>IF(AQ653="1",BH653,0)</f>
        <v>0</v>
      </c>
      <c r="AC653" s="55">
        <f>IF(AQ653="1",BI653,0)</f>
        <v>0</v>
      </c>
      <c r="AD653" s="55">
        <f>IF(AQ653="7",BH653,0)</f>
        <v>0</v>
      </c>
      <c r="AE653" s="55">
        <f>IF(AQ653="7",BI653,0)</f>
        <v>0</v>
      </c>
      <c r="AF653" s="55">
        <f>IF(AQ653="2",BH653,0)</f>
        <v>0</v>
      </c>
      <c r="AG653" s="55">
        <f>IF(AQ653="2",BI653,0)</f>
        <v>0</v>
      </c>
      <c r="AH653" s="55">
        <f>IF(AQ653="0",BJ653,0)</f>
        <v>0</v>
      </c>
      <c r="AI653" s="34" t="s">
        <v>116</v>
      </c>
      <c r="AJ653" s="55">
        <f>IF(AN653=0,I653,0)</f>
        <v>0</v>
      </c>
      <c r="AK653" s="55">
        <f>IF(AN653=12,I653,0)</f>
        <v>0</v>
      </c>
      <c r="AL653" s="55">
        <f>IF(AN653=21,I653,0)</f>
        <v>0</v>
      </c>
      <c r="AN653" s="55">
        <v>21</v>
      </c>
      <c r="AO653" s="55">
        <f>H653*0</f>
        <v>0</v>
      </c>
      <c r="AP653" s="55">
        <f>H653*(1-0)</f>
        <v>0</v>
      </c>
      <c r="AQ653" s="58" t="s">
        <v>125</v>
      </c>
      <c r="AV653" s="55">
        <f>AW653+AX653</f>
        <v>0</v>
      </c>
      <c r="AW653" s="55">
        <f>G653*AO653</f>
        <v>0</v>
      </c>
      <c r="AX653" s="55">
        <f>G653*AP653</f>
        <v>0</v>
      </c>
      <c r="AY653" s="58" t="s">
        <v>1096</v>
      </c>
      <c r="AZ653" s="58" t="s">
        <v>1068</v>
      </c>
      <c r="BA653" s="34" t="s">
        <v>128</v>
      </c>
      <c r="BC653" s="55">
        <f>AW653+AX653</f>
        <v>0</v>
      </c>
      <c r="BD653" s="55">
        <f>H653/(100-BE653)*100</f>
        <v>0</v>
      </c>
      <c r="BE653" s="55">
        <v>0</v>
      </c>
      <c r="BF653" s="55">
        <f>K653</f>
        <v>0</v>
      </c>
      <c r="BH653" s="55">
        <f>G653*AO653</f>
        <v>0</v>
      </c>
      <c r="BI653" s="55">
        <f>G653*AP653</f>
        <v>0</v>
      </c>
      <c r="BJ653" s="55">
        <f>G653*H653</f>
        <v>0</v>
      </c>
      <c r="BK653" s="55"/>
      <c r="BL653" s="55">
        <v>713</v>
      </c>
      <c r="BW653" s="55">
        <v>21</v>
      </c>
    </row>
    <row r="654" spans="1:12" ht="13.5" customHeight="1">
      <c r="A654" s="59"/>
      <c r="D654" s="218" t="s">
        <v>1266</v>
      </c>
      <c r="E654" s="219"/>
      <c r="F654" s="219"/>
      <c r="G654" s="219"/>
      <c r="H654" s="219"/>
      <c r="I654" s="219"/>
      <c r="J654" s="219"/>
      <c r="K654" s="219"/>
      <c r="L654" s="221"/>
    </row>
    <row r="655" spans="1:75" ht="13.5" customHeight="1">
      <c r="A655" s="61" t="s">
        <v>1267</v>
      </c>
      <c r="B655" s="62" t="s">
        <v>116</v>
      </c>
      <c r="C655" s="62" t="s">
        <v>1268</v>
      </c>
      <c r="D655" s="224" t="s">
        <v>1269</v>
      </c>
      <c r="E655" s="225"/>
      <c r="F655" s="62" t="s">
        <v>174</v>
      </c>
      <c r="G655" s="63">
        <f>'Stavební rozpočet-vyplnit'!G655</f>
        <v>35</v>
      </c>
      <c r="H655" s="63">
        <f>'Stavební rozpočet-vyplnit'!H655</f>
        <v>0</v>
      </c>
      <c r="I655" s="63">
        <f>G655*H655</f>
        <v>0</v>
      </c>
      <c r="J655" s="63">
        <f>'Stavební rozpočet-vyplnit'!J655</f>
        <v>0</v>
      </c>
      <c r="K655" s="63">
        <f>G655*J655</f>
        <v>0</v>
      </c>
      <c r="L655" s="65" t="s">
        <v>124</v>
      </c>
      <c r="Z655" s="55">
        <f>IF(AQ655="5",BJ655,0)</f>
        <v>0</v>
      </c>
      <c r="AB655" s="55">
        <f>IF(AQ655="1",BH655,0)</f>
        <v>0</v>
      </c>
      <c r="AC655" s="55">
        <f>IF(AQ655="1",BI655,0)</f>
        <v>0</v>
      </c>
      <c r="AD655" s="55">
        <f>IF(AQ655="7",BH655,0)</f>
        <v>0</v>
      </c>
      <c r="AE655" s="55">
        <f>IF(AQ655="7",BI655,0)</f>
        <v>0</v>
      </c>
      <c r="AF655" s="55">
        <f>IF(AQ655="2",BH655,0)</f>
        <v>0</v>
      </c>
      <c r="AG655" s="55">
        <f>IF(AQ655="2",BI655,0)</f>
        <v>0</v>
      </c>
      <c r="AH655" s="55">
        <f>IF(AQ655="0",BJ655,0)</f>
        <v>0</v>
      </c>
      <c r="AI655" s="34" t="s">
        <v>116</v>
      </c>
      <c r="AJ655" s="63">
        <f>IF(AN655=0,I655,0)</f>
        <v>0</v>
      </c>
      <c r="AK655" s="63">
        <f>IF(AN655=12,I655,0)</f>
        <v>0</v>
      </c>
      <c r="AL655" s="63">
        <f>IF(AN655=21,I655,0)</f>
        <v>0</v>
      </c>
      <c r="AN655" s="55">
        <v>21</v>
      </c>
      <c r="AO655" s="55">
        <f>H655*1</f>
        <v>0</v>
      </c>
      <c r="AP655" s="55">
        <f>H655*(1-1)</f>
        <v>0</v>
      </c>
      <c r="AQ655" s="66" t="s">
        <v>125</v>
      </c>
      <c r="AV655" s="55">
        <f>AW655+AX655</f>
        <v>0</v>
      </c>
      <c r="AW655" s="55">
        <f>G655*AO655</f>
        <v>0</v>
      </c>
      <c r="AX655" s="55">
        <f>G655*AP655</f>
        <v>0</v>
      </c>
      <c r="AY655" s="58" t="s">
        <v>1096</v>
      </c>
      <c r="AZ655" s="58" t="s">
        <v>1068</v>
      </c>
      <c r="BA655" s="34" t="s">
        <v>128</v>
      </c>
      <c r="BC655" s="55">
        <f>AW655+AX655</f>
        <v>0</v>
      </c>
      <c r="BD655" s="55">
        <f>H655/(100-BE655)*100</f>
        <v>0</v>
      </c>
      <c r="BE655" s="55">
        <v>0</v>
      </c>
      <c r="BF655" s="55">
        <f>K655</f>
        <v>0</v>
      </c>
      <c r="BH655" s="63">
        <f>G655*AO655</f>
        <v>0</v>
      </c>
      <c r="BI655" s="63">
        <f>G655*AP655</f>
        <v>0</v>
      </c>
      <c r="BJ655" s="63">
        <f>G655*H655</f>
        <v>0</v>
      </c>
      <c r="BK655" s="63"/>
      <c r="BL655" s="55">
        <v>713</v>
      </c>
      <c r="BW655" s="55">
        <v>21</v>
      </c>
    </row>
    <row r="656" spans="1:75" ht="13.5" customHeight="1">
      <c r="A656" s="61" t="s">
        <v>1270</v>
      </c>
      <c r="B656" s="62" t="s">
        <v>116</v>
      </c>
      <c r="C656" s="62" t="s">
        <v>1271</v>
      </c>
      <c r="D656" s="224" t="s">
        <v>1272</v>
      </c>
      <c r="E656" s="225"/>
      <c r="F656" s="62" t="s">
        <v>174</v>
      </c>
      <c r="G656" s="63">
        <f>'Stavební rozpočet-vyplnit'!G656</f>
        <v>25</v>
      </c>
      <c r="H656" s="63">
        <f>'Stavební rozpočet-vyplnit'!H656</f>
        <v>0</v>
      </c>
      <c r="I656" s="63">
        <f>G656*H656</f>
        <v>0</v>
      </c>
      <c r="J656" s="63">
        <f>'Stavební rozpočet-vyplnit'!J656</f>
        <v>0</v>
      </c>
      <c r="K656" s="63">
        <f>G656*J656</f>
        <v>0</v>
      </c>
      <c r="L656" s="65" t="s">
        <v>124</v>
      </c>
      <c r="Z656" s="55">
        <f>IF(AQ656="5",BJ656,0)</f>
        <v>0</v>
      </c>
      <c r="AB656" s="55">
        <f>IF(AQ656="1",BH656,0)</f>
        <v>0</v>
      </c>
      <c r="AC656" s="55">
        <f>IF(AQ656="1",BI656,0)</f>
        <v>0</v>
      </c>
      <c r="AD656" s="55">
        <f>IF(AQ656="7",BH656,0)</f>
        <v>0</v>
      </c>
      <c r="AE656" s="55">
        <f>IF(AQ656="7",BI656,0)</f>
        <v>0</v>
      </c>
      <c r="AF656" s="55">
        <f>IF(AQ656="2",BH656,0)</f>
        <v>0</v>
      </c>
      <c r="AG656" s="55">
        <f>IF(AQ656="2",BI656,0)</f>
        <v>0</v>
      </c>
      <c r="AH656" s="55">
        <f>IF(AQ656="0",BJ656,0)</f>
        <v>0</v>
      </c>
      <c r="AI656" s="34" t="s">
        <v>116</v>
      </c>
      <c r="AJ656" s="63">
        <f>IF(AN656=0,I656,0)</f>
        <v>0</v>
      </c>
      <c r="AK656" s="63">
        <f>IF(AN656=12,I656,0)</f>
        <v>0</v>
      </c>
      <c r="AL656" s="63">
        <f>IF(AN656=21,I656,0)</f>
        <v>0</v>
      </c>
      <c r="AN656" s="55">
        <v>21</v>
      </c>
      <c r="AO656" s="55">
        <f>H656*1</f>
        <v>0</v>
      </c>
      <c r="AP656" s="55">
        <f>H656*(1-1)</f>
        <v>0</v>
      </c>
      <c r="AQ656" s="66" t="s">
        <v>125</v>
      </c>
      <c r="AV656" s="55">
        <f>AW656+AX656</f>
        <v>0</v>
      </c>
      <c r="AW656" s="55">
        <f>G656*AO656</f>
        <v>0</v>
      </c>
      <c r="AX656" s="55">
        <f>G656*AP656</f>
        <v>0</v>
      </c>
      <c r="AY656" s="58" t="s">
        <v>1096</v>
      </c>
      <c r="AZ656" s="58" t="s">
        <v>1068</v>
      </c>
      <c r="BA656" s="34" t="s">
        <v>128</v>
      </c>
      <c r="BC656" s="55">
        <f>AW656+AX656</f>
        <v>0</v>
      </c>
      <c r="BD656" s="55">
        <f>H656/(100-BE656)*100</f>
        <v>0</v>
      </c>
      <c r="BE656" s="55">
        <v>0</v>
      </c>
      <c r="BF656" s="55">
        <f>K656</f>
        <v>0</v>
      </c>
      <c r="BH656" s="63">
        <f>G656*AO656</f>
        <v>0</v>
      </c>
      <c r="BI656" s="63">
        <f>G656*AP656</f>
        <v>0</v>
      </c>
      <c r="BJ656" s="63">
        <f>G656*H656</f>
        <v>0</v>
      </c>
      <c r="BK656" s="63"/>
      <c r="BL656" s="55">
        <v>713</v>
      </c>
      <c r="BW656" s="55">
        <v>21</v>
      </c>
    </row>
    <row r="657" spans="1:75" ht="13.5" customHeight="1">
      <c r="A657" s="61" t="s">
        <v>1273</v>
      </c>
      <c r="B657" s="62" t="s">
        <v>116</v>
      </c>
      <c r="C657" s="62" t="s">
        <v>1274</v>
      </c>
      <c r="D657" s="224" t="s">
        <v>1275</v>
      </c>
      <c r="E657" s="225"/>
      <c r="F657" s="62" t="s">
        <v>174</v>
      </c>
      <c r="G657" s="63">
        <f>'Stavební rozpočet-vyplnit'!G657</f>
        <v>30</v>
      </c>
      <c r="H657" s="63">
        <f>'Stavební rozpočet-vyplnit'!H657</f>
        <v>0</v>
      </c>
      <c r="I657" s="63">
        <f>G657*H657</f>
        <v>0</v>
      </c>
      <c r="J657" s="63">
        <f>'Stavební rozpočet-vyplnit'!J657</f>
        <v>0</v>
      </c>
      <c r="K657" s="63">
        <f>G657*J657</f>
        <v>0</v>
      </c>
      <c r="L657" s="65" t="s">
        <v>124</v>
      </c>
      <c r="Z657" s="55">
        <f>IF(AQ657="5",BJ657,0)</f>
        <v>0</v>
      </c>
      <c r="AB657" s="55">
        <f>IF(AQ657="1",BH657,0)</f>
        <v>0</v>
      </c>
      <c r="AC657" s="55">
        <f>IF(AQ657="1",BI657,0)</f>
        <v>0</v>
      </c>
      <c r="AD657" s="55">
        <f>IF(AQ657="7",BH657,0)</f>
        <v>0</v>
      </c>
      <c r="AE657" s="55">
        <f>IF(AQ657="7",BI657,0)</f>
        <v>0</v>
      </c>
      <c r="AF657" s="55">
        <f>IF(AQ657="2",BH657,0)</f>
        <v>0</v>
      </c>
      <c r="AG657" s="55">
        <f>IF(AQ657="2",BI657,0)</f>
        <v>0</v>
      </c>
      <c r="AH657" s="55">
        <f>IF(AQ657="0",BJ657,0)</f>
        <v>0</v>
      </c>
      <c r="AI657" s="34" t="s">
        <v>116</v>
      </c>
      <c r="AJ657" s="63">
        <f>IF(AN657=0,I657,0)</f>
        <v>0</v>
      </c>
      <c r="AK657" s="63">
        <f>IF(AN657=12,I657,0)</f>
        <v>0</v>
      </c>
      <c r="AL657" s="63">
        <f>IF(AN657=21,I657,0)</f>
        <v>0</v>
      </c>
      <c r="AN657" s="55">
        <v>21</v>
      </c>
      <c r="AO657" s="55">
        <f>H657*1</f>
        <v>0</v>
      </c>
      <c r="AP657" s="55">
        <f>H657*(1-1)</f>
        <v>0</v>
      </c>
      <c r="AQ657" s="66" t="s">
        <v>125</v>
      </c>
      <c r="AV657" s="55">
        <f>AW657+AX657</f>
        <v>0</v>
      </c>
      <c r="AW657" s="55">
        <f>G657*AO657</f>
        <v>0</v>
      </c>
      <c r="AX657" s="55">
        <f>G657*AP657</f>
        <v>0</v>
      </c>
      <c r="AY657" s="58" t="s">
        <v>1096</v>
      </c>
      <c r="AZ657" s="58" t="s">
        <v>1068</v>
      </c>
      <c r="BA657" s="34" t="s">
        <v>128</v>
      </c>
      <c r="BC657" s="55">
        <f>AW657+AX657</f>
        <v>0</v>
      </c>
      <c r="BD657" s="55">
        <f>H657/(100-BE657)*100</f>
        <v>0</v>
      </c>
      <c r="BE657" s="55">
        <v>0</v>
      </c>
      <c r="BF657" s="55">
        <f>K657</f>
        <v>0</v>
      </c>
      <c r="BH657" s="63">
        <f>G657*AO657</f>
        <v>0</v>
      </c>
      <c r="BI657" s="63">
        <f>G657*AP657</f>
        <v>0</v>
      </c>
      <c r="BJ657" s="63">
        <f>G657*H657</f>
        <v>0</v>
      </c>
      <c r="BK657" s="63"/>
      <c r="BL657" s="55">
        <v>713</v>
      </c>
      <c r="BW657" s="55">
        <v>21</v>
      </c>
    </row>
    <row r="658" spans="1:75" ht="27" customHeight="1">
      <c r="A658" s="1" t="s">
        <v>1276</v>
      </c>
      <c r="B658" s="2" t="s">
        <v>116</v>
      </c>
      <c r="C658" s="2" t="s">
        <v>1277</v>
      </c>
      <c r="D658" s="147" t="s">
        <v>1278</v>
      </c>
      <c r="E658" s="148"/>
      <c r="F658" s="2" t="s">
        <v>174</v>
      </c>
      <c r="G658" s="55">
        <f>'Stavební rozpočet-vyplnit'!G658</f>
        <v>70</v>
      </c>
      <c r="H658" s="55">
        <f>'Stavební rozpočet-vyplnit'!H658</f>
        <v>0</v>
      </c>
      <c r="I658" s="55">
        <f>G658*H658</f>
        <v>0</v>
      </c>
      <c r="J658" s="55">
        <f>'Stavební rozpočet-vyplnit'!J658</f>
        <v>0</v>
      </c>
      <c r="K658" s="55">
        <f>G658*J658</f>
        <v>0</v>
      </c>
      <c r="L658" s="57" t="s">
        <v>124</v>
      </c>
      <c r="Z658" s="55">
        <f>IF(AQ658="5",BJ658,0)</f>
        <v>0</v>
      </c>
      <c r="AB658" s="55">
        <f>IF(AQ658="1",BH658,0)</f>
        <v>0</v>
      </c>
      <c r="AC658" s="55">
        <f>IF(AQ658="1",BI658,0)</f>
        <v>0</v>
      </c>
      <c r="AD658" s="55">
        <f>IF(AQ658="7",BH658,0)</f>
        <v>0</v>
      </c>
      <c r="AE658" s="55">
        <f>IF(AQ658="7",BI658,0)</f>
        <v>0</v>
      </c>
      <c r="AF658" s="55">
        <f>IF(AQ658="2",BH658,0)</f>
        <v>0</v>
      </c>
      <c r="AG658" s="55">
        <f>IF(AQ658="2",BI658,0)</f>
        <v>0</v>
      </c>
      <c r="AH658" s="55">
        <f>IF(AQ658="0",BJ658,0)</f>
        <v>0</v>
      </c>
      <c r="AI658" s="34" t="s">
        <v>116</v>
      </c>
      <c r="AJ658" s="55">
        <f>IF(AN658=0,I658,0)</f>
        <v>0</v>
      </c>
      <c r="AK658" s="55">
        <f>IF(AN658=12,I658,0)</f>
        <v>0</v>
      </c>
      <c r="AL658" s="55">
        <f>IF(AN658=21,I658,0)</f>
        <v>0</v>
      </c>
      <c r="AN658" s="55">
        <v>21</v>
      </c>
      <c r="AO658" s="55">
        <f>H658*0</f>
        <v>0</v>
      </c>
      <c r="AP658" s="55">
        <f>H658*(1-0)</f>
        <v>0</v>
      </c>
      <c r="AQ658" s="58" t="s">
        <v>125</v>
      </c>
      <c r="AV658" s="55">
        <f>AW658+AX658</f>
        <v>0</v>
      </c>
      <c r="AW658" s="55">
        <f>G658*AO658</f>
        <v>0</v>
      </c>
      <c r="AX658" s="55">
        <f>G658*AP658</f>
        <v>0</v>
      </c>
      <c r="AY658" s="58" t="s">
        <v>1096</v>
      </c>
      <c r="AZ658" s="58" t="s">
        <v>1068</v>
      </c>
      <c r="BA658" s="34" t="s">
        <v>128</v>
      </c>
      <c r="BC658" s="55">
        <f>AW658+AX658</f>
        <v>0</v>
      </c>
      <c r="BD658" s="55">
        <f>H658/(100-BE658)*100</f>
        <v>0</v>
      </c>
      <c r="BE658" s="55">
        <v>0</v>
      </c>
      <c r="BF658" s="55">
        <f>K658</f>
        <v>0</v>
      </c>
      <c r="BH658" s="55">
        <f>G658*AO658</f>
        <v>0</v>
      </c>
      <c r="BI658" s="55">
        <f>G658*AP658</f>
        <v>0</v>
      </c>
      <c r="BJ658" s="55">
        <f>G658*H658</f>
        <v>0</v>
      </c>
      <c r="BK658" s="55"/>
      <c r="BL658" s="55">
        <v>713</v>
      </c>
      <c r="BW658" s="55">
        <v>21</v>
      </c>
    </row>
    <row r="659" spans="1:12" ht="13.5" customHeight="1">
      <c r="A659" s="59"/>
      <c r="D659" s="218" t="s">
        <v>1266</v>
      </c>
      <c r="E659" s="219"/>
      <c r="F659" s="219"/>
      <c r="G659" s="219"/>
      <c r="H659" s="219"/>
      <c r="I659" s="219"/>
      <c r="J659" s="219"/>
      <c r="K659" s="219"/>
      <c r="L659" s="221"/>
    </row>
    <row r="660" spans="1:75" ht="13.5" customHeight="1">
      <c r="A660" s="61" t="s">
        <v>1279</v>
      </c>
      <c r="B660" s="62" t="s">
        <v>116</v>
      </c>
      <c r="C660" s="62" t="s">
        <v>1280</v>
      </c>
      <c r="D660" s="224" t="s">
        <v>1281</v>
      </c>
      <c r="E660" s="225"/>
      <c r="F660" s="62" t="s">
        <v>174</v>
      </c>
      <c r="G660" s="63">
        <f>'Stavební rozpočet-vyplnit'!G660</f>
        <v>70</v>
      </c>
      <c r="H660" s="63">
        <f>'Stavební rozpočet-vyplnit'!H660</f>
        <v>0</v>
      </c>
      <c r="I660" s="63">
        <f>G660*H660</f>
        <v>0</v>
      </c>
      <c r="J660" s="63">
        <f>'Stavební rozpočet-vyplnit'!J660</f>
        <v>0</v>
      </c>
      <c r="K660" s="63">
        <f>G660*J660</f>
        <v>0</v>
      </c>
      <c r="L660" s="65" t="s">
        <v>124</v>
      </c>
      <c r="Z660" s="55">
        <f>IF(AQ660="5",BJ660,0)</f>
        <v>0</v>
      </c>
      <c r="AB660" s="55">
        <f>IF(AQ660="1",BH660,0)</f>
        <v>0</v>
      </c>
      <c r="AC660" s="55">
        <f>IF(AQ660="1",BI660,0)</f>
        <v>0</v>
      </c>
      <c r="AD660" s="55">
        <f>IF(AQ660="7",BH660,0)</f>
        <v>0</v>
      </c>
      <c r="AE660" s="55">
        <f>IF(AQ660="7",BI660,0)</f>
        <v>0</v>
      </c>
      <c r="AF660" s="55">
        <f>IF(AQ660="2",BH660,0)</f>
        <v>0</v>
      </c>
      <c r="AG660" s="55">
        <f>IF(AQ660="2",BI660,0)</f>
        <v>0</v>
      </c>
      <c r="AH660" s="55">
        <f>IF(AQ660="0",BJ660,0)</f>
        <v>0</v>
      </c>
      <c r="AI660" s="34" t="s">
        <v>116</v>
      </c>
      <c r="AJ660" s="63">
        <f>IF(AN660=0,I660,0)</f>
        <v>0</v>
      </c>
      <c r="AK660" s="63">
        <f>IF(AN660=12,I660,0)</f>
        <v>0</v>
      </c>
      <c r="AL660" s="63">
        <f>IF(AN660=21,I660,0)</f>
        <v>0</v>
      </c>
      <c r="AN660" s="55">
        <v>21</v>
      </c>
      <c r="AO660" s="55">
        <f>H660*1</f>
        <v>0</v>
      </c>
      <c r="AP660" s="55">
        <f>H660*(1-1)</f>
        <v>0</v>
      </c>
      <c r="AQ660" s="66" t="s">
        <v>125</v>
      </c>
      <c r="AV660" s="55">
        <f>AW660+AX660</f>
        <v>0</v>
      </c>
      <c r="AW660" s="55">
        <f>G660*AO660</f>
        <v>0</v>
      </c>
      <c r="AX660" s="55">
        <f>G660*AP660</f>
        <v>0</v>
      </c>
      <c r="AY660" s="58" t="s">
        <v>1096</v>
      </c>
      <c r="AZ660" s="58" t="s">
        <v>1068</v>
      </c>
      <c r="BA660" s="34" t="s">
        <v>128</v>
      </c>
      <c r="BC660" s="55">
        <f>AW660+AX660</f>
        <v>0</v>
      </c>
      <c r="BD660" s="55">
        <f>H660/(100-BE660)*100</f>
        <v>0</v>
      </c>
      <c r="BE660" s="55">
        <v>0</v>
      </c>
      <c r="BF660" s="55">
        <f>K660</f>
        <v>0</v>
      </c>
      <c r="BH660" s="63">
        <f>G660*AO660</f>
        <v>0</v>
      </c>
      <c r="BI660" s="63">
        <f>G660*AP660</f>
        <v>0</v>
      </c>
      <c r="BJ660" s="63">
        <f>G660*H660</f>
        <v>0</v>
      </c>
      <c r="BK660" s="63"/>
      <c r="BL660" s="55">
        <v>713</v>
      </c>
      <c r="BW660" s="55">
        <v>21</v>
      </c>
    </row>
    <row r="661" spans="1:75" ht="27" customHeight="1">
      <c r="A661" s="1" t="s">
        <v>1282</v>
      </c>
      <c r="B661" s="2" t="s">
        <v>116</v>
      </c>
      <c r="C661" s="2" t="s">
        <v>1264</v>
      </c>
      <c r="D661" s="147" t="s">
        <v>1265</v>
      </c>
      <c r="E661" s="148"/>
      <c r="F661" s="2" t="s">
        <v>174</v>
      </c>
      <c r="G661" s="55">
        <f>'Stavební rozpočet-vyplnit'!G661</f>
        <v>290</v>
      </c>
      <c r="H661" s="55">
        <f>'Stavební rozpočet-vyplnit'!H661</f>
        <v>0</v>
      </c>
      <c r="I661" s="55">
        <f>G661*H661</f>
        <v>0</v>
      </c>
      <c r="J661" s="55">
        <f>'Stavební rozpočet-vyplnit'!J661</f>
        <v>0</v>
      </c>
      <c r="K661" s="55">
        <f>G661*J661</f>
        <v>0</v>
      </c>
      <c r="L661" s="57" t="s">
        <v>124</v>
      </c>
      <c r="Z661" s="55">
        <f>IF(AQ661="5",BJ661,0)</f>
        <v>0</v>
      </c>
      <c r="AB661" s="55">
        <f>IF(AQ661="1",BH661,0)</f>
        <v>0</v>
      </c>
      <c r="AC661" s="55">
        <f>IF(AQ661="1",BI661,0)</f>
        <v>0</v>
      </c>
      <c r="AD661" s="55">
        <f>IF(AQ661="7",BH661,0)</f>
        <v>0</v>
      </c>
      <c r="AE661" s="55">
        <f>IF(AQ661="7",BI661,0)</f>
        <v>0</v>
      </c>
      <c r="AF661" s="55">
        <f>IF(AQ661="2",BH661,0)</f>
        <v>0</v>
      </c>
      <c r="AG661" s="55">
        <f>IF(AQ661="2",BI661,0)</f>
        <v>0</v>
      </c>
      <c r="AH661" s="55">
        <f>IF(AQ661="0",BJ661,0)</f>
        <v>0</v>
      </c>
      <c r="AI661" s="34" t="s">
        <v>116</v>
      </c>
      <c r="AJ661" s="55">
        <f>IF(AN661=0,I661,0)</f>
        <v>0</v>
      </c>
      <c r="AK661" s="55">
        <f>IF(AN661=12,I661,0)</f>
        <v>0</v>
      </c>
      <c r="AL661" s="55">
        <f>IF(AN661=21,I661,0)</f>
        <v>0</v>
      </c>
      <c r="AN661" s="55">
        <v>21</v>
      </c>
      <c r="AO661" s="55">
        <f>H661*0</f>
        <v>0</v>
      </c>
      <c r="AP661" s="55">
        <f>H661*(1-0)</f>
        <v>0</v>
      </c>
      <c r="AQ661" s="58" t="s">
        <v>125</v>
      </c>
      <c r="AV661" s="55">
        <f>AW661+AX661</f>
        <v>0</v>
      </c>
      <c r="AW661" s="55">
        <f>G661*AO661</f>
        <v>0</v>
      </c>
      <c r="AX661" s="55">
        <f>G661*AP661</f>
        <v>0</v>
      </c>
      <c r="AY661" s="58" t="s">
        <v>1096</v>
      </c>
      <c r="AZ661" s="58" t="s">
        <v>1068</v>
      </c>
      <c r="BA661" s="34" t="s">
        <v>128</v>
      </c>
      <c r="BC661" s="55">
        <f>AW661+AX661</f>
        <v>0</v>
      </c>
      <c r="BD661" s="55">
        <f>H661/(100-BE661)*100</f>
        <v>0</v>
      </c>
      <c r="BE661" s="55">
        <v>0</v>
      </c>
      <c r="BF661" s="55">
        <f>K661</f>
        <v>0</v>
      </c>
      <c r="BH661" s="55">
        <f>G661*AO661</f>
        <v>0</v>
      </c>
      <c r="BI661" s="55">
        <f>G661*AP661</f>
        <v>0</v>
      </c>
      <c r="BJ661" s="55">
        <f>G661*H661</f>
        <v>0</v>
      </c>
      <c r="BK661" s="55"/>
      <c r="BL661" s="55">
        <v>713</v>
      </c>
      <c r="BW661" s="55">
        <v>21</v>
      </c>
    </row>
    <row r="662" spans="1:12" ht="13.5" customHeight="1">
      <c r="A662" s="59"/>
      <c r="D662" s="218" t="s">
        <v>1283</v>
      </c>
      <c r="E662" s="219"/>
      <c r="F662" s="219"/>
      <c r="G662" s="219"/>
      <c r="H662" s="219"/>
      <c r="I662" s="219"/>
      <c r="J662" s="219"/>
      <c r="K662" s="219"/>
      <c r="L662" s="221"/>
    </row>
    <row r="663" spans="1:75" ht="13.5" customHeight="1">
      <c r="A663" s="61" t="s">
        <v>1284</v>
      </c>
      <c r="B663" s="62" t="s">
        <v>116</v>
      </c>
      <c r="C663" s="62" t="s">
        <v>1285</v>
      </c>
      <c r="D663" s="224" t="s">
        <v>1286</v>
      </c>
      <c r="E663" s="225"/>
      <c r="F663" s="62" t="s">
        <v>174</v>
      </c>
      <c r="G663" s="63">
        <f>'Stavební rozpočet-vyplnit'!G663</f>
        <v>100</v>
      </c>
      <c r="H663" s="63">
        <f>'Stavební rozpočet-vyplnit'!H663</f>
        <v>0</v>
      </c>
      <c r="I663" s="63">
        <f aca="true" t="shared" si="66" ref="I663:I669">G663*H663</f>
        <v>0</v>
      </c>
      <c r="J663" s="63">
        <f>'Stavební rozpočet-vyplnit'!J663</f>
        <v>0</v>
      </c>
      <c r="K663" s="63">
        <f aca="true" t="shared" si="67" ref="K663:K669">G663*J663</f>
        <v>0</v>
      </c>
      <c r="L663" s="65" t="s">
        <v>124</v>
      </c>
      <c r="Z663" s="55">
        <f aca="true" t="shared" si="68" ref="Z663:Z669">IF(AQ663="5",BJ663,0)</f>
        <v>0</v>
      </c>
      <c r="AB663" s="55">
        <f aca="true" t="shared" si="69" ref="AB663:AB669">IF(AQ663="1",BH663,0)</f>
        <v>0</v>
      </c>
      <c r="AC663" s="55">
        <f aca="true" t="shared" si="70" ref="AC663:AC669">IF(AQ663="1",BI663,0)</f>
        <v>0</v>
      </c>
      <c r="AD663" s="55">
        <f aca="true" t="shared" si="71" ref="AD663:AD669">IF(AQ663="7",BH663,0)</f>
        <v>0</v>
      </c>
      <c r="AE663" s="55">
        <f aca="true" t="shared" si="72" ref="AE663:AE669">IF(AQ663="7",BI663,0)</f>
        <v>0</v>
      </c>
      <c r="AF663" s="55">
        <f aca="true" t="shared" si="73" ref="AF663:AF669">IF(AQ663="2",BH663,0)</f>
        <v>0</v>
      </c>
      <c r="AG663" s="55">
        <f aca="true" t="shared" si="74" ref="AG663:AG669">IF(AQ663="2",BI663,0)</f>
        <v>0</v>
      </c>
      <c r="AH663" s="55">
        <f aca="true" t="shared" si="75" ref="AH663:AH669">IF(AQ663="0",BJ663,0)</f>
        <v>0</v>
      </c>
      <c r="AI663" s="34" t="s">
        <v>116</v>
      </c>
      <c r="AJ663" s="63">
        <f aca="true" t="shared" si="76" ref="AJ663:AJ669">IF(AN663=0,I663,0)</f>
        <v>0</v>
      </c>
      <c r="AK663" s="63">
        <f aca="true" t="shared" si="77" ref="AK663:AK669">IF(AN663=12,I663,0)</f>
        <v>0</v>
      </c>
      <c r="AL663" s="63">
        <f aca="true" t="shared" si="78" ref="AL663:AL669">IF(AN663=21,I663,0)</f>
        <v>0</v>
      </c>
      <c r="AN663" s="55">
        <v>21</v>
      </c>
      <c r="AO663" s="55">
        <f aca="true" t="shared" si="79" ref="AO663:AO668">H663*1</f>
        <v>0</v>
      </c>
      <c r="AP663" s="55">
        <f aca="true" t="shared" si="80" ref="AP663:AP668">H663*(1-1)</f>
        <v>0</v>
      </c>
      <c r="AQ663" s="66" t="s">
        <v>125</v>
      </c>
      <c r="AV663" s="55">
        <f aca="true" t="shared" si="81" ref="AV663:AV669">AW663+AX663</f>
        <v>0</v>
      </c>
      <c r="AW663" s="55">
        <f aca="true" t="shared" si="82" ref="AW663:AW669">G663*AO663</f>
        <v>0</v>
      </c>
      <c r="AX663" s="55">
        <f aca="true" t="shared" si="83" ref="AX663:AX669">G663*AP663</f>
        <v>0</v>
      </c>
      <c r="AY663" s="58" t="s">
        <v>1096</v>
      </c>
      <c r="AZ663" s="58" t="s">
        <v>1068</v>
      </c>
      <c r="BA663" s="34" t="s">
        <v>128</v>
      </c>
      <c r="BC663" s="55">
        <f aca="true" t="shared" si="84" ref="BC663:BC669">AW663+AX663</f>
        <v>0</v>
      </c>
      <c r="BD663" s="55">
        <f aca="true" t="shared" si="85" ref="BD663:BD669">H663/(100-BE663)*100</f>
        <v>0</v>
      </c>
      <c r="BE663" s="55">
        <v>0</v>
      </c>
      <c r="BF663" s="55">
        <f aca="true" t="shared" si="86" ref="BF663:BF669">K663</f>
        <v>0</v>
      </c>
      <c r="BH663" s="63">
        <f aca="true" t="shared" si="87" ref="BH663:BH669">G663*AO663</f>
        <v>0</v>
      </c>
      <c r="BI663" s="63">
        <f aca="true" t="shared" si="88" ref="BI663:BI669">G663*AP663</f>
        <v>0</v>
      </c>
      <c r="BJ663" s="63">
        <f aca="true" t="shared" si="89" ref="BJ663:BJ669">G663*H663</f>
        <v>0</v>
      </c>
      <c r="BK663" s="63"/>
      <c r="BL663" s="55">
        <v>713</v>
      </c>
      <c r="BW663" s="55">
        <v>21</v>
      </c>
    </row>
    <row r="664" spans="1:75" ht="13.5" customHeight="1">
      <c r="A664" s="61" t="s">
        <v>1287</v>
      </c>
      <c r="B664" s="62" t="s">
        <v>116</v>
      </c>
      <c r="C664" s="62" t="s">
        <v>1288</v>
      </c>
      <c r="D664" s="224" t="s">
        <v>1289</v>
      </c>
      <c r="E664" s="225"/>
      <c r="F664" s="62" t="s">
        <v>174</v>
      </c>
      <c r="G664" s="63">
        <f>'Stavební rozpočet-vyplnit'!G664</f>
        <v>40</v>
      </c>
      <c r="H664" s="63">
        <f>'Stavební rozpočet-vyplnit'!H664</f>
        <v>0</v>
      </c>
      <c r="I664" s="63">
        <f t="shared" si="66"/>
        <v>0</v>
      </c>
      <c r="J664" s="63">
        <f>'Stavební rozpočet-vyplnit'!J664</f>
        <v>0</v>
      </c>
      <c r="K664" s="63">
        <f t="shared" si="67"/>
        <v>0</v>
      </c>
      <c r="L664" s="65" t="s">
        <v>124</v>
      </c>
      <c r="Z664" s="55">
        <f t="shared" si="68"/>
        <v>0</v>
      </c>
      <c r="AB664" s="55">
        <f t="shared" si="69"/>
        <v>0</v>
      </c>
      <c r="AC664" s="55">
        <f t="shared" si="70"/>
        <v>0</v>
      </c>
      <c r="AD664" s="55">
        <f t="shared" si="71"/>
        <v>0</v>
      </c>
      <c r="AE664" s="55">
        <f t="shared" si="72"/>
        <v>0</v>
      </c>
      <c r="AF664" s="55">
        <f t="shared" si="73"/>
        <v>0</v>
      </c>
      <c r="AG664" s="55">
        <f t="shared" si="74"/>
        <v>0</v>
      </c>
      <c r="AH664" s="55">
        <f t="shared" si="75"/>
        <v>0</v>
      </c>
      <c r="AI664" s="34" t="s">
        <v>116</v>
      </c>
      <c r="AJ664" s="63">
        <f t="shared" si="76"/>
        <v>0</v>
      </c>
      <c r="AK664" s="63">
        <f t="shared" si="77"/>
        <v>0</v>
      </c>
      <c r="AL664" s="63">
        <f t="shared" si="78"/>
        <v>0</v>
      </c>
      <c r="AN664" s="55">
        <v>21</v>
      </c>
      <c r="AO664" s="55">
        <f t="shared" si="79"/>
        <v>0</v>
      </c>
      <c r="AP664" s="55">
        <f t="shared" si="80"/>
        <v>0</v>
      </c>
      <c r="AQ664" s="66" t="s">
        <v>125</v>
      </c>
      <c r="AV664" s="55">
        <f t="shared" si="81"/>
        <v>0</v>
      </c>
      <c r="AW664" s="55">
        <f t="shared" si="82"/>
        <v>0</v>
      </c>
      <c r="AX664" s="55">
        <f t="shared" si="83"/>
        <v>0</v>
      </c>
      <c r="AY664" s="58" t="s">
        <v>1096</v>
      </c>
      <c r="AZ664" s="58" t="s">
        <v>1068</v>
      </c>
      <c r="BA664" s="34" t="s">
        <v>128</v>
      </c>
      <c r="BC664" s="55">
        <f t="shared" si="84"/>
        <v>0</v>
      </c>
      <c r="BD664" s="55">
        <f t="shared" si="85"/>
        <v>0</v>
      </c>
      <c r="BE664" s="55">
        <v>0</v>
      </c>
      <c r="BF664" s="55">
        <f t="shared" si="86"/>
        <v>0</v>
      </c>
      <c r="BH664" s="63">
        <f t="shared" si="87"/>
        <v>0</v>
      </c>
      <c r="BI664" s="63">
        <f t="shared" si="88"/>
        <v>0</v>
      </c>
      <c r="BJ664" s="63">
        <f t="shared" si="89"/>
        <v>0</v>
      </c>
      <c r="BK664" s="63"/>
      <c r="BL664" s="55">
        <v>713</v>
      </c>
      <c r="BW664" s="55">
        <v>21</v>
      </c>
    </row>
    <row r="665" spans="1:75" ht="13.5" customHeight="1">
      <c r="A665" s="61" t="s">
        <v>1290</v>
      </c>
      <c r="B665" s="62" t="s">
        <v>116</v>
      </c>
      <c r="C665" s="62" t="s">
        <v>1291</v>
      </c>
      <c r="D665" s="224" t="s">
        <v>1292</v>
      </c>
      <c r="E665" s="225"/>
      <c r="F665" s="62" t="s">
        <v>174</v>
      </c>
      <c r="G665" s="63">
        <f>'Stavební rozpočet-vyplnit'!G665</f>
        <v>60</v>
      </c>
      <c r="H665" s="63">
        <f>'Stavební rozpočet-vyplnit'!H665</f>
        <v>0</v>
      </c>
      <c r="I665" s="63">
        <f t="shared" si="66"/>
        <v>0</v>
      </c>
      <c r="J665" s="63">
        <f>'Stavební rozpočet-vyplnit'!J665</f>
        <v>0</v>
      </c>
      <c r="K665" s="63">
        <f t="shared" si="67"/>
        <v>0</v>
      </c>
      <c r="L665" s="65" t="s">
        <v>124</v>
      </c>
      <c r="Z665" s="55">
        <f t="shared" si="68"/>
        <v>0</v>
      </c>
      <c r="AB665" s="55">
        <f t="shared" si="69"/>
        <v>0</v>
      </c>
      <c r="AC665" s="55">
        <f t="shared" si="70"/>
        <v>0</v>
      </c>
      <c r="AD665" s="55">
        <f t="shared" si="71"/>
        <v>0</v>
      </c>
      <c r="AE665" s="55">
        <f t="shared" si="72"/>
        <v>0</v>
      </c>
      <c r="AF665" s="55">
        <f t="shared" si="73"/>
        <v>0</v>
      </c>
      <c r="AG665" s="55">
        <f t="shared" si="74"/>
        <v>0</v>
      </c>
      <c r="AH665" s="55">
        <f t="shared" si="75"/>
        <v>0</v>
      </c>
      <c r="AI665" s="34" t="s">
        <v>116</v>
      </c>
      <c r="AJ665" s="63">
        <f t="shared" si="76"/>
        <v>0</v>
      </c>
      <c r="AK665" s="63">
        <f t="shared" si="77"/>
        <v>0</v>
      </c>
      <c r="AL665" s="63">
        <f t="shared" si="78"/>
        <v>0</v>
      </c>
      <c r="AN665" s="55">
        <v>21</v>
      </c>
      <c r="AO665" s="55">
        <f t="shared" si="79"/>
        <v>0</v>
      </c>
      <c r="AP665" s="55">
        <f t="shared" si="80"/>
        <v>0</v>
      </c>
      <c r="AQ665" s="66" t="s">
        <v>125</v>
      </c>
      <c r="AV665" s="55">
        <f t="shared" si="81"/>
        <v>0</v>
      </c>
      <c r="AW665" s="55">
        <f t="shared" si="82"/>
        <v>0</v>
      </c>
      <c r="AX665" s="55">
        <f t="shared" si="83"/>
        <v>0</v>
      </c>
      <c r="AY665" s="58" t="s">
        <v>1096</v>
      </c>
      <c r="AZ665" s="58" t="s">
        <v>1068</v>
      </c>
      <c r="BA665" s="34" t="s">
        <v>128</v>
      </c>
      <c r="BC665" s="55">
        <f t="shared" si="84"/>
        <v>0</v>
      </c>
      <c r="BD665" s="55">
        <f t="shared" si="85"/>
        <v>0</v>
      </c>
      <c r="BE665" s="55">
        <v>0</v>
      </c>
      <c r="BF665" s="55">
        <f t="shared" si="86"/>
        <v>0</v>
      </c>
      <c r="BH665" s="63">
        <f t="shared" si="87"/>
        <v>0</v>
      </c>
      <c r="BI665" s="63">
        <f t="shared" si="88"/>
        <v>0</v>
      </c>
      <c r="BJ665" s="63">
        <f t="shared" si="89"/>
        <v>0</v>
      </c>
      <c r="BK665" s="63"/>
      <c r="BL665" s="55">
        <v>713</v>
      </c>
      <c r="BW665" s="55">
        <v>21</v>
      </c>
    </row>
    <row r="666" spans="1:75" ht="13.5" customHeight="1">
      <c r="A666" s="61" t="s">
        <v>1293</v>
      </c>
      <c r="B666" s="62" t="s">
        <v>116</v>
      </c>
      <c r="C666" s="62" t="s">
        <v>1294</v>
      </c>
      <c r="D666" s="224" t="s">
        <v>1295</v>
      </c>
      <c r="E666" s="225"/>
      <c r="F666" s="62" t="s">
        <v>174</v>
      </c>
      <c r="G666" s="63">
        <f>'Stavební rozpočet-vyplnit'!G666</f>
        <v>40</v>
      </c>
      <c r="H666" s="63">
        <f>'Stavební rozpočet-vyplnit'!H666</f>
        <v>0</v>
      </c>
      <c r="I666" s="63">
        <f t="shared" si="66"/>
        <v>0</v>
      </c>
      <c r="J666" s="63">
        <f>'Stavební rozpočet-vyplnit'!J666</f>
        <v>0</v>
      </c>
      <c r="K666" s="63">
        <f t="shared" si="67"/>
        <v>0</v>
      </c>
      <c r="L666" s="65" t="s">
        <v>124</v>
      </c>
      <c r="Z666" s="55">
        <f t="shared" si="68"/>
        <v>0</v>
      </c>
      <c r="AB666" s="55">
        <f t="shared" si="69"/>
        <v>0</v>
      </c>
      <c r="AC666" s="55">
        <f t="shared" si="70"/>
        <v>0</v>
      </c>
      <c r="AD666" s="55">
        <f t="shared" si="71"/>
        <v>0</v>
      </c>
      <c r="AE666" s="55">
        <f t="shared" si="72"/>
        <v>0</v>
      </c>
      <c r="AF666" s="55">
        <f t="shared" si="73"/>
        <v>0</v>
      </c>
      <c r="AG666" s="55">
        <f t="shared" si="74"/>
        <v>0</v>
      </c>
      <c r="AH666" s="55">
        <f t="shared" si="75"/>
        <v>0</v>
      </c>
      <c r="AI666" s="34" t="s">
        <v>116</v>
      </c>
      <c r="AJ666" s="63">
        <f t="shared" si="76"/>
        <v>0</v>
      </c>
      <c r="AK666" s="63">
        <f t="shared" si="77"/>
        <v>0</v>
      </c>
      <c r="AL666" s="63">
        <f t="shared" si="78"/>
        <v>0</v>
      </c>
      <c r="AN666" s="55">
        <v>21</v>
      </c>
      <c r="AO666" s="55">
        <f t="shared" si="79"/>
        <v>0</v>
      </c>
      <c r="AP666" s="55">
        <f t="shared" si="80"/>
        <v>0</v>
      </c>
      <c r="AQ666" s="66" t="s">
        <v>125</v>
      </c>
      <c r="AV666" s="55">
        <f t="shared" si="81"/>
        <v>0</v>
      </c>
      <c r="AW666" s="55">
        <f t="shared" si="82"/>
        <v>0</v>
      </c>
      <c r="AX666" s="55">
        <f t="shared" si="83"/>
        <v>0</v>
      </c>
      <c r="AY666" s="58" t="s">
        <v>1096</v>
      </c>
      <c r="AZ666" s="58" t="s">
        <v>1068</v>
      </c>
      <c r="BA666" s="34" t="s">
        <v>128</v>
      </c>
      <c r="BC666" s="55">
        <f t="shared" si="84"/>
        <v>0</v>
      </c>
      <c r="BD666" s="55">
        <f t="shared" si="85"/>
        <v>0</v>
      </c>
      <c r="BE666" s="55">
        <v>0</v>
      </c>
      <c r="BF666" s="55">
        <f t="shared" si="86"/>
        <v>0</v>
      </c>
      <c r="BH666" s="63">
        <f t="shared" si="87"/>
        <v>0</v>
      </c>
      <c r="BI666" s="63">
        <f t="shared" si="88"/>
        <v>0</v>
      </c>
      <c r="BJ666" s="63">
        <f t="shared" si="89"/>
        <v>0</v>
      </c>
      <c r="BK666" s="63"/>
      <c r="BL666" s="55">
        <v>713</v>
      </c>
      <c r="BW666" s="55">
        <v>21</v>
      </c>
    </row>
    <row r="667" spans="1:75" ht="13.5" customHeight="1">
      <c r="A667" s="61" t="s">
        <v>1296</v>
      </c>
      <c r="B667" s="62" t="s">
        <v>116</v>
      </c>
      <c r="C667" s="62" t="s">
        <v>1297</v>
      </c>
      <c r="D667" s="224" t="s">
        <v>1298</v>
      </c>
      <c r="E667" s="225"/>
      <c r="F667" s="62" t="s">
        <v>174</v>
      </c>
      <c r="G667" s="63">
        <f>'Stavební rozpočet-vyplnit'!G667</f>
        <v>50</v>
      </c>
      <c r="H667" s="63">
        <f>'Stavební rozpočet-vyplnit'!H667</f>
        <v>0</v>
      </c>
      <c r="I667" s="63">
        <f t="shared" si="66"/>
        <v>0</v>
      </c>
      <c r="J667" s="63">
        <f>'Stavební rozpočet-vyplnit'!J667</f>
        <v>0</v>
      </c>
      <c r="K667" s="63">
        <f t="shared" si="67"/>
        <v>0</v>
      </c>
      <c r="L667" s="65" t="s">
        <v>124</v>
      </c>
      <c r="Z667" s="55">
        <f t="shared" si="68"/>
        <v>0</v>
      </c>
      <c r="AB667" s="55">
        <f t="shared" si="69"/>
        <v>0</v>
      </c>
      <c r="AC667" s="55">
        <f t="shared" si="70"/>
        <v>0</v>
      </c>
      <c r="AD667" s="55">
        <f t="shared" si="71"/>
        <v>0</v>
      </c>
      <c r="AE667" s="55">
        <f t="shared" si="72"/>
        <v>0</v>
      </c>
      <c r="AF667" s="55">
        <f t="shared" si="73"/>
        <v>0</v>
      </c>
      <c r="AG667" s="55">
        <f t="shared" si="74"/>
        <v>0</v>
      </c>
      <c r="AH667" s="55">
        <f t="shared" si="75"/>
        <v>0</v>
      </c>
      <c r="AI667" s="34" t="s">
        <v>116</v>
      </c>
      <c r="AJ667" s="63">
        <f t="shared" si="76"/>
        <v>0</v>
      </c>
      <c r="AK667" s="63">
        <f t="shared" si="77"/>
        <v>0</v>
      </c>
      <c r="AL667" s="63">
        <f t="shared" si="78"/>
        <v>0</v>
      </c>
      <c r="AN667" s="55">
        <v>21</v>
      </c>
      <c r="AO667" s="55">
        <f t="shared" si="79"/>
        <v>0</v>
      </c>
      <c r="AP667" s="55">
        <f t="shared" si="80"/>
        <v>0</v>
      </c>
      <c r="AQ667" s="66" t="s">
        <v>125</v>
      </c>
      <c r="AV667" s="55">
        <f t="shared" si="81"/>
        <v>0</v>
      </c>
      <c r="AW667" s="55">
        <f t="shared" si="82"/>
        <v>0</v>
      </c>
      <c r="AX667" s="55">
        <f t="shared" si="83"/>
        <v>0</v>
      </c>
      <c r="AY667" s="58" t="s">
        <v>1096</v>
      </c>
      <c r="AZ667" s="58" t="s">
        <v>1068</v>
      </c>
      <c r="BA667" s="34" t="s">
        <v>128</v>
      </c>
      <c r="BC667" s="55">
        <f t="shared" si="84"/>
        <v>0</v>
      </c>
      <c r="BD667" s="55">
        <f t="shared" si="85"/>
        <v>0</v>
      </c>
      <c r="BE667" s="55">
        <v>0</v>
      </c>
      <c r="BF667" s="55">
        <f t="shared" si="86"/>
        <v>0</v>
      </c>
      <c r="BH667" s="63">
        <f t="shared" si="87"/>
        <v>0</v>
      </c>
      <c r="BI667" s="63">
        <f t="shared" si="88"/>
        <v>0</v>
      </c>
      <c r="BJ667" s="63">
        <f t="shared" si="89"/>
        <v>0</v>
      </c>
      <c r="BK667" s="63"/>
      <c r="BL667" s="55">
        <v>713</v>
      </c>
      <c r="BW667" s="55">
        <v>21</v>
      </c>
    </row>
    <row r="668" spans="1:75" ht="13.5" customHeight="1">
      <c r="A668" s="61" t="s">
        <v>1299</v>
      </c>
      <c r="B668" s="62" t="s">
        <v>116</v>
      </c>
      <c r="C668" s="62" t="s">
        <v>1300</v>
      </c>
      <c r="D668" s="224" t="s">
        <v>1301</v>
      </c>
      <c r="E668" s="225"/>
      <c r="F668" s="62" t="s">
        <v>374</v>
      </c>
      <c r="G668" s="63">
        <f>'Stavební rozpočet-vyplnit'!G668</f>
        <v>13</v>
      </c>
      <c r="H668" s="63">
        <f>'Stavební rozpočet-vyplnit'!H668</f>
        <v>0</v>
      </c>
      <c r="I668" s="63">
        <f t="shared" si="66"/>
        <v>0</v>
      </c>
      <c r="J668" s="63">
        <f>'Stavební rozpočet-vyplnit'!J668</f>
        <v>0</v>
      </c>
      <c r="K668" s="63">
        <f t="shared" si="67"/>
        <v>0</v>
      </c>
      <c r="L668" s="65" t="s">
        <v>124</v>
      </c>
      <c r="Z668" s="55">
        <f t="shared" si="68"/>
        <v>0</v>
      </c>
      <c r="AB668" s="55">
        <f t="shared" si="69"/>
        <v>0</v>
      </c>
      <c r="AC668" s="55">
        <f t="shared" si="70"/>
        <v>0</v>
      </c>
      <c r="AD668" s="55">
        <f t="shared" si="71"/>
        <v>0</v>
      </c>
      <c r="AE668" s="55">
        <f t="shared" si="72"/>
        <v>0</v>
      </c>
      <c r="AF668" s="55">
        <f t="shared" si="73"/>
        <v>0</v>
      </c>
      <c r="AG668" s="55">
        <f t="shared" si="74"/>
        <v>0</v>
      </c>
      <c r="AH668" s="55">
        <f t="shared" si="75"/>
        <v>0</v>
      </c>
      <c r="AI668" s="34" t="s">
        <v>116</v>
      </c>
      <c r="AJ668" s="63">
        <f t="shared" si="76"/>
        <v>0</v>
      </c>
      <c r="AK668" s="63">
        <f t="shared" si="77"/>
        <v>0</v>
      </c>
      <c r="AL668" s="63">
        <f t="shared" si="78"/>
        <v>0</v>
      </c>
      <c r="AN668" s="55">
        <v>21</v>
      </c>
      <c r="AO668" s="55">
        <f t="shared" si="79"/>
        <v>0</v>
      </c>
      <c r="AP668" s="55">
        <f t="shared" si="80"/>
        <v>0</v>
      </c>
      <c r="AQ668" s="66" t="s">
        <v>125</v>
      </c>
      <c r="AV668" s="55">
        <f t="shared" si="81"/>
        <v>0</v>
      </c>
      <c r="AW668" s="55">
        <f t="shared" si="82"/>
        <v>0</v>
      </c>
      <c r="AX668" s="55">
        <f t="shared" si="83"/>
        <v>0</v>
      </c>
      <c r="AY668" s="58" t="s">
        <v>1096</v>
      </c>
      <c r="AZ668" s="58" t="s">
        <v>1068</v>
      </c>
      <c r="BA668" s="34" t="s">
        <v>128</v>
      </c>
      <c r="BC668" s="55">
        <f t="shared" si="84"/>
        <v>0</v>
      </c>
      <c r="BD668" s="55">
        <f t="shared" si="85"/>
        <v>0</v>
      </c>
      <c r="BE668" s="55">
        <v>0</v>
      </c>
      <c r="BF668" s="55">
        <f t="shared" si="86"/>
        <v>0</v>
      </c>
      <c r="BH668" s="63">
        <f t="shared" si="87"/>
        <v>0</v>
      </c>
      <c r="BI668" s="63">
        <f t="shared" si="88"/>
        <v>0</v>
      </c>
      <c r="BJ668" s="63">
        <f t="shared" si="89"/>
        <v>0</v>
      </c>
      <c r="BK668" s="63"/>
      <c r="BL668" s="55">
        <v>713</v>
      </c>
      <c r="BW668" s="55">
        <v>21</v>
      </c>
    </row>
    <row r="669" spans="1:75" ht="13.5" customHeight="1">
      <c r="A669" s="1" t="s">
        <v>1302</v>
      </c>
      <c r="B669" s="2" t="s">
        <v>116</v>
      </c>
      <c r="C669" s="2" t="s">
        <v>1303</v>
      </c>
      <c r="D669" s="147" t="s">
        <v>1304</v>
      </c>
      <c r="E669" s="148"/>
      <c r="F669" s="2" t="s">
        <v>939</v>
      </c>
      <c r="G669" s="55">
        <f>'Stavební rozpočet-vyplnit'!G669</f>
        <v>4.84</v>
      </c>
      <c r="H669" s="55">
        <f>'Stavební rozpočet-vyplnit'!H669</f>
        <v>0</v>
      </c>
      <c r="I669" s="55">
        <f t="shared" si="66"/>
        <v>0</v>
      </c>
      <c r="J669" s="55">
        <f>'Stavební rozpočet-vyplnit'!J669</f>
        <v>0</v>
      </c>
      <c r="K669" s="55">
        <f t="shared" si="67"/>
        <v>0</v>
      </c>
      <c r="L669" s="57" t="s">
        <v>785</v>
      </c>
      <c r="Z669" s="55">
        <f t="shared" si="68"/>
        <v>0</v>
      </c>
      <c r="AB669" s="55">
        <f t="shared" si="69"/>
        <v>0</v>
      </c>
      <c r="AC669" s="55">
        <f t="shared" si="70"/>
        <v>0</v>
      </c>
      <c r="AD669" s="55">
        <f t="shared" si="71"/>
        <v>0</v>
      </c>
      <c r="AE669" s="55">
        <f t="shared" si="72"/>
        <v>0</v>
      </c>
      <c r="AF669" s="55">
        <f t="shared" si="73"/>
        <v>0</v>
      </c>
      <c r="AG669" s="55">
        <f t="shared" si="74"/>
        <v>0</v>
      </c>
      <c r="AH669" s="55">
        <f t="shared" si="75"/>
        <v>0</v>
      </c>
      <c r="AI669" s="34" t="s">
        <v>116</v>
      </c>
      <c r="AJ669" s="55">
        <f t="shared" si="76"/>
        <v>0</v>
      </c>
      <c r="AK669" s="55">
        <f t="shared" si="77"/>
        <v>0</v>
      </c>
      <c r="AL669" s="55">
        <f t="shared" si="78"/>
        <v>0</v>
      </c>
      <c r="AN669" s="55">
        <v>21</v>
      </c>
      <c r="AO669" s="55">
        <f>H669*0</f>
        <v>0</v>
      </c>
      <c r="AP669" s="55">
        <f>H669*(1-0)</f>
        <v>0</v>
      </c>
      <c r="AQ669" s="58" t="s">
        <v>139</v>
      </c>
      <c r="AV669" s="55">
        <f t="shared" si="81"/>
        <v>0</v>
      </c>
      <c r="AW669" s="55">
        <f t="shared" si="82"/>
        <v>0</v>
      </c>
      <c r="AX669" s="55">
        <f t="shared" si="83"/>
        <v>0</v>
      </c>
      <c r="AY669" s="58" t="s">
        <v>1096</v>
      </c>
      <c r="AZ669" s="58" t="s">
        <v>1068</v>
      </c>
      <c r="BA669" s="34" t="s">
        <v>128</v>
      </c>
      <c r="BC669" s="55">
        <f t="shared" si="84"/>
        <v>0</v>
      </c>
      <c r="BD669" s="55">
        <f t="shared" si="85"/>
        <v>0</v>
      </c>
      <c r="BE669" s="55">
        <v>0</v>
      </c>
      <c r="BF669" s="55">
        <f t="shared" si="86"/>
        <v>0</v>
      </c>
      <c r="BH669" s="55">
        <f t="shared" si="87"/>
        <v>0</v>
      </c>
      <c r="BI669" s="55">
        <f t="shared" si="88"/>
        <v>0</v>
      </c>
      <c r="BJ669" s="55">
        <f t="shared" si="89"/>
        <v>0</v>
      </c>
      <c r="BK669" s="55"/>
      <c r="BL669" s="55">
        <v>713</v>
      </c>
      <c r="BW669" s="55">
        <v>21</v>
      </c>
    </row>
    <row r="670" spans="1:12" ht="14.4">
      <c r="A670" s="59"/>
      <c r="D670" s="60" t="s">
        <v>1305</v>
      </c>
      <c r="E670" s="60" t="s">
        <v>1306</v>
      </c>
      <c r="G670" s="68">
        <v>4.84</v>
      </c>
      <c r="L670" s="69"/>
    </row>
    <row r="671" spans="1:47" ht="14.4">
      <c r="A671" s="50" t="s">
        <v>4</v>
      </c>
      <c r="B671" s="51" t="s">
        <v>116</v>
      </c>
      <c r="C671" s="51" t="s">
        <v>1307</v>
      </c>
      <c r="D671" s="222" t="s">
        <v>1308</v>
      </c>
      <c r="E671" s="223"/>
      <c r="F671" s="52" t="s">
        <v>79</v>
      </c>
      <c r="G671" s="52" t="s">
        <v>79</v>
      </c>
      <c r="H671" s="52" t="s">
        <v>79</v>
      </c>
      <c r="I671" s="27">
        <f>SUM(I672:I675)</f>
        <v>0</v>
      </c>
      <c r="J671" s="34" t="s">
        <v>4</v>
      </c>
      <c r="K671" s="27">
        <f>SUM(K672:K675)</f>
        <v>0</v>
      </c>
      <c r="L671" s="54" t="s">
        <v>4</v>
      </c>
      <c r="AI671" s="34" t="s">
        <v>116</v>
      </c>
      <c r="AS671" s="27">
        <f>SUM(AJ672:AJ675)</f>
        <v>0</v>
      </c>
      <c r="AT671" s="27">
        <f>SUM(AK672:AK675)</f>
        <v>0</v>
      </c>
      <c r="AU671" s="27">
        <f>SUM(AL672:AL675)</f>
        <v>0</v>
      </c>
    </row>
    <row r="672" spans="1:75" ht="13.5" customHeight="1">
      <c r="A672" s="1" t="s">
        <v>1309</v>
      </c>
      <c r="B672" s="2" t="s">
        <v>116</v>
      </c>
      <c r="C672" s="2" t="s">
        <v>1310</v>
      </c>
      <c r="D672" s="147" t="s">
        <v>1311</v>
      </c>
      <c r="E672" s="148"/>
      <c r="F672" s="2" t="s">
        <v>360</v>
      </c>
      <c r="G672" s="55">
        <f>'Stavební rozpočet-vyplnit'!G672</f>
        <v>36</v>
      </c>
      <c r="H672" s="55">
        <f>'Stavební rozpočet-vyplnit'!H672</f>
        <v>0</v>
      </c>
      <c r="I672" s="55">
        <f>G672*H672</f>
        <v>0</v>
      </c>
      <c r="J672" s="55">
        <f>'Stavební rozpočet-vyplnit'!J672</f>
        <v>0</v>
      </c>
      <c r="K672" s="55">
        <f>G672*J672</f>
        <v>0</v>
      </c>
      <c r="L672" s="57" t="s">
        <v>124</v>
      </c>
      <c r="Z672" s="55">
        <f>IF(AQ672="5",BJ672,0)</f>
        <v>0</v>
      </c>
      <c r="AB672" s="55">
        <f>IF(AQ672="1",BH672,0)</f>
        <v>0</v>
      </c>
      <c r="AC672" s="55">
        <f>IF(AQ672="1",BI672,0)</f>
        <v>0</v>
      </c>
      <c r="AD672" s="55">
        <f>IF(AQ672="7",BH672,0)</f>
        <v>0</v>
      </c>
      <c r="AE672" s="55">
        <f>IF(AQ672="7",BI672,0)</f>
        <v>0</v>
      </c>
      <c r="AF672" s="55">
        <f>IF(AQ672="2",BH672,0)</f>
        <v>0</v>
      </c>
      <c r="AG672" s="55">
        <f>IF(AQ672="2",BI672,0)</f>
        <v>0</v>
      </c>
      <c r="AH672" s="55">
        <f>IF(AQ672="0",BJ672,0)</f>
        <v>0</v>
      </c>
      <c r="AI672" s="34" t="s">
        <v>116</v>
      </c>
      <c r="AJ672" s="55">
        <f>IF(AN672=0,I672,0)</f>
        <v>0</v>
      </c>
      <c r="AK672" s="55">
        <f>IF(AN672=12,I672,0)</f>
        <v>0</v>
      </c>
      <c r="AL672" s="55">
        <f>IF(AN672=21,I672,0)</f>
        <v>0</v>
      </c>
      <c r="AN672" s="55">
        <v>21</v>
      </c>
      <c r="AO672" s="55">
        <f>H672*0</f>
        <v>0</v>
      </c>
      <c r="AP672" s="55">
        <f>H672*(1-0)</f>
        <v>0</v>
      </c>
      <c r="AQ672" s="58" t="s">
        <v>125</v>
      </c>
      <c r="AV672" s="55">
        <f>AW672+AX672</f>
        <v>0</v>
      </c>
      <c r="AW672" s="55">
        <f>G672*AO672</f>
        <v>0</v>
      </c>
      <c r="AX672" s="55">
        <f>G672*AP672</f>
        <v>0</v>
      </c>
      <c r="AY672" s="58" t="s">
        <v>1312</v>
      </c>
      <c r="AZ672" s="58" t="s">
        <v>1313</v>
      </c>
      <c r="BA672" s="34" t="s">
        <v>128</v>
      </c>
      <c r="BC672" s="55">
        <f>AW672+AX672</f>
        <v>0</v>
      </c>
      <c r="BD672" s="55">
        <f>H672/(100-BE672)*100</f>
        <v>0</v>
      </c>
      <c r="BE672" s="55">
        <v>0</v>
      </c>
      <c r="BF672" s="55">
        <f>K672</f>
        <v>0</v>
      </c>
      <c r="BH672" s="55">
        <f>G672*AO672</f>
        <v>0</v>
      </c>
      <c r="BI672" s="55">
        <f>G672*AP672</f>
        <v>0</v>
      </c>
      <c r="BJ672" s="55">
        <f>G672*H672</f>
        <v>0</v>
      </c>
      <c r="BK672" s="55"/>
      <c r="BL672" s="55">
        <v>720</v>
      </c>
      <c r="BW672" s="55">
        <v>21</v>
      </c>
    </row>
    <row r="673" spans="1:75" ht="13.5" customHeight="1">
      <c r="A673" s="61" t="s">
        <v>1314</v>
      </c>
      <c r="B673" s="62" t="s">
        <v>116</v>
      </c>
      <c r="C673" s="62" t="s">
        <v>1315</v>
      </c>
      <c r="D673" s="224" t="s">
        <v>1316</v>
      </c>
      <c r="E673" s="225"/>
      <c r="F673" s="62" t="s">
        <v>174</v>
      </c>
      <c r="G673" s="63">
        <f>'Stavební rozpočet-vyplnit'!G673</f>
        <v>1</v>
      </c>
      <c r="H673" s="63">
        <f>'Stavební rozpočet-vyplnit'!H673</f>
        <v>0</v>
      </c>
      <c r="I673" s="63">
        <f>G673*H673</f>
        <v>0</v>
      </c>
      <c r="J673" s="63">
        <f>'Stavební rozpočet-vyplnit'!J673</f>
        <v>0</v>
      </c>
      <c r="K673" s="63">
        <f>G673*J673</f>
        <v>0</v>
      </c>
      <c r="L673" s="65" t="s">
        <v>124</v>
      </c>
      <c r="Z673" s="55">
        <f>IF(AQ673="5",BJ673,0)</f>
        <v>0</v>
      </c>
      <c r="AB673" s="55">
        <f>IF(AQ673="1",BH673,0)</f>
        <v>0</v>
      </c>
      <c r="AC673" s="55">
        <f>IF(AQ673="1",BI673,0)</f>
        <v>0</v>
      </c>
      <c r="AD673" s="55">
        <f>IF(AQ673="7",BH673,0)</f>
        <v>0</v>
      </c>
      <c r="AE673" s="55">
        <f>IF(AQ673="7",BI673,0)</f>
        <v>0</v>
      </c>
      <c r="AF673" s="55">
        <f>IF(AQ673="2",BH673,0)</f>
        <v>0</v>
      </c>
      <c r="AG673" s="55">
        <f>IF(AQ673="2",BI673,0)</f>
        <v>0</v>
      </c>
      <c r="AH673" s="55">
        <f>IF(AQ673="0",BJ673,0)</f>
        <v>0</v>
      </c>
      <c r="AI673" s="34" t="s">
        <v>116</v>
      </c>
      <c r="AJ673" s="63">
        <f>IF(AN673=0,I673,0)</f>
        <v>0</v>
      </c>
      <c r="AK673" s="63">
        <f>IF(AN673=12,I673,0)</f>
        <v>0</v>
      </c>
      <c r="AL673" s="63">
        <f>IF(AN673=21,I673,0)</f>
        <v>0</v>
      </c>
      <c r="AN673" s="55">
        <v>21</v>
      </c>
      <c r="AO673" s="55">
        <f>H673*1</f>
        <v>0</v>
      </c>
      <c r="AP673" s="55">
        <f>H673*(1-1)</f>
        <v>0</v>
      </c>
      <c r="AQ673" s="66" t="s">
        <v>125</v>
      </c>
      <c r="AV673" s="55">
        <f>AW673+AX673</f>
        <v>0</v>
      </c>
      <c r="AW673" s="55">
        <f>G673*AO673</f>
        <v>0</v>
      </c>
      <c r="AX673" s="55">
        <f>G673*AP673</f>
        <v>0</v>
      </c>
      <c r="AY673" s="58" t="s">
        <v>1312</v>
      </c>
      <c r="AZ673" s="58" t="s">
        <v>1313</v>
      </c>
      <c r="BA673" s="34" t="s">
        <v>128</v>
      </c>
      <c r="BC673" s="55">
        <f>AW673+AX673</f>
        <v>0</v>
      </c>
      <c r="BD673" s="55">
        <f>H673/(100-BE673)*100</f>
        <v>0</v>
      </c>
      <c r="BE673" s="55">
        <v>0</v>
      </c>
      <c r="BF673" s="55">
        <f>K673</f>
        <v>0</v>
      </c>
      <c r="BH673" s="63">
        <f>G673*AO673</f>
        <v>0</v>
      </c>
      <c r="BI673" s="63">
        <f>G673*AP673</f>
        <v>0</v>
      </c>
      <c r="BJ673" s="63">
        <f>G673*H673</f>
        <v>0</v>
      </c>
      <c r="BK673" s="63"/>
      <c r="BL673" s="55">
        <v>720</v>
      </c>
      <c r="BW673" s="55">
        <v>21</v>
      </c>
    </row>
    <row r="674" spans="1:75" ht="13.5" customHeight="1">
      <c r="A674" s="1" t="s">
        <v>1317</v>
      </c>
      <c r="B674" s="2" t="s">
        <v>116</v>
      </c>
      <c r="C674" s="2" t="s">
        <v>364</v>
      </c>
      <c r="D674" s="147" t="s">
        <v>365</v>
      </c>
      <c r="E674" s="148"/>
      <c r="F674" s="2" t="s">
        <v>360</v>
      </c>
      <c r="G674" s="55">
        <f>'Stavební rozpočet-vyplnit'!G674</f>
        <v>6</v>
      </c>
      <c r="H674" s="55">
        <f>'Stavební rozpočet-vyplnit'!H674</f>
        <v>0</v>
      </c>
      <c r="I674" s="55">
        <f>G674*H674</f>
        <v>0</v>
      </c>
      <c r="J674" s="55">
        <f>'Stavební rozpočet-vyplnit'!J674</f>
        <v>0</v>
      </c>
      <c r="K674" s="55">
        <f>G674*J674</f>
        <v>0</v>
      </c>
      <c r="L674" s="57" t="s">
        <v>124</v>
      </c>
      <c r="Z674" s="55">
        <f>IF(AQ674="5",BJ674,0)</f>
        <v>0</v>
      </c>
      <c r="AB674" s="55">
        <f>IF(AQ674="1",BH674,0)</f>
        <v>0</v>
      </c>
      <c r="AC674" s="55">
        <f>IF(AQ674="1",BI674,0)</f>
        <v>0</v>
      </c>
      <c r="AD674" s="55">
        <f>IF(AQ674="7",BH674,0)</f>
        <v>0</v>
      </c>
      <c r="AE674" s="55">
        <f>IF(AQ674="7",BI674,0)</f>
        <v>0</v>
      </c>
      <c r="AF674" s="55">
        <f>IF(AQ674="2",BH674,0)</f>
        <v>0</v>
      </c>
      <c r="AG674" s="55">
        <f>IF(AQ674="2",BI674,0)</f>
        <v>0</v>
      </c>
      <c r="AH674" s="55">
        <f>IF(AQ674="0",BJ674,0)</f>
        <v>0</v>
      </c>
      <c r="AI674" s="34" t="s">
        <v>116</v>
      </c>
      <c r="AJ674" s="55">
        <f>IF(AN674=0,I674,0)</f>
        <v>0</v>
      </c>
      <c r="AK674" s="55">
        <f>IF(AN674=12,I674,0)</f>
        <v>0</v>
      </c>
      <c r="AL674" s="55">
        <f>IF(AN674=21,I674,0)</f>
        <v>0</v>
      </c>
      <c r="AN674" s="55">
        <v>21</v>
      </c>
      <c r="AO674" s="55">
        <f>H674*0</f>
        <v>0</v>
      </c>
      <c r="AP674" s="55">
        <f>H674*(1-0)</f>
        <v>0</v>
      </c>
      <c r="AQ674" s="58" t="s">
        <v>125</v>
      </c>
      <c r="AV674" s="55">
        <f>AW674+AX674</f>
        <v>0</v>
      </c>
      <c r="AW674" s="55">
        <f>G674*AO674</f>
        <v>0</v>
      </c>
      <c r="AX674" s="55">
        <f>G674*AP674</f>
        <v>0</v>
      </c>
      <c r="AY674" s="58" t="s">
        <v>1312</v>
      </c>
      <c r="AZ674" s="58" t="s">
        <v>1313</v>
      </c>
      <c r="BA674" s="34" t="s">
        <v>128</v>
      </c>
      <c r="BC674" s="55">
        <f>AW674+AX674</f>
        <v>0</v>
      </c>
      <c r="BD674" s="55">
        <f>H674/(100-BE674)*100</f>
        <v>0</v>
      </c>
      <c r="BE674" s="55">
        <v>0</v>
      </c>
      <c r="BF674" s="55">
        <f>K674</f>
        <v>0</v>
      </c>
      <c r="BH674" s="55">
        <f>G674*AO674</f>
        <v>0</v>
      </c>
      <c r="BI674" s="55">
        <f>G674*AP674</f>
        <v>0</v>
      </c>
      <c r="BJ674" s="55">
        <f>G674*H674</f>
        <v>0</v>
      </c>
      <c r="BK674" s="55"/>
      <c r="BL674" s="55">
        <v>720</v>
      </c>
      <c r="BW674" s="55">
        <v>21</v>
      </c>
    </row>
    <row r="675" spans="1:75" ht="27" customHeight="1">
      <c r="A675" s="1" t="s">
        <v>1318</v>
      </c>
      <c r="B675" s="2" t="s">
        <v>116</v>
      </c>
      <c r="C675" s="2" t="s">
        <v>1319</v>
      </c>
      <c r="D675" s="147" t="s">
        <v>1320</v>
      </c>
      <c r="E675" s="148"/>
      <c r="F675" s="2" t="s">
        <v>360</v>
      </c>
      <c r="G675" s="55">
        <f>'Stavební rozpočet-vyplnit'!G675</f>
        <v>32</v>
      </c>
      <c r="H675" s="55">
        <f>'Stavební rozpočet-vyplnit'!H675</f>
        <v>0</v>
      </c>
      <c r="I675" s="55">
        <f>G675*H675</f>
        <v>0</v>
      </c>
      <c r="J675" s="55">
        <f>'Stavební rozpočet-vyplnit'!J675</f>
        <v>0</v>
      </c>
      <c r="K675" s="55">
        <f>G675*J675</f>
        <v>0</v>
      </c>
      <c r="L675" s="57" t="s">
        <v>124</v>
      </c>
      <c r="Z675" s="55">
        <f>IF(AQ675="5",BJ675,0)</f>
        <v>0</v>
      </c>
      <c r="AB675" s="55">
        <f>IF(AQ675="1",BH675,0)</f>
        <v>0</v>
      </c>
      <c r="AC675" s="55">
        <f>IF(AQ675="1",BI675,0)</f>
        <v>0</v>
      </c>
      <c r="AD675" s="55">
        <f>IF(AQ675="7",BH675,0)</f>
        <v>0</v>
      </c>
      <c r="AE675" s="55">
        <f>IF(AQ675="7",BI675,0)</f>
        <v>0</v>
      </c>
      <c r="AF675" s="55">
        <f>IF(AQ675="2",BH675,0)</f>
        <v>0</v>
      </c>
      <c r="AG675" s="55">
        <f>IF(AQ675="2",BI675,0)</f>
        <v>0</v>
      </c>
      <c r="AH675" s="55">
        <f>IF(AQ675="0",BJ675,0)</f>
        <v>0</v>
      </c>
      <c r="AI675" s="34" t="s">
        <v>116</v>
      </c>
      <c r="AJ675" s="55">
        <f>IF(AN675=0,I675,0)</f>
        <v>0</v>
      </c>
      <c r="AK675" s="55">
        <f>IF(AN675=12,I675,0)</f>
        <v>0</v>
      </c>
      <c r="AL675" s="55">
        <f>IF(AN675=21,I675,0)</f>
        <v>0</v>
      </c>
      <c r="AN675" s="55">
        <v>21</v>
      </c>
      <c r="AO675" s="55">
        <f>H675*0</f>
        <v>0</v>
      </c>
      <c r="AP675" s="55">
        <f>H675*(1-0)</f>
        <v>0</v>
      </c>
      <c r="AQ675" s="58" t="s">
        <v>125</v>
      </c>
      <c r="AV675" s="55">
        <f>AW675+AX675</f>
        <v>0</v>
      </c>
      <c r="AW675" s="55">
        <f>G675*AO675</f>
        <v>0</v>
      </c>
      <c r="AX675" s="55">
        <f>G675*AP675</f>
        <v>0</v>
      </c>
      <c r="AY675" s="58" t="s">
        <v>1312</v>
      </c>
      <c r="AZ675" s="58" t="s">
        <v>1313</v>
      </c>
      <c r="BA675" s="34" t="s">
        <v>128</v>
      </c>
      <c r="BC675" s="55">
        <f>AW675+AX675</f>
        <v>0</v>
      </c>
      <c r="BD675" s="55">
        <f>H675/(100-BE675)*100</f>
        <v>0</v>
      </c>
      <c r="BE675" s="55">
        <v>0</v>
      </c>
      <c r="BF675" s="55">
        <f>K675</f>
        <v>0</v>
      </c>
      <c r="BH675" s="55">
        <f>G675*AO675</f>
        <v>0</v>
      </c>
      <c r="BI675" s="55">
        <f>G675*AP675</f>
        <v>0</v>
      </c>
      <c r="BJ675" s="55">
        <f>G675*H675</f>
        <v>0</v>
      </c>
      <c r="BK675" s="55"/>
      <c r="BL675" s="55">
        <v>720</v>
      </c>
      <c r="BW675" s="55">
        <v>21</v>
      </c>
    </row>
    <row r="676" spans="1:47" ht="14.4">
      <c r="A676" s="50" t="s">
        <v>4</v>
      </c>
      <c r="B676" s="51" t="s">
        <v>116</v>
      </c>
      <c r="C676" s="51" t="s">
        <v>1321</v>
      </c>
      <c r="D676" s="222" t="s">
        <v>1322</v>
      </c>
      <c r="E676" s="223"/>
      <c r="F676" s="52" t="s">
        <v>79</v>
      </c>
      <c r="G676" s="52" t="s">
        <v>79</v>
      </c>
      <c r="H676" s="52" t="s">
        <v>79</v>
      </c>
      <c r="I676" s="27">
        <f>SUM(I677:I691)</f>
        <v>0</v>
      </c>
      <c r="J676" s="34" t="s">
        <v>4</v>
      </c>
      <c r="K676" s="27">
        <f>SUM(K677:K691)</f>
        <v>0</v>
      </c>
      <c r="L676" s="54" t="s">
        <v>4</v>
      </c>
      <c r="AI676" s="34" t="s">
        <v>116</v>
      </c>
      <c r="AS676" s="27">
        <f>SUM(AJ677:AJ691)</f>
        <v>0</v>
      </c>
      <c r="AT676" s="27">
        <f>SUM(AK677:AK691)</f>
        <v>0</v>
      </c>
      <c r="AU676" s="27">
        <f>SUM(AL677:AL691)</f>
        <v>0</v>
      </c>
    </row>
    <row r="677" spans="1:75" ht="13.5" customHeight="1">
      <c r="A677" s="1" t="s">
        <v>1323</v>
      </c>
      <c r="B677" s="2" t="s">
        <v>116</v>
      </c>
      <c r="C677" s="2" t="s">
        <v>1324</v>
      </c>
      <c r="D677" s="147" t="s">
        <v>1325</v>
      </c>
      <c r="E677" s="148"/>
      <c r="F677" s="2" t="s">
        <v>174</v>
      </c>
      <c r="G677" s="55">
        <f>'Stavební rozpočet-vyplnit'!G677</f>
        <v>30</v>
      </c>
      <c r="H677" s="55">
        <f>'Stavební rozpočet-vyplnit'!H677</f>
        <v>0</v>
      </c>
      <c r="I677" s="55">
        <f aca="true" t="shared" si="90" ref="I677:I691">G677*H677</f>
        <v>0</v>
      </c>
      <c r="J677" s="55">
        <f>'Stavební rozpočet-vyplnit'!J677</f>
        <v>0</v>
      </c>
      <c r="K677" s="55">
        <f aca="true" t="shared" si="91" ref="K677:K691">G677*J677</f>
        <v>0</v>
      </c>
      <c r="L677" s="57" t="s">
        <v>124</v>
      </c>
      <c r="Z677" s="55">
        <f aca="true" t="shared" si="92" ref="Z677:Z691">IF(AQ677="5",BJ677,0)</f>
        <v>0</v>
      </c>
      <c r="AB677" s="55">
        <f aca="true" t="shared" si="93" ref="AB677:AB691">IF(AQ677="1",BH677,0)</f>
        <v>0</v>
      </c>
      <c r="AC677" s="55">
        <f aca="true" t="shared" si="94" ref="AC677:AC691">IF(AQ677="1",BI677,0)</f>
        <v>0</v>
      </c>
      <c r="AD677" s="55">
        <f aca="true" t="shared" si="95" ref="AD677:AD691">IF(AQ677="7",BH677,0)</f>
        <v>0</v>
      </c>
      <c r="AE677" s="55">
        <f aca="true" t="shared" si="96" ref="AE677:AE691">IF(AQ677="7",BI677,0)</f>
        <v>0</v>
      </c>
      <c r="AF677" s="55">
        <f aca="true" t="shared" si="97" ref="AF677:AF691">IF(AQ677="2",BH677,0)</f>
        <v>0</v>
      </c>
      <c r="AG677" s="55">
        <f aca="true" t="shared" si="98" ref="AG677:AG691">IF(AQ677="2",BI677,0)</f>
        <v>0</v>
      </c>
      <c r="AH677" s="55">
        <f aca="true" t="shared" si="99" ref="AH677:AH691">IF(AQ677="0",BJ677,0)</f>
        <v>0</v>
      </c>
      <c r="AI677" s="34" t="s">
        <v>116</v>
      </c>
      <c r="AJ677" s="55">
        <f aca="true" t="shared" si="100" ref="AJ677:AJ691">IF(AN677=0,I677,0)</f>
        <v>0</v>
      </c>
      <c r="AK677" s="55">
        <f aca="true" t="shared" si="101" ref="AK677:AK691">IF(AN677=12,I677,0)</f>
        <v>0</v>
      </c>
      <c r="AL677" s="55">
        <f aca="true" t="shared" si="102" ref="AL677:AL691">IF(AN677=21,I677,0)</f>
        <v>0</v>
      </c>
      <c r="AN677" s="55">
        <v>21</v>
      </c>
      <c r="AO677" s="55">
        <f aca="true" t="shared" si="103" ref="AO677:AO691">H677*0</f>
        <v>0</v>
      </c>
      <c r="AP677" s="55">
        <f aca="true" t="shared" si="104" ref="AP677:AP691">H677*(1-0)</f>
        <v>0</v>
      </c>
      <c r="AQ677" s="58" t="s">
        <v>125</v>
      </c>
      <c r="AV677" s="55">
        <f aca="true" t="shared" si="105" ref="AV677:AV691">AW677+AX677</f>
        <v>0</v>
      </c>
      <c r="AW677" s="55">
        <f aca="true" t="shared" si="106" ref="AW677:AW691">G677*AO677</f>
        <v>0</v>
      </c>
      <c r="AX677" s="55">
        <f aca="true" t="shared" si="107" ref="AX677:AX691">G677*AP677</f>
        <v>0</v>
      </c>
      <c r="AY677" s="58" t="s">
        <v>1326</v>
      </c>
      <c r="AZ677" s="58" t="s">
        <v>1313</v>
      </c>
      <c r="BA677" s="34" t="s">
        <v>128</v>
      </c>
      <c r="BC677" s="55">
        <f aca="true" t="shared" si="108" ref="BC677:BC691">AW677+AX677</f>
        <v>0</v>
      </c>
      <c r="BD677" s="55">
        <f aca="true" t="shared" si="109" ref="BD677:BD691">H677/(100-BE677)*100</f>
        <v>0</v>
      </c>
      <c r="BE677" s="55">
        <v>0</v>
      </c>
      <c r="BF677" s="55">
        <f aca="true" t="shared" si="110" ref="BF677:BF691">K677</f>
        <v>0</v>
      </c>
      <c r="BH677" s="55">
        <f aca="true" t="shared" si="111" ref="BH677:BH691">G677*AO677</f>
        <v>0</v>
      </c>
      <c r="BI677" s="55">
        <f aca="true" t="shared" si="112" ref="BI677:BI691">G677*AP677</f>
        <v>0</v>
      </c>
      <c r="BJ677" s="55">
        <f aca="true" t="shared" si="113" ref="BJ677:BJ691">G677*H677</f>
        <v>0</v>
      </c>
      <c r="BK677" s="55"/>
      <c r="BL677" s="55">
        <v>721</v>
      </c>
      <c r="BW677" s="55">
        <v>21</v>
      </c>
    </row>
    <row r="678" spans="1:75" ht="13.5" customHeight="1">
      <c r="A678" s="1" t="s">
        <v>1327</v>
      </c>
      <c r="B678" s="2" t="s">
        <v>116</v>
      </c>
      <c r="C678" s="2" t="s">
        <v>1328</v>
      </c>
      <c r="D678" s="147" t="s">
        <v>1329</v>
      </c>
      <c r="E678" s="148"/>
      <c r="F678" s="2" t="s">
        <v>174</v>
      </c>
      <c r="G678" s="55">
        <f>'Stavební rozpočet-vyplnit'!G678</f>
        <v>40</v>
      </c>
      <c r="H678" s="55">
        <f>'Stavební rozpočet-vyplnit'!H678</f>
        <v>0</v>
      </c>
      <c r="I678" s="55">
        <f t="shared" si="90"/>
        <v>0</v>
      </c>
      <c r="J678" s="55">
        <f>'Stavební rozpočet-vyplnit'!J678</f>
        <v>0</v>
      </c>
      <c r="K678" s="55">
        <f t="shared" si="91"/>
        <v>0</v>
      </c>
      <c r="L678" s="57" t="s">
        <v>124</v>
      </c>
      <c r="Z678" s="55">
        <f t="shared" si="92"/>
        <v>0</v>
      </c>
      <c r="AB678" s="55">
        <f t="shared" si="93"/>
        <v>0</v>
      </c>
      <c r="AC678" s="55">
        <f t="shared" si="94"/>
        <v>0</v>
      </c>
      <c r="AD678" s="55">
        <f t="shared" si="95"/>
        <v>0</v>
      </c>
      <c r="AE678" s="55">
        <f t="shared" si="96"/>
        <v>0</v>
      </c>
      <c r="AF678" s="55">
        <f t="shared" si="97"/>
        <v>0</v>
      </c>
      <c r="AG678" s="55">
        <f t="shared" si="98"/>
        <v>0</v>
      </c>
      <c r="AH678" s="55">
        <f t="shared" si="99"/>
        <v>0</v>
      </c>
      <c r="AI678" s="34" t="s">
        <v>116</v>
      </c>
      <c r="AJ678" s="55">
        <f t="shared" si="100"/>
        <v>0</v>
      </c>
      <c r="AK678" s="55">
        <f t="shared" si="101"/>
        <v>0</v>
      </c>
      <c r="AL678" s="55">
        <f t="shared" si="102"/>
        <v>0</v>
      </c>
      <c r="AN678" s="55">
        <v>21</v>
      </c>
      <c r="AO678" s="55">
        <f t="shared" si="103"/>
        <v>0</v>
      </c>
      <c r="AP678" s="55">
        <f t="shared" si="104"/>
        <v>0</v>
      </c>
      <c r="AQ678" s="58" t="s">
        <v>125</v>
      </c>
      <c r="AV678" s="55">
        <f t="shared" si="105"/>
        <v>0</v>
      </c>
      <c r="AW678" s="55">
        <f t="shared" si="106"/>
        <v>0</v>
      </c>
      <c r="AX678" s="55">
        <f t="shared" si="107"/>
        <v>0</v>
      </c>
      <c r="AY678" s="58" t="s">
        <v>1326</v>
      </c>
      <c r="AZ678" s="58" t="s">
        <v>1313</v>
      </c>
      <c r="BA678" s="34" t="s">
        <v>128</v>
      </c>
      <c r="BC678" s="55">
        <f t="shared" si="108"/>
        <v>0</v>
      </c>
      <c r="BD678" s="55">
        <f t="shared" si="109"/>
        <v>0</v>
      </c>
      <c r="BE678" s="55">
        <v>0</v>
      </c>
      <c r="BF678" s="55">
        <f t="shared" si="110"/>
        <v>0</v>
      </c>
      <c r="BH678" s="55">
        <f t="shared" si="111"/>
        <v>0</v>
      </c>
      <c r="BI678" s="55">
        <f t="shared" si="112"/>
        <v>0</v>
      </c>
      <c r="BJ678" s="55">
        <f t="shared" si="113"/>
        <v>0</v>
      </c>
      <c r="BK678" s="55"/>
      <c r="BL678" s="55">
        <v>721</v>
      </c>
      <c r="BW678" s="55">
        <v>21</v>
      </c>
    </row>
    <row r="679" spans="1:75" ht="13.5" customHeight="1">
      <c r="A679" s="1" t="s">
        <v>1330</v>
      </c>
      <c r="B679" s="2" t="s">
        <v>116</v>
      </c>
      <c r="C679" s="2" t="s">
        <v>1331</v>
      </c>
      <c r="D679" s="147" t="s">
        <v>1332</v>
      </c>
      <c r="E679" s="148"/>
      <c r="F679" s="2" t="s">
        <v>174</v>
      </c>
      <c r="G679" s="55">
        <f>'Stavební rozpočet-vyplnit'!G679</f>
        <v>35</v>
      </c>
      <c r="H679" s="55">
        <f>'Stavební rozpočet-vyplnit'!H679</f>
        <v>0</v>
      </c>
      <c r="I679" s="55">
        <f t="shared" si="90"/>
        <v>0</v>
      </c>
      <c r="J679" s="55">
        <f>'Stavební rozpočet-vyplnit'!J679</f>
        <v>0</v>
      </c>
      <c r="K679" s="55">
        <f t="shared" si="91"/>
        <v>0</v>
      </c>
      <c r="L679" s="57" t="s">
        <v>124</v>
      </c>
      <c r="Z679" s="55">
        <f t="shared" si="92"/>
        <v>0</v>
      </c>
      <c r="AB679" s="55">
        <f t="shared" si="93"/>
        <v>0</v>
      </c>
      <c r="AC679" s="55">
        <f t="shared" si="94"/>
        <v>0</v>
      </c>
      <c r="AD679" s="55">
        <f t="shared" si="95"/>
        <v>0</v>
      </c>
      <c r="AE679" s="55">
        <f t="shared" si="96"/>
        <v>0</v>
      </c>
      <c r="AF679" s="55">
        <f t="shared" si="97"/>
        <v>0</v>
      </c>
      <c r="AG679" s="55">
        <f t="shared" si="98"/>
        <v>0</v>
      </c>
      <c r="AH679" s="55">
        <f t="shared" si="99"/>
        <v>0</v>
      </c>
      <c r="AI679" s="34" t="s">
        <v>116</v>
      </c>
      <c r="AJ679" s="55">
        <f t="shared" si="100"/>
        <v>0</v>
      </c>
      <c r="AK679" s="55">
        <f t="shared" si="101"/>
        <v>0</v>
      </c>
      <c r="AL679" s="55">
        <f t="shared" si="102"/>
        <v>0</v>
      </c>
      <c r="AN679" s="55">
        <v>21</v>
      </c>
      <c r="AO679" s="55">
        <f t="shared" si="103"/>
        <v>0</v>
      </c>
      <c r="AP679" s="55">
        <f t="shared" si="104"/>
        <v>0</v>
      </c>
      <c r="AQ679" s="58" t="s">
        <v>125</v>
      </c>
      <c r="AV679" s="55">
        <f t="shared" si="105"/>
        <v>0</v>
      </c>
      <c r="AW679" s="55">
        <f t="shared" si="106"/>
        <v>0</v>
      </c>
      <c r="AX679" s="55">
        <f t="shared" si="107"/>
        <v>0</v>
      </c>
      <c r="AY679" s="58" t="s">
        <v>1326</v>
      </c>
      <c r="AZ679" s="58" t="s">
        <v>1313</v>
      </c>
      <c r="BA679" s="34" t="s">
        <v>128</v>
      </c>
      <c r="BC679" s="55">
        <f t="shared" si="108"/>
        <v>0</v>
      </c>
      <c r="BD679" s="55">
        <f t="shared" si="109"/>
        <v>0</v>
      </c>
      <c r="BE679" s="55">
        <v>0</v>
      </c>
      <c r="BF679" s="55">
        <f t="shared" si="110"/>
        <v>0</v>
      </c>
      <c r="BH679" s="55">
        <f t="shared" si="111"/>
        <v>0</v>
      </c>
      <c r="BI679" s="55">
        <f t="shared" si="112"/>
        <v>0</v>
      </c>
      <c r="BJ679" s="55">
        <f t="shared" si="113"/>
        <v>0</v>
      </c>
      <c r="BK679" s="55"/>
      <c r="BL679" s="55">
        <v>721</v>
      </c>
      <c r="BW679" s="55">
        <v>21</v>
      </c>
    </row>
    <row r="680" spans="1:75" ht="13.5" customHeight="1">
      <c r="A680" s="1" t="s">
        <v>1333</v>
      </c>
      <c r="B680" s="2" t="s">
        <v>116</v>
      </c>
      <c r="C680" s="2" t="s">
        <v>1334</v>
      </c>
      <c r="D680" s="147" t="s">
        <v>1335</v>
      </c>
      <c r="E680" s="148"/>
      <c r="F680" s="2" t="s">
        <v>174</v>
      </c>
      <c r="G680" s="55">
        <f>'Stavební rozpočet-vyplnit'!G680</f>
        <v>25</v>
      </c>
      <c r="H680" s="55">
        <f>'Stavební rozpočet-vyplnit'!H680</f>
        <v>0</v>
      </c>
      <c r="I680" s="55">
        <f t="shared" si="90"/>
        <v>0</v>
      </c>
      <c r="J680" s="55">
        <f>'Stavební rozpočet-vyplnit'!J680</f>
        <v>0</v>
      </c>
      <c r="K680" s="55">
        <f t="shared" si="91"/>
        <v>0</v>
      </c>
      <c r="L680" s="57" t="s">
        <v>124</v>
      </c>
      <c r="Z680" s="55">
        <f t="shared" si="92"/>
        <v>0</v>
      </c>
      <c r="AB680" s="55">
        <f t="shared" si="93"/>
        <v>0</v>
      </c>
      <c r="AC680" s="55">
        <f t="shared" si="94"/>
        <v>0</v>
      </c>
      <c r="AD680" s="55">
        <f t="shared" si="95"/>
        <v>0</v>
      </c>
      <c r="AE680" s="55">
        <f t="shared" si="96"/>
        <v>0</v>
      </c>
      <c r="AF680" s="55">
        <f t="shared" si="97"/>
        <v>0</v>
      </c>
      <c r="AG680" s="55">
        <f t="shared" si="98"/>
        <v>0</v>
      </c>
      <c r="AH680" s="55">
        <f t="shared" si="99"/>
        <v>0</v>
      </c>
      <c r="AI680" s="34" t="s">
        <v>116</v>
      </c>
      <c r="AJ680" s="55">
        <f t="shared" si="100"/>
        <v>0</v>
      </c>
      <c r="AK680" s="55">
        <f t="shared" si="101"/>
        <v>0</v>
      </c>
      <c r="AL680" s="55">
        <f t="shared" si="102"/>
        <v>0</v>
      </c>
      <c r="AN680" s="55">
        <v>21</v>
      </c>
      <c r="AO680" s="55">
        <f t="shared" si="103"/>
        <v>0</v>
      </c>
      <c r="AP680" s="55">
        <f t="shared" si="104"/>
        <v>0</v>
      </c>
      <c r="AQ680" s="58" t="s">
        <v>125</v>
      </c>
      <c r="AV680" s="55">
        <f t="shared" si="105"/>
        <v>0</v>
      </c>
      <c r="AW680" s="55">
        <f t="shared" si="106"/>
        <v>0</v>
      </c>
      <c r="AX680" s="55">
        <f t="shared" si="107"/>
        <v>0</v>
      </c>
      <c r="AY680" s="58" t="s">
        <v>1326</v>
      </c>
      <c r="AZ680" s="58" t="s">
        <v>1313</v>
      </c>
      <c r="BA680" s="34" t="s">
        <v>128</v>
      </c>
      <c r="BC680" s="55">
        <f t="shared" si="108"/>
        <v>0</v>
      </c>
      <c r="BD680" s="55">
        <f t="shared" si="109"/>
        <v>0</v>
      </c>
      <c r="BE680" s="55">
        <v>0</v>
      </c>
      <c r="BF680" s="55">
        <f t="shared" si="110"/>
        <v>0</v>
      </c>
      <c r="BH680" s="55">
        <f t="shared" si="111"/>
        <v>0</v>
      </c>
      <c r="BI680" s="55">
        <f t="shared" si="112"/>
        <v>0</v>
      </c>
      <c r="BJ680" s="55">
        <f t="shared" si="113"/>
        <v>0</v>
      </c>
      <c r="BK680" s="55"/>
      <c r="BL680" s="55">
        <v>721</v>
      </c>
      <c r="BW680" s="55">
        <v>21</v>
      </c>
    </row>
    <row r="681" spans="1:75" ht="13.5" customHeight="1">
      <c r="A681" s="1" t="s">
        <v>1336</v>
      </c>
      <c r="B681" s="2" t="s">
        <v>116</v>
      </c>
      <c r="C681" s="2" t="s">
        <v>1337</v>
      </c>
      <c r="D681" s="147" t="s">
        <v>1338</v>
      </c>
      <c r="E681" s="148"/>
      <c r="F681" s="2" t="s">
        <v>174</v>
      </c>
      <c r="G681" s="55">
        <f>'Stavební rozpočet-vyplnit'!G681</f>
        <v>30</v>
      </c>
      <c r="H681" s="55">
        <f>'Stavební rozpočet-vyplnit'!H681</f>
        <v>0</v>
      </c>
      <c r="I681" s="55">
        <f t="shared" si="90"/>
        <v>0</v>
      </c>
      <c r="J681" s="55">
        <f>'Stavební rozpočet-vyplnit'!J681</f>
        <v>0</v>
      </c>
      <c r="K681" s="55">
        <f t="shared" si="91"/>
        <v>0</v>
      </c>
      <c r="L681" s="57" t="s">
        <v>124</v>
      </c>
      <c r="Z681" s="55">
        <f t="shared" si="92"/>
        <v>0</v>
      </c>
      <c r="AB681" s="55">
        <f t="shared" si="93"/>
        <v>0</v>
      </c>
      <c r="AC681" s="55">
        <f t="shared" si="94"/>
        <v>0</v>
      </c>
      <c r="AD681" s="55">
        <f t="shared" si="95"/>
        <v>0</v>
      </c>
      <c r="AE681" s="55">
        <f t="shared" si="96"/>
        <v>0</v>
      </c>
      <c r="AF681" s="55">
        <f t="shared" si="97"/>
        <v>0</v>
      </c>
      <c r="AG681" s="55">
        <f t="shared" si="98"/>
        <v>0</v>
      </c>
      <c r="AH681" s="55">
        <f t="shared" si="99"/>
        <v>0</v>
      </c>
      <c r="AI681" s="34" t="s">
        <v>116</v>
      </c>
      <c r="AJ681" s="55">
        <f t="shared" si="100"/>
        <v>0</v>
      </c>
      <c r="AK681" s="55">
        <f t="shared" si="101"/>
        <v>0</v>
      </c>
      <c r="AL681" s="55">
        <f t="shared" si="102"/>
        <v>0</v>
      </c>
      <c r="AN681" s="55">
        <v>21</v>
      </c>
      <c r="AO681" s="55">
        <f t="shared" si="103"/>
        <v>0</v>
      </c>
      <c r="AP681" s="55">
        <f t="shared" si="104"/>
        <v>0</v>
      </c>
      <c r="AQ681" s="58" t="s">
        <v>125</v>
      </c>
      <c r="AV681" s="55">
        <f t="shared" si="105"/>
        <v>0</v>
      </c>
      <c r="AW681" s="55">
        <f t="shared" si="106"/>
        <v>0</v>
      </c>
      <c r="AX681" s="55">
        <f t="shared" si="107"/>
        <v>0</v>
      </c>
      <c r="AY681" s="58" t="s">
        <v>1326</v>
      </c>
      <c r="AZ681" s="58" t="s">
        <v>1313</v>
      </c>
      <c r="BA681" s="34" t="s">
        <v>128</v>
      </c>
      <c r="BC681" s="55">
        <f t="shared" si="108"/>
        <v>0</v>
      </c>
      <c r="BD681" s="55">
        <f t="shared" si="109"/>
        <v>0</v>
      </c>
      <c r="BE681" s="55">
        <v>0</v>
      </c>
      <c r="BF681" s="55">
        <f t="shared" si="110"/>
        <v>0</v>
      </c>
      <c r="BH681" s="55">
        <f t="shared" si="111"/>
        <v>0</v>
      </c>
      <c r="BI681" s="55">
        <f t="shared" si="112"/>
        <v>0</v>
      </c>
      <c r="BJ681" s="55">
        <f t="shared" si="113"/>
        <v>0</v>
      </c>
      <c r="BK681" s="55"/>
      <c r="BL681" s="55">
        <v>721</v>
      </c>
      <c r="BW681" s="55">
        <v>21</v>
      </c>
    </row>
    <row r="682" spans="1:75" ht="13.5" customHeight="1">
      <c r="A682" s="1" t="s">
        <v>1339</v>
      </c>
      <c r="B682" s="2" t="s">
        <v>116</v>
      </c>
      <c r="C682" s="2" t="s">
        <v>1340</v>
      </c>
      <c r="D682" s="147" t="s">
        <v>1341</v>
      </c>
      <c r="E682" s="148"/>
      <c r="F682" s="2" t="s">
        <v>374</v>
      </c>
      <c r="G682" s="55">
        <f>'Stavební rozpočet-vyplnit'!G682</f>
        <v>16</v>
      </c>
      <c r="H682" s="55">
        <f>'Stavební rozpočet-vyplnit'!H682</f>
        <v>0</v>
      </c>
      <c r="I682" s="55">
        <f t="shared" si="90"/>
        <v>0</v>
      </c>
      <c r="J682" s="55">
        <f>'Stavební rozpočet-vyplnit'!J682</f>
        <v>0</v>
      </c>
      <c r="K682" s="55">
        <f t="shared" si="91"/>
        <v>0</v>
      </c>
      <c r="L682" s="57" t="s">
        <v>124</v>
      </c>
      <c r="Z682" s="55">
        <f t="shared" si="92"/>
        <v>0</v>
      </c>
      <c r="AB682" s="55">
        <f t="shared" si="93"/>
        <v>0</v>
      </c>
      <c r="AC682" s="55">
        <f t="shared" si="94"/>
        <v>0</v>
      </c>
      <c r="AD682" s="55">
        <f t="shared" si="95"/>
        <v>0</v>
      </c>
      <c r="AE682" s="55">
        <f t="shared" si="96"/>
        <v>0</v>
      </c>
      <c r="AF682" s="55">
        <f t="shared" si="97"/>
        <v>0</v>
      </c>
      <c r="AG682" s="55">
        <f t="shared" si="98"/>
        <v>0</v>
      </c>
      <c r="AH682" s="55">
        <f t="shared" si="99"/>
        <v>0</v>
      </c>
      <c r="AI682" s="34" t="s">
        <v>116</v>
      </c>
      <c r="AJ682" s="55">
        <f t="shared" si="100"/>
        <v>0</v>
      </c>
      <c r="AK682" s="55">
        <f t="shared" si="101"/>
        <v>0</v>
      </c>
      <c r="AL682" s="55">
        <f t="shared" si="102"/>
        <v>0</v>
      </c>
      <c r="AN682" s="55">
        <v>21</v>
      </c>
      <c r="AO682" s="55">
        <f t="shared" si="103"/>
        <v>0</v>
      </c>
      <c r="AP682" s="55">
        <f t="shared" si="104"/>
        <v>0</v>
      </c>
      <c r="AQ682" s="58" t="s">
        <v>125</v>
      </c>
      <c r="AV682" s="55">
        <f t="shared" si="105"/>
        <v>0</v>
      </c>
      <c r="AW682" s="55">
        <f t="shared" si="106"/>
        <v>0</v>
      </c>
      <c r="AX682" s="55">
        <f t="shared" si="107"/>
        <v>0</v>
      </c>
      <c r="AY682" s="58" t="s">
        <v>1326</v>
      </c>
      <c r="AZ682" s="58" t="s">
        <v>1313</v>
      </c>
      <c r="BA682" s="34" t="s">
        <v>128</v>
      </c>
      <c r="BC682" s="55">
        <f t="shared" si="108"/>
        <v>0</v>
      </c>
      <c r="BD682" s="55">
        <f t="shared" si="109"/>
        <v>0</v>
      </c>
      <c r="BE682" s="55">
        <v>0</v>
      </c>
      <c r="BF682" s="55">
        <f t="shared" si="110"/>
        <v>0</v>
      </c>
      <c r="BH682" s="55">
        <f t="shared" si="111"/>
        <v>0</v>
      </c>
      <c r="BI682" s="55">
        <f t="shared" si="112"/>
        <v>0</v>
      </c>
      <c r="BJ682" s="55">
        <f t="shared" si="113"/>
        <v>0</v>
      </c>
      <c r="BK682" s="55"/>
      <c r="BL682" s="55">
        <v>721</v>
      </c>
      <c r="BW682" s="55">
        <v>21</v>
      </c>
    </row>
    <row r="683" spans="1:75" ht="13.5" customHeight="1">
      <c r="A683" s="1" t="s">
        <v>1342</v>
      </c>
      <c r="B683" s="2" t="s">
        <v>116</v>
      </c>
      <c r="C683" s="2" t="s">
        <v>1343</v>
      </c>
      <c r="D683" s="147" t="s">
        <v>1344</v>
      </c>
      <c r="E683" s="148"/>
      <c r="F683" s="2" t="s">
        <v>374</v>
      </c>
      <c r="G683" s="55">
        <f>'Stavební rozpočet-vyplnit'!G683</f>
        <v>6</v>
      </c>
      <c r="H683" s="55">
        <f>'Stavební rozpočet-vyplnit'!H683</f>
        <v>0</v>
      </c>
      <c r="I683" s="55">
        <f t="shared" si="90"/>
        <v>0</v>
      </c>
      <c r="J683" s="55">
        <f>'Stavební rozpočet-vyplnit'!J683</f>
        <v>0</v>
      </c>
      <c r="K683" s="55">
        <f t="shared" si="91"/>
        <v>0</v>
      </c>
      <c r="L683" s="57" t="s">
        <v>124</v>
      </c>
      <c r="Z683" s="55">
        <f t="shared" si="92"/>
        <v>0</v>
      </c>
      <c r="AB683" s="55">
        <f t="shared" si="93"/>
        <v>0</v>
      </c>
      <c r="AC683" s="55">
        <f t="shared" si="94"/>
        <v>0</v>
      </c>
      <c r="AD683" s="55">
        <f t="shared" si="95"/>
        <v>0</v>
      </c>
      <c r="AE683" s="55">
        <f t="shared" si="96"/>
        <v>0</v>
      </c>
      <c r="AF683" s="55">
        <f t="shared" si="97"/>
        <v>0</v>
      </c>
      <c r="AG683" s="55">
        <f t="shared" si="98"/>
        <v>0</v>
      </c>
      <c r="AH683" s="55">
        <f t="shared" si="99"/>
        <v>0</v>
      </c>
      <c r="AI683" s="34" t="s">
        <v>116</v>
      </c>
      <c r="AJ683" s="55">
        <f t="shared" si="100"/>
        <v>0</v>
      </c>
      <c r="AK683" s="55">
        <f t="shared" si="101"/>
        <v>0</v>
      </c>
      <c r="AL683" s="55">
        <f t="shared" si="102"/>
        <v>0</v>
      </c>
      <c r="AN683" s="55">
        <v>21</v>
      </c>
      <c r="AO683" s="55">
        <f t="shared" si="103"/>
        <v>0</v>
      </c>
      <c r="AP683" s="55">
        <f t="shared" si="104"/>
        <v>0</v>
      </c>
      <c r="AQ683" s="58" t="s">
        <v>125</v>
      </c>
      <c r="AV683" s="55">
        <f t="shared" si="105"/>
        <v>0</v>
      </c>
      <c r="AW683" s="55">
        <f t="shared" si="106"/>
        <v>0</v>
      </c>
      <c r="AX683" s="55">
        <f t="shared" si="107"/>
        <v>0</v>
      </c>
      <c r="AY683" s="58" t="s">
        <v>1326</v>
      </c>
      <c r="AZ683" s="58" t="s">
        <v>1313</v>
      </c>
      <c r="BA683" s="34" t="s">
        <v>128</v>
      </c>
      <c r="BC683" s="55">
        <f t="shared" si="108"/>
        <v>0</v>
      </c>
      <c r="BD683" s="55">
        <f t="shared" si="109"/>
        <v>0</v>
      </c>
      <c r="BE683" s="55">
        <v>0</v>
      </c>
      <c r="BF683" s="55">
        <f t="shared" si="110"/>
        <v>0</v>
      </c>
      <c r="BH683" s="55">
        <f t="shared" si="111"/>
        <v>0</v>
      </c>
      <c r="BI683" s="55">
        <f t="shared" si="112"/>
        <v>0</v>
      </c>
      <c r="BJ683" s="55">
        <f t="shared" si="113"/>
        <v>0</v>
      </c>
      <c r="BK683" s="55"/>
      <c r="BL683" s="55">
        <v>721</v>
      </c>
      <c r="BW683" s="55">
        <v>21</v>
      </c>
    </row>
    <row r="684" spans="1:75" ht="13.5" customHeight="1">
      <c r="A684" s="1" t="s">
        <v>1345</v>
      </c>
      <c r="B684" s="2" t="s">
        <v>116</v>
      </c>
      <c r="C684" s="2" t="s">
        <v>1346</v>
      </c>
      <c r="D684" s="147" t="s">
        <v>1347</v>
      </c>
      <c r="E684" s="148"/>
      <c r="F684" s="2" t="s">
        <v>374</v>
      </c>
      <c r="G684" s="55">
        <f>'Stavební rozpočet-vyplnit'!G684</f>
        <v>5</v>
      </c>
      <c r="H684" s="55">
        <f>'Stavební rozpočet-vyplnit'!H684</f>
        <v>0</v>
      </c>
      <c r="I684" s="55">
        <f t="shared" si="90"/>
        <v>0</v>
      </c>
      <c r="J684" s="55">
        <f>'Stavební rozpočet-vyplnit'!J684</f>
        <v>0</v>
      </c>
      <c r="K684" s="55">
        <f t="shared" si="91"/>
        <v>0</v>
      </c>
      <c r="L684" s="57" t="s">
        <v>124</v>
      </c>
      <c r="Z684" s="55">
        <f t="shared" si="92"/>
        <v>0</v>
      </c>
      <c r="AB684" s="55">
        <f t="shared" si="93"/>
        <v>0</v>
      </c>
      <c r="AC684" s="55">
        <f t="shared" si="94"/>
        <v>0</v>
      </c>
      <c r="AD684" s="55">
        <f t="shared" si="95"/>
        <v>0</v>
      </c>
      <c r="AE684" s="55">
        <f t="shared" si="96"/>
        <v>0</v>
      </c>
      <c r="AF684" s="55">
        <f t="shared" si="97"/>
        <v>0</v>
      </c>
      <c r="AG684" s="55">
        <f t="shared" si="98"/>
        <v>0</v>
      </c>
      <c r="AH684" s="55">
        <f t="shared" si="99"/>
        <v>0</v>
      </c>
      <c r="AI684" s="34" t="s">
        <v>116</v>
      </c>
      <c r="AJ684" s="55">
        <f t="shared" si="100"/>
        <v>0</v>
      </c>
      <c r="AK684" s="55">
        <f t="shared" si="101"/>
        <v>0</v>
      </c>
      <c r="AL684" s="55">
        <f t="shared" si="102"/>
        <v>0</v>
      </c>
      <c r="AN684" s="55">
        <v>21</v>
      </c>
      <c r="AO684" s="55">
        <f t="shared" si="103"/>
        <v>0</v>
      </c>
      <c r="AP684" s="55">
        <f t="shared" si="104"/>
        <v>0</v>
      </c>
      <c r="AQ684" s="58" t="s">
        <v>125</v>
      </c>
      <c r="AV684" s="55">
        <f t="shared" si="105"/>
        <v>0</v>
      </c>
      <c r="AW684" s="55">
        <f t="shared" si="106"/>
        <v>0</v>
      </c>
      <c r="AX684" s="55">
        <f t="shared" si="107"/>
        <v>0</v>
      </c>
      <c r="AY684" s="58" t="s">
        <v>1326</v>
      </c>
      <c r="AZ684" s="58" t="s">
        <v>1313</v>
      </c>
      <c r="BA684" s="34" t="s">
        <v>128</v>
      </c>
      <c r="BC684" s="55">
        <f t="shared" si="108"/>
        <v>0</v>
      </c>
      <c r="BD684" s="55">
        <f t="shared" si="109"/>
        <v>0</v>
      </c>
      <c r="BE684" s="55">
        <v>0</v>
      </c>
      <c r="BF684" s="55">
        <f t="shared" si="110"/>
        <v>0</v>
      </c>
      <c r="BH684" s="55">
        <f t="shared" si="111"/>
        <v>0</v>
      </c>
      <c r="BI684" s="55">
        <f t="shared" si="112"/>
        <v>0</v>
      </c>
      <c r="BJ684" s="55">
        <f t="shared" si="113"/>
        <v>0</v>
      </c>
      <c r="BK684" s="55"/>
      <c r="BL684" s="55">
        <v>721</v>
      </c>
      <c r="BW684" s="55">
        <v>21</v>
      </c>
    </row>
    <row r="685" spans="1:75" ht="13.5" customHeight="1">
      <c r="A685" s="1" t="s">
        <v>1348</v>
      </c>
      <c r="B685" s="2" t="s">
        <v>116</v>
      </c>
      <c r="C685" s="2" t="s">
        <v>1349</v>
      </c>
      <c r="D685" s="147" t="s">
        <v>1350</v>
      </c>
      <c r="E685" s="148"/>
      <c r="F685" s="2" t="s">
        <v>374</v>
      </c>
      <c r="G685" s="55">
        <f>'Stavební rozpočet-vyplnit'!G685</f>
        <v>2</v>
      </c>
      <c r="H685" s="55">
        <f>'Stavební rozpočet-vyplnit'!H685</f>
        <v>0</v>
      </c>
      <c r="I685" s="55">
        <f t="shared" si="90"/>
        <v>0</v>
      </c>
      <c r="J685" s="55">
        <f>'Stavební rozpočet-vyplnit'!J685</f>
        <v>0</v>
      </c>
      <c r="K685" s="55">
        <f t="shared" si="91"/>
        <v>0</v>
      </c>
      <c r="L685" s="57" t="s">
        <v>124</v>
      </c>
      <c r="Z685" s="55">
        <f t="shared" si="92"/>
        <v>0</v>
      </c>
      <c r="AB685" s="55">
        <f t="shared" si="93"/>
        <v>0</v>
      </c>
      <c r="AC685" s="55">
        <f t="shared" si="94"/>
        <v>0</v>
      </c>
      <c r="AD685" s="55">
        <f t="shared" si="95"/>
        <v>0</v>
      </c>
      <c r="AE685" s="55">
        <f t="shared" si="96"/>
        <v>0</v>
      </c>
      <c r="AF685" s="55">
        <f t="shared" si="97"/>
        <v>0</v>
      </c>
      <c r="AG685" s="55">
        <f t="shared" si="98"/>
        <v>0</v>
      </c>
      <c r="AH685" s="55">
        <f t="shared" si="99"/>
        <v>0</v>
      </c>
      <c r="AI685" s="34" t="s">
        <v>116</v>
      </c>
      <c r="AJ685" s="55">
        <f t="shared" si="100"/>
        <v>0</v>
      </c>
      <c r="AK685" s="55">
        <f t="shared" si="101"/>
        <v>0</v>
      </c>
      <c r="AL685" s="55">
        <f t="shared" si="102"/>
        <v>0</v>
      </c>
      <c r="AN685" s="55">
        <v>21</v>
      </c>
      <c r="AO685" s="55">
        <f t="shared" si="103"/>
        <v>0</v>
      </c>
      <c r="AP685" s="55">
        <f t="shared" si="104"/>
        <v>0</v>
      </c>
      <c r="AQ685" s="58" t="s">
        <v>125</v>
      </c>
      <c r="AV685" s="55">
        <f t="shared" si="105"/>
        <v>0</v>
      </c>
      <c r="AW685" s="55">
        <f t="shared" si="106"/>
        <v>0</v>
      </c>
      <c r="AX685" s="55">
        <f t="shared" si="107"/>
        <v>0</v>
      </c>
      <c r="AY685" s="58" t="s">
        <v>1326</v>
      </c>
      <c r="AZ685" s="58" t="s">
        <v>1313</v>
      </c>
      <c r="BA685" s="34" t="s">
        <v>128</v>
      </c>
      <c r="BC685" s="55">
        <f t="shared" si="108"/>
        <v>0</v>
      </c>
      <c r="BD685" s="55">
        <f t="shared" si="109"/>
        <v>0</v>
      </c>
      <c r="BE685" s="55">
        <v>0</v>
      </c>
      <c r="BF685" s="55">
        <f t="shared" si="110"/>
        <v>0</v>
      </c>
      <c r="BH685" s="55">
        <f t="shared" si="111"/>
        <v>0</v>
      </c>
      <c r="BI685" s="55">
        <f t="shared" si="112"/>
        <v>0</v>
      </c>
      <c r="BJ685" s="55">
        <f t="shared" si="113"/>
        <v>0</v>
      </c>
      <c r="BK685" s="55"/>
      <c r="BL685" s="55">
        <v>721</v>
      </c>
      <c r="BW685" s="55">
        <v>21</v>
      </c>
    </row>
    <row r="686" spans="1:75" ht="13.5" customHeight="1">
      <c r="A686" s="1" t="s">
        <v>1351</v>
      </c>
      <c r="B686" s="2" t="s">
        <v>116</v>
      </c>
      <c r="C686" s="2" t="s">
        <v>1352</v>
      </c>
      <c r="D686" s="147" t="s">
        <v>1353</v>
      </c>
      <c r="E686" s="148"/>
      <c r="F686" s="2" t="s">
        <v>374</v>
      </c>
      <c r="G686" s="55">
        <f>'Stavební rozpočet-vyplnit'!G686</f>
        <v>6</v>
      </c>
      <c r="H686" s="55">
        <f>'Stavební rozpočet-vyplnit'!H686</f>
        <v>0</v>
      </c>
      <c r="I686" s="55">
        <f t="shared" si="90"/>
        <v>0</v>
      </c>
      <c r="J686" s="55">
        <f>'Stavební rozpočet-vyplnit'!J686</f>
        <v>0</v>
      </c>
      <c r="K686" s="55">
        <f t="shared" si="91"/>
        <v>0</v>
      </c>
      <c r="L686" s="57" t="s">
        <v>124</v>
      </c>
      <c r="Z686" s="55">
        <f t="shared" si="92"/>
        <v>0</v>
      </c>
      <c r="AB686" s="55">
        <f t="shared" si="93"/>
        <v>0</v>
      </c>
      <c r="AC686" s="55">
        <f t="shared" si="94"/>
        <v>0</v>
      </c>
      <c r="AD686" s="55">
        <f t="shared" si="95"/>
        <v>0</v>
      </c>
      <c r="AE686" s="55">
        <f t="shared" si="96"/>
        <v>0</v>
      </c>
      <c r="AF686" s="55">
        <f t="shared" si="97"/>
        <v>0</v>
      </c>
      <c r="AG686" s="55">
        <f t="shared" si="98"/>
        <v>0</v>
      </c>
      <c r="AH686" s="55">
        <f t="shared" si="99"/>
        <v>0</v>
      </c>
      <c r="AI686" s="34" t="s">
        <v>116</v>
      </c>
      <c r="AJ686" s="55">
        <f t="shared" si="100"/>
        <v>0</v>
      </c>
      <c r="AK686" s="55">
        <f t="shared" si="101"/>
        <v>0</v>
      </c>
      <c r="AL686" s="55">
        <f t="shared" si="102"/>
        <v>0</v>
      </c>
      <c r="AN686" s="55">
        <v>21</v>
      </c>
      <c r="AO686" s="55">
        <f t="shared" si="103"/>
        <v>0</v>
      </c>
      <c r="AP686" s="55">
        <f t="shared" si="104"/>
        <v>0</v>
      </c>
      <c r="AQ686" s="58" t="s">
        <v>125</v>
      </c>
      <c r="AV686" s="55">
        <f t="shared" si="105"/>
        <v>0</v>
      </c>
      <c r="AW686" s="55">
        <f t="shared" si="106"/>
        <v>0</v>
      </c>
      <c r="AX686" s="55">
        <f t="shared" si="107"/>
        <v>0</v>
      </c>
      <c r="AY686" s="58" t="s">
        <v>1326</v>
      </c>
      <c r="AZ686" s="58" t="s">
        <v>1313</v>
      </c>
      <c r="BA686" s="34" t="s">
        <v>128</v>
      </c>
      <c r="BC686" s="55">
        <f t="shared" si="108"/>
        <v>0</v>
      </c>
      <c r="BD686" s="55">
        <f t="shared" si="109"/>
        <v>0</v>
      </c>
      <c r="BE686" s="55">
        <v>0</v>
      </c>
      <c r="BF686" s="55">
        <f t="shared" si="110"/>
        <v>0</v>
      </c>
      <c r="BH686" s="55">
        <f t="shared" si="111"/>
        <v>0</v>
      </c>
      <c r="BI686" s="55">
        <f t="shared" si="112"/>
        <v>0</v>
      </c>
      <c r="BJ686" s="55">
        <f t="shared" si="113"/>
        <v>0</v>
      </c>
      <c r="BK686" s="55"/>
      <c r="BL686" s="55">
        <v>721</v>
      </c>
      <c r="BW686" s="55">
        <v>21</v>
      </c>
    </row>
    <row r="687" spans="1:75" ht="13.5" customHeight="1">
      <c r="A687" s="1" t="s">
        <v>1354</v>
      </c>
      <c r="B687" s="2" t="s">
        <v>116</v>
      </c>
      <c r="C687" s="2" t="s">
        <v>1355</v>
      </c>
      <c r="D687" s="147" t="s">
        <v>1356</v>
      </c>
      <c r="E687" s="148"/>
      <c r="F687" s="2" t="s">
        <v>374</v>
      </c>
      <c r="G687" s="55">
        <f>'Stavební rozpočet-vyplnit'!G687</f>
        <v>6</v>
      </c>
      <c r="H687" s="55">
        <f>'Stavební rozpočet-vyplnit'!H687</f>
        <v>0</v>
      </c>
      <c r="I687" s="55">
        <f t="shared" si="90"/>
        <v>0</v>
      </c>
      <c r="J687" s="55">
        <f>'Stavební rozpočet-vyplnit'!J687</f>
        <v>0</v>
      </c>
      <c r="K687" s="55">
        <f t="shared" si="91"/>
        <v>0</v>
      </c>
      <c r="L687" s="57" t="s">
        <v>124</v>
      </c>
      <c r="Z687" s="55">
        <f t="shared" si="92"/>
        <v>0</v>
      </c>
      <c r="AB687" s="55">
        <f t="shared" si="93"/>
        <v>0</v>
      </c>
      <c r="AC687" s="55">
        <f t="shared" si="94"/>
        <v>0</v>
      </c>
      <c r="AD687" s="55">
        <f t="shared" si="95"/>
        <v>0</v>
      </c>
      <c r="AE687" s="55">
        <f t="shared" si="96"/>
        <v>0</v>
      </c>
      <c r="AF687" s="55">
        <f t="shared" si="97"/>
        <v>0</v>
      </c>
      <c r="AG687" s="55">
        <f t="shared" si="98"/>
        <v>0</v>
      </c>
      <c r="AH687" s="55">
        <f t="shared" si="99"/>
        <v>0</v>
      </c>
      <c r="AI687" s="34" t="s">
        <v>116</v>
      </c>
      <c r="AJ687" s="55">
        <f t="shared" si="100"/>
        <v>0</v>
      </c>
      <c r="AK687" s="55">
        <f t="shared" si="101"/>
        <v>0</v>
      </c>
      <c r="AL687" s="55">
        <f t="shared" si="102"/>
        <v>0</v>
      </c>
      <c r="AN687" s="55">
        <v>21</v>
      </c>
      <c r="AO687" s="55">
        <f t="shared" si="103"/>
        <v>0</v>
      </c>
      <c r="AP687" s="55">
        <f t="shared" si="104"/>
        <v>0</v>
      </c>
      <c r="AQ687" s="58" t="s">
        <v>125</v>
      </c>
      <c r="AV687" s="55">
        <f t="shared" si="105"/>
        <v>0</v>
      </c>
      <c r="AW687" s="55">
        <f t="shared" si="106"/>
        <v>0</v>
      </c>
      <c r="AX687" s="55">
        <f t="shared" si="107"/>
        <v>0</v>
      </c>
      <c r="AY687" s="58" t="s">
        <v>1326</v>
      </c>
      <c r="AZ687" s="58" t="s">
        <v>1313</v>
      </c>
      <c r="BA687" s="34" t="s">
        <v>128</v>
      </c>
      <c r="BC687" s="55">
        <f t="shared" si="108"/>
        <v>0</v>
      </c>
      <c r="BD687" s="55">
        <f t="shared" si="109"/>
        <v>0</v>
      </c>
      <c r="BE687" s="55">
        <v>0</v>
      </c>
      <c r="BF687" s="55">
        <f t="shared" si="110"/>
        <v>0</v>
      </c>
      <c r="BH687" s="55">
        <f t="shared" si="111"/>
        <v>0</v>
      </c>
      <c r="BI687" s="55">
        <f t="shared" si="112"/>
        <v>0</v>
      </c>
      <c r="BJ687" s="55">
        <f t="shared" si="113"/>
        <v>0</v>
      </c>
      <c r="BK687" s="55"/>
      <c r="BL687" s="55">
        <v>721</v>
      </c>
      <c r="BW687" s="55">
        <v>21</v>
      </c>
    </row>
    <row r="688" spans="1:75" ht="13.5" customHeight="1">
      <c r="A688" s="1" t="s">
        <v>1357</v>
      </c>
      <c r="B688" s="2" t="s">
        <v>116</v>
      </c>
      <c r="C688" s="2" t="s">
        <v>1358</v>
      </c>
      <c r="D688" s="147" t="s">
        <v>1359</v>
      </c>
      <c r="E688" s="148"/>
      <c r="F688" s="2" t="s">
        <v>374</v>
      </c>
      <c r="G688" s="55">
        <f>'Stavební rozpočet-vyplnit'!G688</f>
        <v>4</v>
      </c>
      <c r="H688" s="55">
        <f>'Stavební rozpočet-vyplnit'!H688</f>
        <v>0</v>
      </c>
      <c r="I688" s="55">
        <f t="shared" si="90"/>
        <v>0</v>
      </c>
      <c r="J688" s="55">
        <f>'Stavební rozpočet-vyplnit'!J688</f>
        <v>0</v>
      </c>
      <c r="K688" s="55">
        <f t="shared" si="91"/>
        <v>0</v>
      </c>
      <c r="L688" s="57" t="s">
        <v>124</v>
      </c>
      <c r="Z688" s="55">
        <f t="shared" si="92"/>
        <v>0</v>
      </c>
      <c r="AB688" s="55">
        <f t="shared" si="93"/>
        <v>0</v>
      </c>
      <c r="AC688" s="55">
        <f t="shared" si="94"/>
        <v>0</v>
      </c>
      <c r="AD688" s="55">
        <f t="shared" si="95"/>
        <v>0</v>
      </c>
      <c r="AE688" s="55">
        <f t="shared" si="96"/>
        <v>0</v>
      </c>
      <c r="AF688" s="55">
        <f t="shared" si="97"/>
        <v>0</v>
      </c>
      <c r="AG688" s="55">
        <f t="shared" si="98"/>
        <v>0</v>
      </c>
      <c r="AH688" s="55">
        <f t="shared" si="99"/>
        <v>0</v>
      </c>
      <c r="AI688" s="34" t="s">
        <v>116</v>
      </c>
      <c r="AJ688" s="55">
        <f t="shared" si="100"/>
        <v>0</v>
      </c>
      <c r="AK688" s="55">
        <f t="shared" si="101"/>
        <v>0</v>
      </c>
      <c r="AL688" s="55">
        <f t="shared" si="102"/>
        <v>0</v>
      </c>
      <c r="AN688" s="55">
        <v>21</v>
      </c>
      <c r="AO688" s="55">
        <f t="shared" si="103"/>
        <v>0</v>
      </c>
      <c r="AP688" s="55">
        <f t="shared" si="104"/>
        <v>0</v>
      </c>
      <c r="AQ688" s="58" t="s">
        <v>125</v>
      </c>
      <c r="AV688" s="55">
        <f t="shared" si="105"/>
        <v>0</v>
      </c>
      <c r="AW688" s="55">
        <f t="shared" si="106"/>
        <v>0</v>
      </c>
      <c r="AX688" s="55">
        <f t="shared" si="107"/>
        <v>0</v>
      </c>
      <c r="AY688" s="58" t="s">
        <v>1326</v>
      </c>
      <c r="AZ688" s="58" t="s">
        <v>1313</v>
      </c>
      <c r="BA688" s="34" t="s">
        <v>128</v>
      </c>
      <c r="BC688" s="55">
        <f t="shared" si="108"/>
        <v>0</v>
      </c>
      <c r="BD688" s="55">
        <f t="shared" si="109"/>
        <v>0</v>
      </c>
      <c r="BE688" s="55">
        <v>0</v>
      </c>
      <c r="BF688" s="55">
        <f t="shared" si="110"/>
        <v>0</v>
      </c>
      <c r="BH688" s="55">
        <f t="shared" si="111"/>
        <v>0</v>
      </c>
      <c r="BI688" s="55">
        <f t="shared" si="112"/>
        <v>0</v>
      </c>
      <c r="BJ688" s="55">
        <f t="shared" si="113"/>
        <v>0</v>
      </c>
      <c r="BK688" s="55"/>
      <c r="BL688" s="55">
        <v>721</v>
      </c>
      <c r="BW688" s="55">
        <v>21</v>
      </c>
    </row>
    <row r="689" spans="1:75" ht="13.5" customHeight="1">
      <c r="A689" s="1" t="s">
        <v>1360</v>
      </c>
      <c r="B689" s="2" t="s">
        <v>116</v>
      </c>
      <c r="C689" s="2" t="s">
        <v>1361</v>
      </c>
      <c r="D689" s="147" t="s">
        <v>1362</v>
      </c>
      <c r="E689" s="148"/>
      <c r="F689" s="2" t="s">
        <v>374</v>
      </c>
      <c r="G689" s="55">
        <f>'Stavební rozpočet-vyplnit'!G689</f>
        <v>1</v>
      </c>
      <c r="H689" s="55">
        <f>'Stavební rozpočet-vyplnit'!H689</f>
        <v>0</v>
      </c>
      <c r="I689" s="55">
        <f t="shared" si="90"/>
        <v>0</v>
      </c>
      <c r="J689" s="55">
        <f>'Stavební rozpočet-vyplnit'!J689</f>
        <v>0</v>
      </c>
      <c r="K689" s="55">
        <f t="shared" si="91"/>
        <v>0</v>
      </c>
      <c r="L689" s="57" t="s">
        <v>124</v>
      </c>
      <c r="Z689" s="55">
        <f t="shared" si="92"/>
        <v>0</v>
      </c>
      <c r="AB689" s="55">
        <f t="shared" si="93"/>
        <v>0</v>
      </c>
      <c r="AC689" s="55">
        <f t="shared" si="94"/>
        <v>0</v>
      </c>
      <c r="AD689" s="55">
        <f t="shared" si="95"/>
        <v>0</v>
      </c>
      <c r="AE689" s="55">
        <f t="shared" si="96"/>
        <v>0</v>
      </c>
      <c r="AF689" s="55">
        <f t="shared" si="97"/>
        <v>0</v>
      </c>
      <c r="AG689" s="55">
        <f t="shared" si="98"/>
        <v>0</v>
      </c>
      <c r="AH689" s="55">
        <f t="shared" si="99"/>
        <v>0</v>
      </c>
      <c r="AI689" s="34" t="s">
        <v>116</v>
      </c>
      <c r="AJ689" s="55">
        <f t="shared" si="100"/>
        <v>0</v>
      </c>
      <c r="AK689" s="55">
        <f t="shared" si="101"/>
        <v>0</v>
      </c>
      <c r="AL689" s="55">
        <f t="shared" si="102"/>
        <v>0</v>
      </c>
      <c r="AN689" s="55">
        <v>21</v>
      </c>
      <c r="AO689" s="55">
        <f t="shared" si="103"/>
        <v>0</v>
      </c>
      <c r="AP689" s="55">
        <f t="shared" si="104"/>
        <v>0</v>
      </c>
      <c r="AQ689" s="58" t="s">
        <v>125</v>
      </c>
      <c r="AV689" s="55">
        <f t="shared" si="105"/>
        <v>0</v>
      </c>
      <c r="AW689" s="55">
        <f t="shared" si="106"/>
        <v>0</v>
      </c>
      <c r="AX689" s="55">
        <f t="shared" si="107"/>
        <v>0</v>
      </c>
      <c r="AY689" s="58" t="s">
        <v>1326</v>
      </c>
      <c r="AZ689" s="58" t="s">
        <v>1313</v>
      </c>
      <c r="BA689" s="34" t="s">
        <v>128</v>
      </c>
      <c r="BC689" s="55">
        <f t="shared" si="108"/>
        <v>0</v>
      </c>
      <c r="BD689" s="55">
        <f t="shared" si="109"/>
        <v>0</v>
      </c>
      <c r="BE689" s="55">
        <v>0</v>
      </c>
      <c r="BF689" s="55">
        <f t="shared" si="110"/>
        <v>0</v>
      </c>
      <c r="BH689" s="55">
        <f t="shared" si="111"/>
        <v>0</v>
      </c>
      <c r="BI689" s="55">
        <f t="shared" si="112"/>
        <v>0</v>
      </c>
      <c r="BJ689" s="55">
        <f t="shared" si="113"/>
        <v>0</v>
      </c>
      <c r="BK689" s="55"/>
      <c r="BL689" s="55">
        <v>721</v>
      </c>
      <c r="BW689" s="55">
        <v>21</v>
      </c>
    </row>
    <row r="690" spans="1:75" ht="13.5" customHeight="1">
      <c r="A690" s="1" t="s">
        <v>1363</v>
      </c>
      <c r="B690" s="2" t="s">
        <v>116</v>
      </c>
      <c r="C690" s="2" t="s">
        <v>1364</v>
      </c>
      <c r="D690" s="147" t="s">
        <v>1365</v>
      </c>
      <c r="E690" s="148"/>
      <c r="F690" s="2" t="s">
        <v>174</v>
      </c>
      <c r="G690" s="55">
        <f>'Stavební rozpočet-vyplnit'!G690</f>
        <v>160</v>
      </c>
      <c r="H690" s="55">
        <f>'Stavební rozpočet-vyplnit'!H690</f>
        <v>0</v>
      </c>
      <c r="I690" s="55">
        <f t="shared" si="90"/>
        <v>0</v>
      </c>
      <c r="J690" s="55">
        <f>'Stavební rozpočet-vyplnit'!J690</f>
        <v>0</v>
      </c>
      <c r="K690" s="55">
        <f t="shared" si="91"/>
        <v>0</v>
      </c>
      <c r="L690" s="57" t="s">
        <v>124</v>
      </c>
      <c r="Z690" s="55">
        <f t="shared" si="92"/>
        <v>0</v>
      </c>
      <c r="AB690" s="55">
        <f t="shared" si="93"/>
        <v>0</v>
      </c>
      <c r="AC690" s="55">
        <f t="shared" si="94"/>
        <v>0</v>
      </c>
      <c r="AD690" s="55">
        <f t="shared" si="95"/>
        <v>0</v>
      </c>
      <c r="AE690" s="55">
        <f t="shared" si="96"/>
        <v>0</v>
      </c>
      <c r="AF690" s="55">
        <f t="shared" si="97"/>
        <v>0</v>
      </c>
      <c r="AG690" s="55">
        <f t="shared" si="98"/>
        <v>0</v>
      </c>
      <c r="AH690" s="55">
        <f t="shared" si="99"/>
        <v>0</v>
      </c>
      <c r="AI690" s="34" t="s">
        <v>116</v>
      </c>
      <c r="AJ690" s="55">
        <f t="shared" si="100"/>
        <v>0</v>
      </c>
      <c r="AK690" s="55">
        <f t="shared" si="101"/>
        <v>0</v>
      </c>
      <c r="AL690" s="55">
        <f t="shared" si="102"/>
        <v>0</v>
      </c>
      <c r="AN690" s="55">
        <v>21</v>
      </c>
      <c r="AO690" s="55">
        <f t="shared" si="103"/>
        <v>0</v>
      </c>
      <c r="AP690" s="55">
        <f t="shared" si="104"/>
        <v>0</v>
      </c>
      <c r="AQ690" s="58" t="s">
        <v>125</v>
      </c>
      <c r="AV690" s="55">
        <f t="shared" si="105"/>
        <v>0</v>
      </c>
      <c r="AW690" s="55">
        <f t="shared" si="106"/>
        <v>0</v>
      </c>
      <c r="AX690" s="55">
        <f t="shared" si="107"/>
        <v>0</v>
      </c>
      <c r="AY690" s="58" t="s">
        <v>1326</v>
      </c>
      <c r="AZ690" s="58" t="s">
        <v>1313</v>
      </c>
      <c r="BA690" s="34" t="s">
        <v>128</v>
      </c>
      <c r="BC690" s="55">
        <f t="shared" si="108"/>
        <v>0</v>
      </c>
      <c r="BD690" s="55">
        <f t="shared" si="109"/>
        <v>0</v>
      </c>
      <c r="BE690" s="55">
        <v>0</v>
      </c>
      <c r="BF690" s="55">
        <f t="shared" si="110"/>
        <v>0</v>
      </c>
      <c r="BH690" s="55">
        <f t="shared" si="111"/>
        <v>0</v>
      </c>
      <c r="BI690" s="55">
        <f t="shared" si="112"/>
        <v>0</v>
      </c>
      <c r="BJ690" s="55">
        <f t="shared" si="113"/>
        <v>0</v>
      </c>
      <c r="BK690" s="55"/>
      <c r="BL690" s="55">
        <v>721</v>
      </c>
      <c r="BW690" s="55">
        <v>21</v>
      </c>
    </row>
    <row r="691" spans="1:75" ht="13.5" customHeight="1">
      <c r="A691" s="1" t="s">
        <v>1366</v>
      </c>
      <c r="B691" s="2" t="s">
        <v>116</v>
      </c>
      <c r="C691" s="2" t="s">
        <v>1367</v>
      </c>
      <c r="D691" s="147" t="s">
        <v>1368</v>
      </c>
      <c r="E691" s="148"/>
      <c r="F691" s="2" t="s">
        <v>939</v>
      </c>
      <c r="G691" s="55">
        <f>'Stavební rozpočet-vyplnit'!G691</f>
        <v>0.2</v>
      </c>
      <c r="H691" s="55">
        <f>'Stavební rozpočet-vyplnit'!H691</f>
        <v>0</v>
      </c>
      <c r="I691" s="55">
        <f t="shared" si="90"/>
        <v>0</v>
      </c>
      <c r="J691" s="55">
        <f>'Stavební rozpočet-vyplnit'!J691</f>
        <v>0</v>
      </c>
      <c r="K691" s="55">
        <f t="shared" si="91"/>
        <v>0</v>
      </c>
      <c r="L691" s="57" t="s">
        <v>124</v>
      </c>
      <c r="Z691" s="55">
        <f t="shared" si="92"/>
        <v>0</v>
      </c>
      <c r="AB691" s="55">
        <f t="shared" si="93"/>
        <v>0</v>
      </c>
      <c r="AC691" s="55">
        <f t="shared" si="94"/>
        <v>0</v>
      </c>
      <c r="AD691" s="55">
        <f t="shared" si="95"/>
        <v>0</v>
      </c>
      <c r="AE691" s="55">
        <f t="shared" si="96"/>
        <v>0</v>
      </c>
      <c r="AF691" s="55">
        <f t="shared" si="97"/>
        <v>0</v>
      </c>
      <c r="AG691" s="55">
        <f t="shared" si="98"/>
        <v>0</v>
      </c>
      <c r="AH691" s="55">
        <f t="shared" si="99"/>
        <v>0</v>
      </c>
      <c r="AI691" s="34" t="s">
        <v>116</v>
      </c>
      <c r="AJ691" s="55">
        <f t="shared" si="100"/>
        <v>0</v>
      </c>
      <c r="AK691" s="55">
        <f t="shared" si="101"/>
        <v>0</v>
      </c>
      <c r="AL691" s="55">
        <f t="shared" si="102"/>
        <v>0</v>
      </c>
      <c r="AN691" s="55">
        <v>21</v>
      </c>
      <c r="AO691" s="55">
        <f t="shared" si="103"/>
        <v>0</v>
      </c>
      <c r="AP691" s="55">
        <f t="shared" si="104"/>
        <v>0</v>
      </c>
      <c r="AQ691" s="58" t="s">
        <v>139</v>
      </c>
      <c r="AV691" s="55">
        <f t="shared" si="105"/>
        <v>0</v>
      </c>
      <c r="AW691" s="55">
        <f t="shared" si="106"/>
        <v>0</v>
      </c>
      <c r="AX691" s="55">
        <f t="shared" si="107"/>
        <v>0</v>
      </c>
      <c r="AY691" s="58" t="s">
        <v>1326</v>
      </c>
      <c r="AZ691" s="58" t="s">
        <v>1313</v>
      </c>
      <c r="BA691" s="34" t="s">
        <v>128</v>
      </c>
      <c r="BC691" s="55">
        <f t="shared" si="108"/>
        <v>0</v>
      </c>
      <c r="BD691" s="55">
        <f t="shared" si="109"/>
        <v>0</v>
      </c>
      <c r="BE691" s="55">
        <v>0</v>
      </c>
      <c r="BF691" s="55">
        <f t="shared" si="110"/>
        <v>0</v>
      </c>
      <c r="BH691" s="55">
        <f t="shared" si="111"/>
        <v>0</v>
      </c>
      <c r="BI691" s="55">
        <f t="shared" si="112"/>
        <v>0</v>
      </c>
      <c r="BJ691" s="55">
        <f t="shared" si="113"/>
        <v>0</v>
      </c>
      <c r="BK691" s="55"/>
      <c r="BL691" s="55">
        <v>721</v>
      </c>
      <c r="BW691" s="55">
        <v>21</v>
      </c>
    </row>
    <row r="692" spans="1:47" ht="14.4">
      <c r="A692" s="50" t="s">
        <v>4</v>
      </c>
      <c r="B692" s="51" t="s">
        <v>116</v>
      </c>
      <c r="C692" s="51" t="s">
        <v>1369</v>
      </c>
      <c r="D692" s="222" t="s">
        <v>1370</v>
      </c>
      <c r="E692" s="223"/>
      <c r="F692" s="52" t="s">
        <v>79</v>
      </c>
      <c r="G692" s="52" t="s">
        <v>79</v>
      </c>
      <c r="H692" s="52" t="s">
        <v>79</v>
      </c>
      <c r="I692" s="27">
        <f>SUM(I693:I714)</f>
        <v>0</v>
      </c>
      <c r="J692" s="34" t="s">
        <v>4</v>
      </c>
      <c r="K692" s="27">
        <f>SUM(K693:K714)</f>
        <v>0</v>
      </c>
      <c r="L692" s="54" t="s">
        <v>4</v>
      </c>
      <c r="AI692" s="34" t="s">
        <v>116</v>
      </c>
      <c r="AS692" s="27">
        <f>SUM(AJ693:AJ714)</f>
        <v>0</v>
      </c>
      <c r="AT692" s="27">
        <f>SUM(AK693:AK714)</f>
        <v>0</v>
      </c>
      <c r="AU692" s="27">
        <f>SUM(AL693:AL714)</f>
        <v>0</v>
      </c>
    </row>
    <row r="693" spans="1:75" ht="13.5" customHeight="1">
      <c r="A693" s="1" t="s">
        <v>1371</v>
      </c>
      <c r="B693" s="2" t="s">
        <v>116</v>
      </c>
      <c r="C693" s="2" t="s">
        <v>1372</v>
      </c>
      <c r="D693" s="147" t="s">
        <v>1373</v>
      </c>
      <c r="E693" s="148"/>
      <c r="F693" s="2" t="s">
        <v>174</v>
      </c>
      <c r="G693" s="55">
        <f>'Stavební rozpočet-vyplnit'!G693</f>
        <v>10</v>
      </c>
      <c r="H693" s="55">
        <f>'Stavební rozpočet-vyplnit'!H693</f>
        <v>0</v>
      </c>
      <c r="I693" s="55">
        <f aca="true" t="shared" si="114" ref="I693:I714">G693*H693</f>
        <v>0</v>
      </c>
      <c r="J693" s="55">
        <f>'Stavební rozpočet-vyplnit'!J693</f>
        <v>0</v>
      </c>
      <c r="K693" s="55">
        <f aca="true" t="shared" si="115" ref="K693:K714">G693*J693</f>
        <v>0</v>
      </c>
      <c r="L693" s="57" t="s">
        <v>124</v>
      </c>
      <c r="Z693" s="55">
        <f aca="true" t="shared" si="116" ref="Z693:Z714">IF(AQ693="5",BJ693,0)</f>
        <v>0</v>
      </c>
      <c r="AB693" s="55">
        <f aca="true" t="shared" si="117" ref="AB693:AB714">IF(AQ693="1",BH693,0)</f>
        <v>0</v>
      </c>
      <c r="AC693" s="55">
        <f aca="true" t="shared" si="118" ref="AC693:AC714">IF(AQ693="1",BI693,0)</f>
        <v>0</v>
      </c>
      <c r="AD693" s="55">
        <f aca="true" t="shared" si="119" ref="AD693:AD714">IF(AQ693="7",BH693,0)</f>
        <v>0</v>
      </c>
      <c r="AE693" s="55">
        <f aca="true" t="shared" si="120" ref="AE693:AE714">IF(AQ693="7",BI693,0)</f>
        <v>0</v>
      </c>
      <c r="AF693" s="55">
        <f aca="true" t="shared" si="121" ref="AF693:AF714">IF(AQ693="2",BH693,0)</f>
        <v>0</v>
      </c>
      <c r="AG693" s="55">
        <f aca="true" t="shared" si="122" ref="AG693:AG714">IF(AQ693="2",BI693,0)</f>
        <v>0</v>
      </c>
      <c r="AH693" s="55">
        <f aca="true" t="shared" si="123" ref="AH693:AH714">IF(AQ693="0",BJ693,0)</f>
        <v>0</v>
      </c>
      <c r="AI693" s="34" t="s">
        <v>116</v>
      </c>
      <c r="AJ693" s="55">
        <f aca="true" t="shared" si="124" ref="AJ693:AJ714">IF(AN693=0,I693,0)</f>
        <v>0</v>
      </c>
      <c r="AK693" s="55">
        <f aca="true" t="shared" si="125" ref="AK693:AK714">IF(AN693=12,I693,0)</f>
        <v>0</v>
      </c>
      <c r="AL693" s="55">
        <f aca="true" t="shared" si="126" ref="AL693:AL714">IF(AN693=21,I693,0)</f>
        <v>0</v>
      </c>
      <c r="AN693" s="55">
        <v>21</v>
      </c>
      <c r="AO693" s="55">
        <f aca="true" t="shared" si="127" ref="AO693:AO714">H693*0</f>
        <v>0</v>
      </c>
      <c r="AP693" s="55">
        <f aca="true" t="shared" si="128" ref="AP693:AP714">H693*(1-0)</f>
        <v>0</v>
      </c>
      <c r="AQ693" s="58" t="s">
        <v>125</v>
      </c>
      <c r="AV693" s="55">
        <f aca="true" t="shared" si="129" ref="AV693:AV714">AW693+AX693</f>
        <v>0</v>
      </c>
      <c r="AW693" s="55">
        <f aca="true" t="shared" si="130" ref="AW693:AW714">G693*AO693</f>
        <v>0</v>
      </c>
      <c r="AX693" s="55">
        <f aca="true" t="shared" si="131" ref="AX693:AX714">G693*AP693</f>
        <v>0</v>
      </c>
      <c r="AY693" s="58" t="s">
        <v>1374</v>
      </c>
      <c r="AZ693" s="58" t="s">
        <v>1313</v>
      </c>
      <c r="BA693" s="34" t="s">
        <v>128</v>
      </c>
      <c r="BC693" s="55">
        <f aca="true" t="shared" si="132" ref="BC693:BC714">AW693+AX693</f>
        <v>0</v>
      </c>
      <c r="BD693" s="55">
        <f aca="true" t="shared" si="133" ref="BD693:BD714">H693/(100-BE693)*100</f>
        <v>0</v>
      </c>
      <c r="BE693" s="55">
        <v>0</v>
      </c>
      <c r="BF693" s="55">
        <f aca="true" t="shared" si="134" ref="BF693:BF714">K693</f>
        <v>0</v>
      </c>
      <c r="BH693" s="55">
        <f aca="true" t="shared" si="135" ref="BH693:BH714">G693*AO693</f>
        <v>0</v>
      </c>
      <c r="BI693" s="55">
        <f aca="true" t="shared" si="136" ref="BI693:BI714">G693*AP693</f>
        <v>0</v>
      </c>
      <c r="BJ693" s="55">
        <f aca="true" t="shared" si="137" ref="BJ693:BJ714">G693*H693</f>
        <v>0</v>
      </c>
      <c r="BK693" s="55"/>
      <c r="BL693" s="55">
        <v>722</v>
      </c>
      <c r="BW693" s="55">
        <v>21</v>
      </c>
    </row>
    <row r="694" spans="1:75" ht="13.5" customHeight="1">
      <c r="A694" s="1" t="s">
        <v>1375</v>
      </c>
      <c r="B694" s="2" t="s">
        <v>116</v>
      </c>
      <c r="C694" s="2" t="s">
        <v>1376</v>
      </c>
      <c r="D694" s="147" t="s">
        <v>1377</v>
      </c>
      <c r="E694" s="148"/>
      <c r="F694" s="2" t="s">
        <v>174</v>
      </c>
      <c r="G694" s="55">
        <f>'Stavební rozpočet-vyplnit'!G694</f>
        <v>85</v>
      </c>
      <c r="H694" s="55">
        <f>'Stavební rozpočet-vyplnit'!H694</f>
        <v>0</v>
      </c>
      <c r="I694" s="55">
        <f t="shared" si="114"/>
        <v>0</v>
      </c>
      <c r="J694" s="55">
        <f>'Stavební rozpočet-vyplnit'!J694</f>
        <v>0</v>
      </c>
      <c r="K694" s="55">
        <f t="shared" si="115"/>
        <v>0</v>
      </c>
      <c r="L694" s="57" t="s">
        <v>124</v>
      </c>
      <c r="Z694" s="55">
        <f t="shared" si="116"/>
        <v>0</v>
      </c>
      <c r="AB694" s="55">
        <f t="shared" si="117"/>
        <v>0</v>
      </c>
      <c r="AC694" s="55">
        <f t="shared" si="118"/>
        <v>0</v>
      </c>
      <c r="AD694" s="55">
        <f t="shared" si="119"/>
        <v>0</v>
      </c>
      <c r="AE694" s="55">
        <f t="shared" si="120"/>
        <v>0</v>
      </c>
      <c r="AF694" s="55">
        <f t="shared" si="121"/>
        <v>0</v>
      </c>
      <c r="AG694" s="55">
        <f t="shared" si="122"/>
        <v>0</v>
      </c>
      <c r="AH694" s="55">
        <f t="shared" si="123"/>
        <v>0</v>
      </c>
      <c r="AI694" s="34" t="s">
        <v>116</v>
      </c>
      <c r="AJ694" s="55">
        <f t="shared" si="124"/>
        <v>0</v>
      </c>
      <c r="AK694" s="55">
        <f t="shared" si="125"/>
        <v>0</v>
      </c>
      <c r="AL694" s="55">
        <f t="shared" si="126"/>
        <v>0</v>
      </c>
      <c r="AN694" s="55">
        <v>21</v>
      </c>
      <c r="AO694" s="55">
        <f t="shared" si="127"/>
        <v>0</v>
      </c>
      <c r="AP694" s="55">
        <f t="shared" si="128"/>
        <v>0</v>
      </c>
      <c r="AQ694" s="58" t="s">
        <v>125</v>
      </c>
      <c r="AV694" s="55">
        <f t="shared" si="129"/>
        <v>0</v>
      </c>
      <c r="AW694" s="55">
        <f t="shared" si="130"/>
        <v>0</v>
      </c>
      <c r="AX694" s="55">
        <f t="shared" si="131"/>
        <v>0</v>
      </c>
      <c r="AY694" s="58" t="s">
        <v>1374</v>
      </c>
      <c r="AZ694" s="58" t="s">
        <v>1313</v>
      </c>
      <c r="BA694" s="34" t="s">
        <v>128</v>
      </c>
      <c r="BC694" s="55">
        <f t="shared" si="132"/>
        <v>0</v>
      </c>
      <c r="BD694" s="55">
        <f t="shared" si="133"/>
        <v>0</v>
      </c>
      <c r="BE694" s="55">
        <v>0</v>
      </c>
      <c r="BF694" s="55">
        <f t="shared" si="134"/>
        <v>0</v>
      </c>
      <c r="BH694" s="55">
        <f t="shared" si="135"/>
        <v>0</v>
      </c>
      <c r="BI694" s="55">
        <f t="shared" si="136"/>
        <v>0</v>
      </c>
      <c r="BJ694" s="55">
        <f t="shared" si="137"/>
        <v>0</v>
      </c>
      <c r="BK694" s="55"/>
      <c r="BL694" s="55">
        <v>722</v>
      </c>
      <c r="BW694" s="55">
        <v>21</v>
      </c>
    </row>
    <row r="695" spans="1:75" ht="13.5" customHeight="1">
      <c r="A695" s="1" t="s">
        <v>1378</v>
      </c>
      <c r="B695" s="2" t="s">
        <v>116</v>
      </c>
      <c r="C695" s="2" t="s">
        <v>1379</v>
      </c>
      <c r="D695" s="147" t="s">
        <v>1380</v>
      </c>
      <c r="E695" s="148"/>
      <c r="F695" s="2" t="s">
        <v>174</v>
      </c>
      <c r="G695" s="55">
        <f>'Stavební rozpočet-vyplnit'!G695</f>
        <v>55</v>
      </c>
      <c r="H695" s="55">
        <f>'Stavební rozpočet-vyplnit'!H695</f>
        <v>0</v>
      </c>
      <c r="I695" s="55">
        <f t="shared" si="114"/>
        <v>0</v>
      </c>
      <c r="J695" s="55">
        <f>'Stavební rozpočet-vyplnit'!J695</f>
        <v>0</v>
      </c>
      <c r="K695" s="55">
        <f t="shared" si="115"/>
        <v>0</v>
      </c>
      <c r="L695" s="57" t="s">
        <v>124</v>
      </c>
      <c r="Z695" s="55">
        <f t="shared" si="116"/>
        <v>0</v>
      </c>
      <c r="AB695" s="55">
        <f t="shared" si="117"/>
        <v>0</v>
      </c>
      <c r="AC695" s="55">
        <f t="shared" si="118"/>
        <v>0</v>
      </c>
      <c r="AD695" s="55">
        <f t="shared" si="119"/>
        <v>0</v>
      </c>
      <c r="AE695" s="55">
        <f t="shared" si="120"/>
        <v>0</v>
      </c>
      <c r="AF695" s="55">
        <f t="shared" si="121"/>
        <v>0</v>
      </c>
      <c r="AG695" s="55">
        <f t="shared" si="122"/>
        <v>0</v>
      </c>
      <c r="AH695" s="55">
        <f t="shared" si="123"/>
        <v>0</v>
      </c>
      <c r="AI695" s="34" t="s">
        <v>116</v>
      </c>
      <c r="AJ695" s="55">
        <f t="shared" si="124"/>
        <v>0</v>
      </c>
      <c r="AK695" s="55">
        <f t="shared" si="125"/>
        <v>0</v>
      </c>
      <c r="AL695" s="55">
        <f t="shared" si="126"/>
        <v>0</v>
      </c>
      <c r="AN695" s="55">
        <v>21</v>
      </c>
      <c r="AO695" s="55">
        <f t="shared" si="127"/>
        <v>0</v>
      </c>
      <c r="AP695" s="55">
        <f t="shared" si="128"/>
        <v>0</v>
      </c>
      <c r="AQ695" s="58" t="s">
        <v>125</v>
      </c>
      <c r="AV695" s="55">
        <f t="shared" si="129"/>
        <v>0</v>
      </c>
      <c r="AW695" s="55">
        <f t="shared" si="130"/>
        <v>0</v>
      </c>
      <c r="AX695" s="55">
        <f t="shared" si="131"/>
        <v>0</v>
      </c>
      <c r="AY695" s="58" t="s">
        <v>1374</v>
      </c>
      <c r="AZ695" s="58" t="s">
        <v>1313</v>
      </c>
      <c r="BA695" s="34" t="s">
        <v>128</v>
      </c>
      <c r="BC695" s="55">
        <f t="shared" si="132"/>
        <v>0</v>
      </c>
      <c r="BD695" s="55">
        <f t="shared" si="133"/>
        <v>0</v>
      </c>
      <c r="BE695" s="55">
        <v>0</v>
      </c>
      <c r="BF695" s="55">
        <f t="shared" si="134"/>
        <v>0</v>
      </c>
      <c r="BH695" s="55">
        <f t="shared" si="135"/>
        <v>0</v>
      </c>
      <c r="BI695" s="55">
        <f t="shared" si="136"/>
        <v>0</v>
      </c>
      <c r="BJ695" s="55">
        <f t="shared" si="137"/>
        <v>0</v>
      </c>
      <c r="BK695" s="55"/>
      <c r="BL695" s="55">
        <v>722</v>
      </c>
      <c r="BW695" s="55">
        <v>21</v>
      </c>
    </row>
    <row r="696" spans="1:75" ht="13.5" customHeight="1">
      <c r="A696" s="1" t="s">
        <v>1381</v>
      </c>
      <c r="B696" s="2" t="s">
        <v>116</v>
      </c>
      <c r="C696" s="2" t="s">
        <v>1382</v>
      </c>
      <c r="D696" s="147" t="s">
        <v>1383</v>
      </c>
      <c r="E696" s="148"/>
      <c r="F696" s="2" t="s">
        <v>174</v>
      </c>
      <c r="G696" s="55">
        <f>'Stavební rozpočet-vyplnit'!G696</f>
        <v>35</v>
      </c>
      <c r="H696" s="55">
        <f>'Stavební rozpočet-vyplnit'!H696</f>
        <v>0</v>
      </c>
      <c r="I696" s="55">
        <f t="shared" si="114"/>
        <v>0</v>
      </c>
      <c r="J696" s="55">
        <f>'Stavební rozpočet-vyplnit'!J696</f>
        <v>0</v>
      </c>
      <c r="K696" s="55">
        <f t="shared" si="115"/>
        <v>0</v>
      </c>
      <c r="L696" s="57" t="s">
        <v>124</v>
      </c>
      <c r="Z696" s="55">
        <f t="shared" si="116"/>
        <v>0</v>
      </c>
      <c r="AB696" s="55">
        <f t="shared" si="117"/>
        <v>0</v>
      </c>
      <c r="AC696" s="55">
        <f t="shared" si="118"/>
        <v>0</v>
      </c>
      <c r="AD696" s="55">
        <f t="shared" si="119"/>
        <v>0</v>
      </c>
      <c r="AE696" s="55">
        <f t="shared" si="120"/>
        <v>0</v>
      </c>
      <c r="AF696" s="55">
        <f t="shared" si="121"/>
        <v>0</v>
      </c>
      <c r="AG696" s="55">
        <f t="shared" si="122"/>
        <v>0</v>
      </c>
      <c r="AH696" s="55">
        <f t="shared" si="123"/>
        <v>0</v>
      </c>
      <c r="AI696" s="34" t="s">
        <v>116</v>
      </c>
      <c r="AJ696" s="55">
        <f t="shared" si="124"/>
        <v>0</v>
      </c>
      <c r="AK696" s="55">
        <f t="shared" si="125"/>
        <v>0</v>
      </c>
      <c r="AL696" s="55">
        <f t="shared" si="126"/>
        <v>0</v>
      </c>
      <c r="AN696" s="55">
        <v>21</v>
      </c>
      <c r="AO696" s="55">
        <f t="shared" si="127"/>
        <v>0</v>
      </c>
      <c r="AP696" s="55">
        <f t="shared" si="128"/>
        <v>0</v>
      </c>
      <c r="AQ696" s="58" t="s">
        <v>125</v>
      </c>
      <c r="AV696" s="55">
        <f t="shared" si="129"/>
        <v>0</v>
      </c>
      <c r="AW696" s="55">
        <f t="shared" si="130"/>
        <v>0</v>
      </c>
      <c r="AX696" s="55">
        <f t="shared" si="131"/>
        <v>0</v>
      </c>
      <c r="AY696" s="58" t="s">
        <v>1374</v>
      </c>
      <c r="AZ696" s="58" t="s">
        <v>1313</v>
      </c>
      <c r="BA696" s="34" t="s">
        <v>128</v>
      </c>
      <c r="BC696" s="55">
        <f t="shared" si="132"/>
        <v>0</v>
      </c>
      <c r="BD696" s="55">
        <f t="shared" si="133"/>
        <v>0</v>
      </c>
      <c r="BE696" s="55">
        <v>0</v>
      </c>
      <c r="BF696" s="55">
        <f t="shared" si="134"/>
        <v>0</v>
      </c>
      <c r="BH696" s="55">
        <f t="shared" si="135"/>
        <v>0</v>
      </c>
      <c r="BI696" s="55">
        <f t="shared" si="136"/>
        <v>0</v>
      </c>
      <c r="BJ696" s="55">
        <f t="shared" si="137"/>
        <v>0</v>
      </c>
      <c r="BK696" s="55"/>
      <c r="BL696" s="55">
        <v>722</v>
      </c>
      <c r="BW696" s="55">
        <v>21</v>
      </c>
    </row>
    <row r="697" spans="1:75" ht="27" customHeight="1">
      <c r="A697" s="1" t="s">
        <v>1384</v>
      </c>
      <c r="B697" s="2" t="s">
        <v>116</v>
      </c>
      <c r="C697" s="2" t="s">
        <v>1385</v>
      </c>
      <c r="D697" s="147" t="s">
        <v>1386</v>
      </c>
      <c r="E697" s="148"/>
      <c r="F697" s="2" t="s">
        <v>174</v>
      </c>
      <c r="G697" s="55">
        <f>'Stavební rozpočet-vyplnit'!G697</f>
        <v>85</v>
      </c>
      <c r="H697" s="55">
        <f>'Stavební rozpočet-vyplnit'!H697</f>
        <v>0</v>
      </c>
      <c r="I697" s="55">
        <f t="shared" si="114"/>
        <v>0</v>
      </c>
      <c r="J697" s="55">
        <f>'Stavební rozpočet-vyplnit'!J697</f>
        <v>0</v>
      </c>
      <c r="K697" s="55">
        <f t="shared" si="115"/>
        <v>0</v>
      </c>
      <c r="L697" s="57" t="s">
        <v>124</v>
      </c>
      <c r="Z697" s="55">
        <f t="shared" si="116"/>
        <v>0</v>
      </c>
      <c r="AB697" s="55">
        <f t="shared" si="117"/>
        <v>0</v>
      </c>
      <c r="AC697" s="55">
        <f t="shared" si="118"/>
        <v>0</v>
      </c>
      <c r="AD697" s="55">
        <f t="shared" si="119"/>
        <v>0</v>
      </c>
      <c r="AE697" s="55">
        <f t="shared" si="120"/>
        <v>0</v>
      </c>
      <c r="AF697" s="55">
        <f t="shared" si="121"/>
        <v>0</v>
      </c>
      <c r="AG697" s="55">
        <f t="shared" si="122"/>
        <v>0</v>
      </c>
      <c r="AH697" s="55">
        <f t="shared" si="123"/>
        <v>0</v>
      </c>
      <c r="AI697" s="34" t="s">
        <v>116</v>
      </c>
      <c r="AJ697" s="55">
        <f t="shared" si="124"/>
        <v>0</v>
      </c>
      <c r="AK697" s="55">
        <f t="shared" si="125"/>
        <v>0</v>
      </c>
      <c r="AL697" s="55">
        <f t="shared" si="126"/>
        <v>0</v>
      </c>
      <c r="AN697" s="55">
        <v>21</v>
      </c>
      <c r="AO697" s="55">
        <f t="shared" si="127"/>
        <v>0</v>
      </c>
      <c r="AP697" s="55">
        <f t="shared" si="128"/>
        <v>0</v>
      </c>
      <c r="AQ697" s="58" t="s">
        <v>125</v>
      </c>
      <c r="AV697" s="55">
        <f t="shared" si="129"/>
        <v>0</v>
      </c>
      <c r="AW697" s="55">
        <f t="shared" si="130"/>
        <v>0</v>
      </c>
      <c r="AX697" s="55">
        <f t="shared" si="131"/>
        <v>0</v>
      </c>
      <c r="AY697" s="58" t="s">
        <v>1374</v>
      </c>
      <c r="AZ697" s="58" t="s">
        <v>1313</v>
      </c>
      <c r="BA697" s="34" t="s">
        <v>128</v>
      </c>
      <c r="BC697" s="55">
        <f t="shared" si="132"/>
        <v>0</v>
      </c>
      <c r="BD697" s="55">
        <f t="shared" si="133"/>
        <v>0</v>
      </c>
      <c r="BE697" s="55">
        <v>0</v>
      </c>
      <c r="BF697" s="55">
        <f t="shared" si="134"/>
        <v>0</v>
      </c>
      <c r="BH697" s="55">
        <f t="shared" si="135"/>
        <v>0</v>
      </c>
      <c r="BI697" s="55">
        <f t="shared" si="136"/>
        <v>0</v>
      </c>
      <c r="BJ697" s="55">
        <f t="shared" si="137"/>
        <v>0</v>
      </c>
      <c r="BK697" s="55"/>
      <c r="BL697" s="55">
        <v>722</v>
      </c>
      <c r="BW697" s="55">
        <v>21</v>
      </c>
    </row>
    <row r="698" spans="1:75" ht="27" customHeight="1">
      <c r="A698" s="1" t="s">
        <v>1387</v>
      </c>
      <c r="B698" s="2" t="s">
        <v>116</v>
      </c>
      <c r="C698" s="2" t="s">
        <v>1388</v>
      </c>
      <c r="D698" s="147" t="s">
        <v>1389</v>
      </c>
      <c r="E698" s="148"/>
      <c r="F698" s="2" t="s">
        <v>174</v>
      </c>
      <c r="G698" s="55">
        <f>'Stavební rozpočet-vyplnit'!G698</f>
        <v>90</v>
      </c>
      <c r="H698" s="55">
        <f>'Stavební rozpočet-vyplnit'!H698</f>
        <v>0</v>
      </c>
      <c r="I698" s="55">
        <f t="shared" si="114"/>
        <v>0</v>
      </c>
      <c r="J698" s="55">
        <f>'Stavební rozpočet-vyplnit'!J698</f>
        <v>0</v>
      </c>
      <c r="K698" s="55">
        <f t="shared" si="115"/>
        <v>0</v>
      </c>
      <c r="L698" s="57" t="s">
        <v>124</v>
      </c>
      <c r="Z698" s="55">
        <f t="shared" si="116"/>
        <v>0</v>
      </c>
      <c r="AB698" s="55">
        <f t="shared" si="117"/>
        <v>0</v>
      </c>
      <c r="AC698" s="55">
        <f t="shared" si="118"/>
        <v>0</v>
      </c>
      <c r="AD698" s="55">
        <f t="shared" si="119"/>
        <v>0</v>
      </c>
      <c r="AE698" s="55">
        <f t="shared" si="120"/>
        <v>0</v>
      </c>
      <c r="AF698" s="55">
        <f t="shared" si="121"/>
        <v>0</v>
      </c>
      <c r="AG698" s="55">
        <f t="shared" si="122"/>
        <v>0</v>
      </c>
      <c r="AH698" s="55">
        <f t="shared" si="123"/>
        <v>0</v>
      </c>
      <c r="AI698" s="34" t="s">
        <v>116</v>
      </c>
      <c r="AJ698" s="55">
        <f t="shared" si="124"/>
        <v>0</v>
      </c>
      <c r="AK698" s="55">
        <f t="shared" si="125"/>
        <v>0</v>
      </c>
      <c r="AL698" s="55">
        <f t="shared" si="126"/>
        <v>0</v>
      </c>
      <c r="AN698" s="55">
        <v>21</v>
      </c>
      <c r="AO698" s="55">
        <f t="shared" si="127"/>
        <v>0</v>
      </c>
      <c r="AP698" s="55">
        <f t="shared" si="128"/>
        <v>0</v>
      </c>
      <c r="AQ698" s="58" t="s">
        <v>125</v>
      </c>
      <c r="AV698" s="55">
        <f t="shared" si="129"/>
        <v>0</v>
      </c>
      <c r="AW698" s="55">
        <f t="shared" si="130"/>
        <v>0</v>
      </c>
      <c r="AX698" s="55">
        <f t="shared" si="131"/>
        <v>0</v>
      </c>
      <c r="AY698" s="58" t="s">
        <v>1374</v>
      </c>
      <c r="AZ698" s="58" t="s">
        <v>1313</v>
      </c>
      <c r="BA698" s="34" t="s">
        <v>128</v>
      </c>
      <c r="BC698" s="55">
        <f t="shared" si="132"/>
        <v>0</v>
      </c>
      <c r="BD698" s="55">
        <f t="shared" si="133"/>
        <v>0</v>
      </c>
      <c r="BE698" s="55">
        <v>0</v>
      </c>
      <c r="BF698" s="55">
        <f t="shared" si="134"/>
        <v>0</v>
      </c>
      <c r="BH698" s="55">
        <f t="shared" si="135"/>
        <v>0</v>
      </c>
      <c r="BI698" s="55">
        <f t="shared" si="136"/>
        <v>0</v>
      </c>
      <c r="BJ698" s="55">
        <f t="shared" si="137"/>
        <v>0</v>
      </c>
      <c r="BK698" s="55"/>
      <c r="BL698" s="55">
        <v>722</v>
      </c>
      <c r="BW698" s="55">
        <v>21</v>
      </c>
    </row>
    <row r="699" spans="1:75" ht="13.5" customHeight="1">
      <c r="A699" s="1" t="s">
        <v>1390</v>
      </c>
      <c r="B699" s="2" t="s">
        <v>116</v>
      </c>
      <c r="C699" s="2" t="s">
        <v>1391</v>
      </c>
      <c r="D699" s="147" t="s">
        <v>1392</v>
      </c>
      <c r="E699" s="148"/>
      <c r="F699" s="2" t="s">
        <v>374</v>
      </c>
      <c r="G699" s="55">
        <f>'Stavební rozpočet-vyplnit'!G699</f>
        <v>20</v>
      </c>
      <c r="H699" s="55">
        <f>'Stavební rozpočet-vyplnit'!H699</f>
        <v>0</v>
      </c>
      <c r="I699" s="55">
        <f t="shared" si="114"/>
        <v>0</v>
      </c>
      <c r="J699" s="55">
        <f>'Stavební rozpočet-vyplnit'!J699</f>
        <v>0</v>
      </c>
      <c r="K699" s="55">
        <f t="shared" si="115"/>
        <v>0</v>
      </c>
      <c r="L699" s="57" t="s">
        <v>124</v>
      </c>
      <c r="Z699" s="55">
        <f t="shared" si="116"/>
        <v>0</v>
      </c>
      <c r="AB699" s="55">
        <f t="shared" si="117"/>
        <v>0</v>
      </c>
      <c r="AC699" s="55">
        <f t="shared" si="118"/>
        <v>0</v>
      </c>
      <c r="AD699" s="55">
        <f t="shared" si="119"/>
        <v>0</v>
      </c>
      <c r="AE699" s="55">
        <f t="shared" si="120"/>
        <v>0</v>
      </c>
      <c r="AF699" s="55">
        <f t="shared" si="121"/>
        <v>0</v>
      </c>
      <c r="AG699" s="55">
        <f t="shared" si="122"/>
        <v>0</v>
      </c>
      <c r="AH699" s="55">
        <f t="shared" si="123"/>
        <v>0</v>
      </c>
      <c r="AI699" s="34" t="s">
        <v>116</v>
      </c>
      <c r="AJ699" s="55">
        <f t="shared" si="124"/>
        <v>0</v>
      </c>
      <c r="AK699" s="55">
        <f t="shared" si="125"/>
        <v>0</v>
      </c>
      <c r="AL699" s="55">
        <f t="shared" si="126"/>
        <v>0</v>
      </c>
      <c r="AN699" s="55">
        <v>21</v>
      </c>
      <c r="AO699" s="55">
        <f t="shared" si="127"/>
        <v>0</v>
      </c>
      <c r="AP699" s="55">
        <f t="shared" si="128"/>
        <v>0</v>
      </c>
      <c r="AQ699" s="58" t="s">
        <v>125</v>
      </c>
      <c r="AV699" s="55">
        <f t="shared" si="129"/>
        <v>0</v>
      </c>
      <c r="AW699" s="55">
        <f t="shared" si="130"/>
        <v>0</v>
      </c>
      <c r="AX699" s="55">
        <f t="shared" si="131"/>
        <v>0</v>
      </c>
      <c r="AY699" s="58" t="s">
        <v>1374</v>
      </c>
      <c r="AZ699" s="58" t="s">
        <v>1313</v>
      </c>
      <c r="BA699" s="34" t="s">
        <v>128</v>
      </c>
      <c r="BC699" s="55">
        <f t="shared" si="132"/>
        <v>0</v>
      </c>
      <c r="BD699" s="55">
        <f t="shared" si="133"/>
        <v>0</v>
      </c>
      <c r="BE699" s="55">
        <v>0</v>
      </c>
      <c r="BF699" s="55">
        <f t="shared" si="134"/>
        <v>0</v>
      </c>
      <c r="BH699" s="55">
        <f t="shared" si="135"/>
        <v>0</v>
      </c>
      <c r="BI699" s="55">
        <f t="shared" si="136"/>
        <v>0</v>
      </c>
      <c r="BJ699" s="55">
        <f t="shared" si="137"/>
        <v>0</v>
      </c>
      <c r="BK699" s="55"/>
      <c r="BL699" s="55">
        <v>722</v>
      </c>
      <c r="BW699" s="55">
        <v>21</v>
      </c>
    </row>
    <row r="700" spans="1:75" ht="13.5" customHeight="1">
      <c r="A700" s="1" t="s">
        <v>1393</v>
      </c>
      <c r="B700" s="2" t="s">
        <v>116</v>
      </c>
      <c r="C700" s="2" t="s">
        <v>1394</v>
      </c>
      <c r="D700" s="147" t="s">
        <v>1395</v>
      </c>
      <c r="E700" s="148"/>
      <c r="F700" s="2" t="s">
        <v>374</v>
      </c>
      <c r="G700" s="55">
        <f>'Stavební rozpočet-vyplnit'!G700</f>
        <v>16</v>
      </c>
      <c r="H700" s="55">
        <f>'Stavební rozpočet-vyplnit'!H700</f>
        <v>0</v>
      </c>
      <c r="I700" s="55">
        <f t="shared" si="114"/>
        <v>0</v>
      </c>
      <c r="J700" s="55">
        <f>'Stavební rozpočet-vyplnit'!J700</f>
        <v>0</v>
      </c>
      <c r="K700" s="55">
        <f t="shared" si="115"/>
        <v>0</v>
      </c>
      <c r="L700" s="57" t="s">
        <v>124</v>
      </c>
      <c r="Z700" s="55">
        <f t="shared" si="116"/>
        <v>0</v>
      </c>
      <c r="AB700" s="55">
        <f t="shared" si="117"/>
        <v>0</v>
      </c>
      <c r="AC700" s="55">
        <f t="shared" si="118"/>
        <v>0</v>
      </c>
      <c r="AD700" s="55">
        <f t="shared" si="119"/>
        <v>0</v>
      </c>
      <c r="AE700" s="55">
        <f t="shared" si="120"/>
        <v>0</v>
      </c>
      <c r="AF700" s="55">
        <f t="shared" si="121"/>
        <v>0</v>
      </c>
      <c r="AG700" s="55">
        <f t="shared" si="122"/>
        <v>0</v>
      </c>
      <c r="AH700" s="55">
        <f t="shared" si="123"/>
        <v>0</v>
      </c>
      <c r="AI700" s="34" t="s">
        <v>116</v>
      </c>
      <c r="AJ700" s="55">
        <f t="shared" si="124"/>
        <v>0</v>
      </c>
      <c r="AK700" s="55">
        <f t="shared" si="125"/>
        <v>0</v>
      </c>
      <c r="AL700" s="55">
        <f t="shared" si="126"/>
        <v>0</v>
      </c>
      <c r="AN700" s="55">
        <v>21</v>
      </c>
      <c r="AO700" s="55">
        <f t="shared" si="127"/>
        <v>0</v>
      </c>
      <c r="AP700" s="55">
        <f t="shared" si="128"/>
        <v>0</v>
      </c>
      <c r="AQ700" s="58" t="s">
        <v>125</v>
      </c>
      <c r="AV700" s="55">
        <f t="shared" si="129"/>
        <v>0</v>
      </c>
      <c r="AW700" s="55">
        <f t="shared" si="130"/>
        <v>0</v>
      </c>
      <c r="AX700" s="55">
        <f t="shared" si="131"/>
        <v>0</v>
      </c>
      <c r="AY700" s="58" t="s">
        <v>1374</v>
      </c>
      <c r="AZ700" s="58" t="s">
        <v>1313</v>
      </c>
      <c r="BA700" s="34" t="s">
        <v>128</v>
      </c>
      <c r="BC700" s="55">
        <f t="shared" si="132"/>
        <v>0</v>
      </c>
      <c r="BD700" s="55">
        <f t="shared" si="133"/>
        <v>0</v>
      </c>
      <c r="BE700" s="55">
        <v>0</v>
      </c>
      <c r="BF700" s="55">
        <f t="shared" si="134"/>
        <v>0</v>
      </c>
      <c r="BH700" s="55">
        <f t="shared" si="135"/>
        <v>0</v>
      </c>
      <c r="BI700" s="55">
        <f t="shared" si="136"/>
        <v>0</v>
      </c>
      <c r="BJ700" s="55">
        <f t="shared" si="137"/>
        <v>0</v>
      </c>
      <c r="BK700" s="55"/>
      <c r="BL700" s="55">
        <v>722</v>
      </c>
      <c r="BW700" s="55">
        <v>21</v>
      </c>
    </row>
    <row r="701" spans="1:75" ht="13.5" customHeight="1">
      <c r="A701" s="1" t="s">
        <v>1396</v>
      </c>
      <c r="B701" s="2" t="s">
        <v>116</v>
      </c>
      <c r="C701" s="2" t="s">
        <v>1397</v>
      </c>
      <c r="D701" s="147" t="s">
        <v>1398</v>
      </c>
      <c r="E701" s="148"/>
      <c r="F701" s="2" t="s">
        <v>1399</v>
      </c>
      <c r="G701" s="55">
        <f>'Stavební rozpočet-vyplnit'!G701</f>
        <v>2</v>
      </c>
      <c r="H701" s="55">
        <f>'Stavební rozpočet-vyplnit'!H701</f>
        <v>0</v>
      </c>
      <c r="I701" s="55">
        <f t="shared" si="114"/>
        <v>0</v>
      </c>
      <c r="J701" s="55">
        <f>'Stavební rozpočet-vyplnit'!J701</f>
        <v>0</v>
      </c>
      <c r="K701" s="55">
        <f t="shared" si="115"/>
        <v>0</v>
      </c>
      <c r="L701" s="57" t="s">
        <v>124</v>
      </c>
      <c r="Z701" s="55">
        <f t="shared" si="116"/>
        <v>0</v>
      </c>
      <c r="AB701" s="55">
        <f t="shared" si="117"/>
        <v>0</v>
      </c>
      <c r="AC701" s="55">
        <f t="shared" si="118"/>
        <v>0</v>
      </c>
      <c r="AD701" s="55">
        <f t="shared" si="119"/>
        <v>0</v>
      </c>
      <c r="AE701" s="55">
        <f t="shared" si="120"/>
        <v>0</v>
      </c>
      <c r="AF701" s="55">
        <f t="shared" si="121"/>
        <v>0</v>
      </c>
      <c r="AG701" s="55">
        <f t="shared" si="122"/>
        <v>0</v>
      </c>
      <c r="AH701" s="55">
        <f t="shared" si="123"/>
        <v>0</v>
      </c>
      <c r="AI701" s="34" t="s">
        <v>116</v>
      </c>
      <c r="AJ701" s="55">
        <f t="shared" si="124"/>
        <v>0</v>
      </c>
      <c r="AK701" s="55">
        <f t="shared" si="125"/>
        <v>0</v>
      </c>
      <c r="AL701" s="55">
        <f t="shared" si="126"/>
        <v>0</v>
      </c>
      <c r="AN701" s="55">
        <v>21</v>
      </c>
      <c r="AO701" s="55">
        <f t="shared" si="127"/>
        <v>0</v>
      </c>
      <c r="AP701" s="55">
        <f t="shared" si="128"/>
        <v>0</v>
      </c>
      <c r="AQ701" s="58" t="s">
        <v>125</v>
      </c>
      <c r="AV701" s="55">
        <f t="shared" si="129"/>
        <v>0</v>
      </c>
      <c r="AW701" s="55">
        <f t="shared" si="130"/>
        <v>0</v>
      </c>
      <c r="AX701" s="55">
        <f t="shared" si="131"/>
        <v>0</v>
      </c>
      <c r="AY701" s="58" t="s">
        <v>1374</v>
      </c>
      <c r="AZ701" s="58" t="s">
        <v>1313</v>
      </c>
      <c r="BA701" s="34" t="s">
        <v>128</v>
      </c>
      <c r="BC701" s="55">
        <f t="shared" si="132"/>
        <v>0</v>
      </c>
      <c r="BD701" s="55">
        <f t="shared" si="133"/>
        <v>0</v>
      </c>
      <c r="BE701" s="55">
        <v>0</v>
      </c>
      <c r="BF701" s="55">
        <f t="shared" si="134"/>
        <v>0</v>
      </c>
      <c r="BH701" s="55">
        <f t="shared" si="135"/>
        <v>0</v>
      </c>
      <c r="BI701" s="55">
        <f t="shared" si="136"/>
        <v>0</v>
      </c>
      <c r="BJ701" s="55">
        <f t="shared" si="137"/>
        <v>0</v>
      </c>
      <c r="BK701" s="55"/>
      <c r="BL701" s="55">
        <v>722</v>
      </c>
      <c r="BW701" s="55">
        <v>21</v>
      </c>
    </row>
    <row r="702" spans="1:75" ht="13.5" customHeight="1">
      <c r="A702" s="1" t="s">
        <v>1400</v>
      </c>
      <c r="B702" s="2" t="s">
        <v>116</v>
      </c>
      <c r="C702" s="2" t="s">
        <v>1401</v>
      </c>
      <c r="D702" s="147" t="s">
        <v>1402</v>
      </c>
      <c r="E702" s="148"/>
      <c r="F702" s="2" t="s">
        <v>1403</v>
      </c>
      <c r="G702" s="55">
        <f>'Stavební rozpočet-vyplnit'!G702</f>
        <v>16</v>
      </c>
      <c r="H702" s="55">
        <f>'Stavební rozpočet-vyplnit'!H702</f>
        <v>0</v>
      </c>
      <c r="I702" s="55">
        <f t="shared" si="114"/>
        <v>0</v>
      </c>
      <c r="J702" s="55">
        <f>'Stavební rozpočet-vyplnit'!J702</f>
        <v>0</v>
      </c>
      <c r="K702" s="55">
        <f t="shared" si="115"/>
        <v>0</v>
      </c>
      <c r="L702" s="57" t="s">
        <v>124</v>
      </c>
      <c r="Z702" s="55">
        <f t="shared" si="116"/>
        <v>0</v>
      </c>
      <c r="AB702" s="55">
        <f t="shared" si="117"/>
        <v>0</v>
      </c>
      <c r="AC702" s="55">
        <f t="shared" si="118"/>
        <v>0</v>
      </c>
      <c r="AD702" s="55">
        <f t="shared" si="119"/>
        <v>0</v>
      </c>
      <c r="AE702" s="55">
        <f t="shared" si="120"/>
        <v>0</v>
      </c>
      <c r="AF702" s="55">
        <f t="shared" si="121"/>
        <v>0</v>
      </c>
      <c r="AG702" s="55">
        <f t="shared" si="122"/>
        <v>0</v>
      </c>
      <c r="AH702" s="55">
        <f t="shared" si="123"/>
        <v>0</v>
      </c>
      <c r="AI702" s="34" t="s">
        <v>116</v>
      </c>
      <c r="AJ702" s="55">
        <f t="shared" si="124"/>
        <v>0</v>
      </c>
      <c r="AK702" s="55">
        <f t="shared" si="125"/>
        <v>0</v>
      </c>
      <c r="AL702" s="55">
        <f t="shared" si="126"/>
        <v>0</v>
      </c>
      <c r="AN702" s="55">
        <v>21</v>
      </c>
      <c r="AO702" s="55">
        <f t="shared" si="127"/>
        <v>0</v>
      </c>
      <c r="AP702" s="55">
        <f t="shared" si="128"/>
        <v>0</v>
      </c>
      <c r="AQ702" s="58" t="s">
        <v>125</v>
      </c>
      <c r="AV702" s="55">
        <f t="shared" si="129"/>
        <v>0</v>
      </c>
      <c r="AW702" s="55">
        <f t="shared" si="130"/>
        <v>0</v>
      </c>
      <c r="AX702" s="55">
        <f t="shared" si="131"/>
        <v>0</v>
      </c>
      <c r="AY702" s="58" t="s">
        <v>1374</v>
      </c>
      <c r="AZ702" s="58" t="s">
        <v>1313</v>
      </c>
      <c r="BA702" s="34" t="s">
        <v>128</v>
      </c>
      <c r="BC702" s="55">
        <f t="shared" si="132"/>
        <v>0</v>
      </c>
      <c r="BD702" s="55">
        <f t="shared" si="133"/>
        <v>0</v>
      </c>
      <c r="BE702" s="55">
        <v>0</v>
      </c>
      <c r="BF702" s="55">
        <f t="shared" si="134"/>
        <v>0</v>
      </c>
      <c r="BH702" s="55">
        <f t="shared" si="135"/>
        <v>0</v>
      </c>
      <c r="BI702" s="55">
        <f t="shared" si="136"/>
        <v>0</v>
      </c>
      <c r="BJ702" s="55">
        <f t="shared" si="137"/>
        <v>0</v>
      </c>
      <c r="BK702" s="55"/>
      <c r="BL702" s="55">
        <v>722</v>
      </c>
      <c r="BW702" s="55">
        <v>21</v>
      </c>
    </row>
    <row r="703" spans="1:75" ht="13.5" customHeight="1">
      <c r="A703" s="1" t="s">
        <v>1404</v>
      </c>
      <c r="B703" s="2" t="s">
        <v>116</v>
      </c>
      <c r="C703" s="2" t="s">
        <v>1405</v>
      </c>
      <c r="D703" s="147" t="s">
        <v>1406</v>
      </c>
      <c r="E703" s="148"/>
      <c r="F703" s="2" t="s">
        <v>374</v>
      </c>
      <c r="G703" s="55">
        <f>'Stavební rozpočet-vyplnit'!G703</f>
        <v>1</v>
      </c>
      <c r="H703" s="55">
        <f>'Stavební rozpočet-vyplnit'!H703</f>
        <v>0</v>
      </c>
      <c r="I703" s="55">
        <f t="shared" si="114"/>
        <v>0</v>
      </c>
      <c r="J703" s="55">
        <f>'Stavební rozpočet-vyplnit'!J703</f>
        <v>0</v>
      </c>
      <c r="K703" s="55">
        <f t="shared" si="115"/>
        <v>0</v>
      </c>
      <c r="L703" s="57" t="s">
        <v>124</v>
      </c>
      <c r="Z703" s="55">
        <f t="shared" si="116"/>
        <v>0</v>
      </c>
      <c r="AB703" s="55">
        <f t="shared" si="117"/>
        <v>0</v>
      </c>
      <c r="AC703" s="55">
        <f t="shared" si="118"/>
        <v>0</v>
      </c>
      <c r="AD703" s="55">
        <f t="shared" si="119"/>
        <v>0</v>
      </c>
      <c r="AE703" s="55">
        <f t="shared" si="120"/>
        <v>0</v>
      </c>
      <c r="AF703" s="55">
        <f t="shared" si="121"/>
        <v>0</v>
      </c>
      <c r="AG703" s="55">
        <f t="shared" si="122"/>
        <v>0</v>
      </c>
      <c r="AH703" s="55">
        <f t="shared" si="123"/>
        <v>0</v>
      </c>
      <c r="AI703" s="34" t="s">
        <v>116</v>
      </c>
      <c r="AJ703" s="55">
        <f t="shared" si="124"/>
        <v>0</v>
      </c>
      <c r="AK703" s="55">
        <f t="shared" si="125"/>
        <v>0</v>
      </c>
      <c r="AL703" s="55">
        <f t="shared" si="126"/>
        <v>0</v>
      </c>
      <c r="AN703" s="55">
        <v>21</v>
      </c>
      <c r="AO703" s="55">
        <f t="shared" si="127"/>
        <v>0</v>
      </c>
      <c r="AP703" s="55">
        <f t="shared" si="128"/>
        <v>0</v>
      </c>
      <c r="AQ703" s="58" t="s">
        <v>125</v>
      </c>
      <c r="AV703" s="55">
        <f t="shared" si="129"/>
        <v>0</v>
      </c>
      <c r="AW703" s="55">
        <f t="shared" si="130"/>
        <v>0</v>
      </c>
      <c r="AX703" s="55">
        <f t="shared" si="131"/>
        <v>0</v>
      </c>
      <c r="AY703" s="58" t="s">
        <v>1374</v>
      </c>
      <c r="AZ703" s="58" t="s">
        <v>1313</v>
      </c>
      <c r="BA703" s="34" t="s">
        <v>128</v>
      </c>
      <c r="BC703" s="55">
        <f t="shared" si="132"/>
        <v>0</v>
      </c>
      <c r="BD703" s="55">
        <f t="shared" si="133"/>
        <v>0</v>
      </c>
      <c r="BE703" s="55">
        <v>0</v>
      </c>
      <c r="BF703" s="55">
        <f t="shared" si="134"/>
        <v>0</v>
      </c>
      <c r="BH703" s="55">
        <f t="shared" si="135"/>
        <v>0</v>
      </c>
      <c r="BI703" s="55">
        <f t="shared" si="136"/>
        <v>0</v>
      </c>
      <c r="BJ703" s="55">
        <f t="shared" si="137"/>
        <v>0</v>
      </c>
      <c r="BK703" s="55"/>
      <c r="BL703" s="55">
        <v>722</v>
      </c>
      <c r="BW703" s="55">
        <v>21</v>
      </c>
    </row>
    <row r="704" spans="1:75" ht="13.5" customHeight="1">
      <c r="A704" s="1" t="s">
        <v>1407</v>
      </c>
      <c r="B704" s="2" t="s">
        <v>116</v>
      </c>
      <c r="C704" s="2" t="s">
        <v>1408</v>
      </c>
      <c r="D704" s="147" t="s">
        <v>1409</v>
      </c>
      <c r="E704" s="148"/>
      <c r="F704" s="2" t="s">
        <v>374</v>
      </c>
      <c r="G704" s="55">
        <f>'Stavební rozpočet-vyplnit'!G704</f>
        <v>1</v>
      </c>
      <c r="H704" s="55">
        <f>'Stavební rozpočet-vyplnit'!H704</f>
        <v>0</v>
      </c>
      <c r="I704" s="55">
        <f t="shared" si="114"/>
        <v>0</v>
      </c>
      <c r="J704" s="55">
        <f>'Stavební rozpočet-vyplnit'!J704</f>
        <v>0</v>
      </c>
      <c r="K704" s="55">
        <f t="shared" si="115"/>
        <v>0</v>
      </c>
      <c r="L704" s="57" t="s">
        <v>124</v>
      </c>
      <c r="Z704" s="55">
        <f t="shared" si="116"/>
        <v>0</v>
      </c>
      <c r="AB704" s="55">
        <f t="shared" si="117"/>
        <v>0</v>
      </c>
      <c r="AC704" s="55">
        <f t="shared" si="118"/>
        <v>0</v>
      </c>
      <c r="AD704" s="55">
        <f t="shared" si="119"/>
        <v>0</v>
      </c>
      <c r="AE704" s="55">
        <f t="shared" si="120"/>
        <v>0</v>
      </c>
      <c r="AF704" s="55">
        <f t="shared" si="121"/>
        <v>0</v>
      </c>
      <c r="AG704" s="55">
        <f t="shared" si="122"/>
        <v>0</v>
      </c>
      <c r="AH704" s="55">
        <f t="shared" si="123"/>
        <v>0</v>
      </c>
      <c r="AI704" s="34" t="s">
        <v>116</v>
      </c>
      <c r="AJ704" s="55">
        <f t="shared" si="124"/>
        <v>0</v>
      </c>
      <c r="AK704" s="55">
        <f t="shared" si="125"/>
        <v>0</v>
      </c>
      <c r="AL704" s="55">
        <f t="shared" si="126"/>
        <v>0</v>
      </c>
      <c r="AN704" s="55">
        <v>21</v>
      </c>
      <c r="AO704" s="55">
        <f t="shared" si="127"/>
        <v>0</v>
      </c>
      <c r="AP704" s="55">
        <f t="shared" si="128"/>
        <v>0</v>
      </c>
      <c r="AQ704" s="58" t="s">
        <v>125</v>
      </c>
      <c r="AV704" s="55">
        <f t="shared" si="129"/>
        <v>0</v>
      </c>
      <c r="AW704" s="55">
        <f t="shared" si="130"/>
        <v>0</v>
      </c>
      <c r="AX704" s="55">
        <f t="shared" si="131"/>
        <v>0</v>
      </c>
      <c r="AY704" s="58" t="s">
        <v>1374</v>
      </c>
      <c r="AZ704" s="58" t="s">
        <v>1313</v>
      </c>
      <c r="BA704" s="34" t="s">
        <v>128</v>
      </c>
      <c r="BC704" s="55">
        <f t="shared" si="132"/>
        <v>0</v>
      </c>
      <c r="BD704" s="55">
        <f t="shared" si="133"/>
        <v>0</v>
      </c>
      <c r="BE704" s="55">
        <v>0</v>
      </c>
      <c r="BF704" s="55">
        <f t="shared" si="134"/>
        <v>0</v>
      </c>
      <c r="BH704" s="55">
        <f t="shared" si="135"/>
        <v>0</v>
      </c>
      <c r="BI704" s="55">
        <f t="shared" si="136"/>
        <v>0</v>
      </c>
      <c r="BJ704" s="55">
        <f t="shared" si="137"/>
        <v>0</v>
      </c>
      <c r="BK704" s="55"/>
      <c r="BL704" s="55">
        <v>722</v>
      </c>
      <c r="BW704" s="55">
        <v>21</v>
      </c>
    </row>
    <row r="705" spans="1:75" ht="13.5" customHeight="1">
      <c r="A705" s="1" t="s">
        <v>1410</v>
      </c>
      <c r="B705" s="2" t="s">
        <v>116</v>
      </c>
      <c r="C705" s="2" t="s">
        <v>1411</v>
      </c>
      <c r="D705" s="147" t="s">
        <v>1412</v>
      </c>
      <c r="E705" s="148"/>
      <c r="F705" s="2" t="s">
        <v>374</v>
      </c>
      <c r="G705" s="55">
        <f>'Stavební rozpočet-vyplnit'!G705</f>
        <v>1</v>
      </c>
      <c r="H705" s="55">
        <f>'Stavební rozpočet-vyplnit'!H705</f>
        <v>0</v>
      </c>
      <c r="I705" s="55">
        <f t="shared" si="114"/>
        <v>0</v>
      </c>
      <c r="J705" s="55">
        <f>'Stavební rozpočet-vyplnit'!J705</f>
        <v>0</v>
      </c>
      <c r="K705" s="55">
        <f t="shared" si="115"/>
        <v>0</v>
      </c>
      <c r="L705" s="57" t="s">
        <v>124</v>
      </c>
      <c r="Z705" s="55">
        <f t="shared" si="116"/>
        <v>0</v>
      </c>
      <c r="AB705" s="55">
        <f t="shared" si="117"/>
        <v>0</v>
      </c>
      <c r="AC705" s="55">
        <f t="shared" si="118"/>
        <v>0</v>
      </c>
      <c r="AD705" s="55">
        <f t="shared" si="119"/>
        <v>0</v>
      </c>
      <c r="AE705" s="55">
        <f t="shared" si="120"/>
        <v>0</v>
      </c>
      <c r="AF705" s="55">
        <f t="shared" si="121"/>
        <v>0</v>
      </c>
      <c r="AG705" s="55">
        <f t="shared" si="122"/>
        <v>0</v>
      </c>
      <c r="AH705" s="55">
        <f t="shared" si="123"/>
        <v>0</v>
      </c>
      <c r="AI705" s="34" t="s">
        <v>116</v>
      </c>
      <c r="AJ705" s="55">
        <f t="shared" si="124"/>
        <v>0</v>
      </c>
      <c r="AK705" s="55">
        <f t="shared" si="125"/>
        <v>0</v>
      </c>
      <c r="AL705" s="55">
        <f t="shared" si="126"/>
        <v>0</v>
      </c>
      <c r="AN705" s="55">
        <v>21</v>
      </c>
      <c r="AO705" s="55">
        <f t="shared" si="127"/>
        <v>0</v>
      </c>
      <c r="AP705" s="55">
        <f t="shared" si="128"/>
        <v>0</v>
      </c>
      <c r="AQ705" s="58" t="s">
        <v>125</v>
      </c>
      <c r="AV705" s="55">
        <f t="shared" si="129"/>
        <v>0</v>
      </c>
      <c r="AW705" s="55">
        <f t="shared" si="130"/>
        <v>0</v>
      </c>
      <c r="AX705" s="55">
        <f t="shared" si="131"/>
        <v>0</v>
      </c>
      <c r="AY705" s="58" t="s">
        <v>1374</v>
      </c>
      <c r="AZ705" s="58" t="s">
        <v>1313</v>
      </c>
      <c r="BA705" s="34" t="s">
        <v>128</v>
      </c>
      <c r="BC705" s="55">
        <f t="shared" si="132"/>
        <v>0</v>
      </c>
      <c r="BD705" s="55">
        <f t="shared" si="133"/>
        <v>0</v>
      </c>
      <c r="BE705" s="55">
        <v>0</v>
      </c>
      <c r="BF705" s="55">
        <f t="shared" si="134"/>
        <v>0</v>
      </c>
      <c r="BH705" s="55">
        <f t="shared" si="135"/>
        <v>0</v>
      </c>
      <c r="BI705" s="55">
        <f t="shared" si="136"/>
        <v>0</v>
      </c>
      <c r="BJ705" s="55">
        <f t="shared" si="137"/>
        <v>0</v>
      </c>
      <c r="BK705" s="55"/>
      <c r="BL705" s="55">
        <v>722</v>
      </c>
      <c r="BW705" s="55">
        <v>21</v>
      </c>
    </row>
    <row r="706" spans="1:75" ht="13.5" customHeight="1">
      <c r="A706" s="1" t="s">
        <v>1413</v>
      </c>
      <c r="B706" s="2" t="s">
        <v>116</v>
      </c>
      <c r="C706" s="2" t="s">
        <v>1414</v>
      </c>
      <c r="D706" s="147" t="s">
        <v>1415</v>
      </c>
      <c r="E706" s="148"/>
      <c r="F706" s="2" t="s">
        <v>374</v>
      </c>
      <c r="G706" s="55">
        <f>'Stavební rozpočet-vyplnit'!G706</f>
        <v>1</v>
      </c>
      <c r="H706" s="55">
        <f>'Stavební rozpočet-vyplnit'!H706</f>
        <v>0</v>
      </c>
      <c r="I706" s="55">
        <f t="shared" si="114"/>
        <v>0</v>
      </c>
      <c r="J706" s="55">
        <f>'Stavební rozpočet-vyplnit'!J706</f>
        <v>0</v>
      </c>
      <c r="K706" s="55">
        <f t="shared" si="115"/>
        <v>0</v>
      </c>
      <c r="L706" s="57" t="s">
        <v>124</v>
      </c>
      <c r="Z706" s="55">
        <f t="shared" si="116"/>
        <v>0</v>
      </c>
      <c r="AB706" s="55">
        <f t="shared" si="117"/>
        <v>0</v>
      </c>
      <c r="AC706" s="55">
        <f t="shared" si="118"/>
        <v>0</v>
      </c>
      <c r="AD706" s="55">
        <f t="shared" si="119"/>
        <v>0</v>
      </c>
      <c r="AE706" s="55">
        <f t="shared" si="120"/>
        <v>0</v>
      </c>
      <c r="AF706" s="55">
        <f t="shared" si="121"/>
        <v>0</v>
      </c>
      <c r="AG706" s="55">
        <f t="shared" si="122"/>
        <v>0</v>
      </c>
      <c r="AH706" s="55">
        <f t="shared" si="123"/>
        <v>0</v>
      </c>
      <c r="AI706" s="34" t="s">
        <v>116</v>
      </c>
      <c r="AJ706" s="55">
        <f t="shared" si="124"/>
        <v>0</v>
      </c>
      <c r="AK706" s="55">
        <f t="shared" si="125"/>
        <v>0</v>
      </c>
      <c r="AL706" s="55">
        <f t="shared" si="126"/>
        <v>0</v>
      </c>
      <c r="AN706" s="55">
        <v>21</v>
      </c>
      <c r="AO706" s="55">
        <f t="shared" si="127"/>
        <v>0</v>
      </c>
      <c r="AP706" s="55">
        <f t="shared" si="128"/>
        <v>0</v>
      </c>
      <c r="AQ706" s="58" t="s">
        <v>125</v>
      </c>
      <c r="AV706" s="55">
        <f t="shared" si="129"/>
        <v>0</v>
      </c>
      <c r="AW706" s="55">
        <f t="shared" si="130"/>
        <v>0</v>
      </c>
      <c r="AX706" s="55">
        <f t="shared" si="131"/>
        <v>0</v>
      </c>
      <c r="AY706" s="58" t="s">
        <v>1374</v>
      </c>
      <c r="AZ706" s="58" t="s">
        <v>1313</v>
      </c>
      <c r="BA706" s="34" t="s">
        <v>128</v>
      </c>
      <c r="BC706" s="55">
        <f t="shared" si="132"/>
        <v>0</v>
      </c>
      <c r="BD706" s="55">
        <f t="shared" si="133"/>
        <v>0</v>
      </c>
      <c r="BE706" s="55">
        <v>0</v>
      </c>
      <c r="BF706" s="55">
        <f t="shared" si="134"/>
        <v>0</v>
      </c>
      <c r="BH706" s="55">
        <f t="shared" si="135"/>
        <v>0</v>
      </c>
      <c r="BI706" s="55">
        <f t="shared" si="136"/>
        <v>0</v>
      </c>
      <c r="BJ706" s="55">
        <f t="shared" si="137"/>
        <v>0</v>
      </c>
      <c r="BK706" s="55"/>
      <c r="BL706" s="55">
        <v>722</v>
      </c>
      <c r="BW706" s="55">
        <v>21</v>
      </c>
    </row>
    <row r="707" spans="1:75" ht="13.5" customHeight="1">
      <c r="A707" s="1" t="s">
        <v>1416</v>
      </c>
      <c r="B707" s="2" t="s">
        <v>116</v>
      </c>
      <c r="C707" s="2" t="s">
        <v>1417</v>
      </c>
      <c r="D707" s="147" t="s">
        <v>1418</v>
      </c>
      <c r="E707" s="148"/>
      <c r="F707" s="2" t="s">
        <v>374</v>
      </c>
      <c r="G707" s="55">
        <f>'Stavební rozpočet-vyplnit'!G707</f>
        <v>2</v>
      </c>
      <c r="H707" s="55">
        <f>'Stavební rozpočet-vyplnit'!H707</f>
        <v>0</v>
      </c>
      <c r="I707" s="55">
        <f t="shared" si="114"/>
        <v>0</v>
      </c>
      <c r="J707" s="55">
        <f>'Stavební rozpočet-vyplnit'!J707</f>
        <v>0</v>
      </c>
      <c r="K707" s="55">
        <f t="shared" si="115"/>
        <v>0</v>
      </c>
      <c r="L707" s="57" t="s">
        <v>124</v>
      </c>
      <c r="Z707" s="55">
        <f t="shared" si="116"/>
        <v>0</v>
      </c>
      <c r="AB707" s="55">
        <f t="shared" si="117"/>
        <v>0</v>
      </c>
      <c r="AC707" s="55">
        <f t="shared" si="118"/>
        <v>0</v>
      </c>
      <c r="AD707" s="55">
        <f t="shared" si="119"/>
        <v>0</v>
      </c>
      <c r="AE707" s="55">
        <f t="shared" si="120"/>
        <v>0</v>
      </c>
      <c r="AF707" s="55">
        <f t="shared" si="121"/>
        <v>0</v>
      </c>
      <c r="AG707" s="55">
        <f t="shared" si="122"/>
        <v>0</v>
      </c>
      <c r="AH707" s="55">
        <f t="shared" si="123"/>
        <v>0</v>
      </c>
      <c r="AI707" s="34" t="s">
        <v>116</v>
      </c>
      <c r="AJ707" s="55">
        <f t="shared" si="124"/>
        <v>0</v>
      </c>
      <c r="AK707" s="55">
        <f t="shared" si="125"/>
        <v>0</v>
      </c>
      <c r="AL707" s="55">
        <f t="shared" si="126"/>
        <v>0</v>
      </c>
      <c r="AN707" s="55">
        <v>21</v>
      </c>
      <c r="AO707" s="55">
        <f t="shared" si="127"/>
        <v>0</v>
      </c>
      <c r="AP707" s="55">
        <f t="shared" si="128"/>
        <v>0</v>
      </c>
      <c r="AQ707" s="58" t="s">
        <v>125</v>
      </c>
      <c r="AV707" s="55">
        <f t="shared" si="129"/>
        <v>0</v>
      </c>
      <c r="AW707" s="55">
        <f t="shared" si="130"/>
        <v>0</v>
      </c>
      <c r="AX707" s="55">
        <f t="shared" si="131"/>
        <v>0</v>
      </c>
      <c r="AY707" s="58" t="s">
        <v>1374</v>
      </c>
      <c r="AZ707" s="58" t="s">
        <v>1313</v>
      </c>
      <c r="BA707" s="34" t="s">
        <v>128</v>
      </c>
      <c r="BC707" s="55">
        <f t="shared" si="132"/>
        <v>0</v>
      </c>
      <c r="BD707" s="55">
        <f t="shared" si="133"/>
        <v>0</v>
      </c>
      <c r="BE707" s="55">
        <v>0</v>
      </c>
      <c r="BF707" s="55">
        <f t="shared" si="134"/>
        <v>0</v>
      </c>
      <c r="BH707" s="55">
        <f t="shared" si="135"/>
        <v>0</v>
      </c>
      <c r="BI707" s="55">
        <f t="shared" si="136"/>
        <v>0</v>
      </c>
      <c r="BJ707" s="55">
        <f t="shared" si="137"/>
        <v>0</v>
      </c>
      <c r="BK707" s="55"/>
      <c r="BL707" s="55">
        <v>722</v>
      </c>
      <c r="BW707" s="55">
        <v>21</v>
      </c>
    </row>
    <row r="708" spans="1:75" ht="13.5" customHeight="1">
      <c r="A708" s="1" t="s">
        <v>1419</v>
      </c>
      <c r="B708" s="2" t="s">
        <v>116</v>
      </c>
      <c r="C708" s="2" t="s">
        <v>1420</v>
      </c>
      <c r="D708" s="147" t="s">
        <v>1421</v>
      </c>
      <c r="E708" s="148"/>
      <c r="F708" s="2" t="s">
        <v>374</v>
      </c>
      <c r="G708" s="55">
        <f>'Stavební rozpočet-vyplnit'!G708</f>
        <v>3</v>
      </c>
      <c r="H708" s="55">
        <f>'Stavební rozpočet-vyplnit'!H708</f>
        <v>0</v>
      </c>
      <c r="I708" s="55">
        <f t="shared" si="114"/>
        <v>0</v>
      </c>
      <c r="J708" s="55">
        <f>'Stavební rozpočet-vyplnit'!J708</f>
        <v>0</v>
      </c>
      <c r="K708" s="55">
        <f t="shared" si="115"/>
        <v>0</v>
      </c>
      <c r="L708" s="57" t="s">
        <v>124</v>
      </c>
      <c r="Z708" s="55">
        <f t="shared" si="116"/>
        <v>0</v>
      </c>
      <c r="AB708" s="55">
        <f t="shared" si="117"/>
        <v>0</v>
      </c>
      <c r="AC708" s="55">
        <f t="shared" si="118"/>
        <v>0</v>
      </c>
      <c r="AD708" s="55">
        <f t="shared" si="119"/>
        <v>0</v>
      </c>
      <c r="AE708" s="55">
        <f t="shared" si="120"/>
        <v>0</v>
      </c>
      <c r="AF708" s="55">
        <f t="shared" si="121"/>
        <v>0</v>
      </c>
      <c r="AG708" s="55">
        <f t="shared" si="122"/>
        <v>0</v>
      </c>
      <c r="AH708" s="55">
        <f t="shared" si="123"/>
        <v>0</v>
      </c>
      <c r="AI708" s="34" t="s">
        <v>116</v>
      </c>
      <c r="AJ708" s="55">
        <f t="shared" si="124"/>
        <v>0</v>
      </c>
      <c r="AK708" s="55">
        <f t="shared" si="125"/>
        <v>0</v>
      </c>
      <c r="AL708" s="55">
        <f t="shared" si="126"/>
        <v>0</v>
      </c>
      <c r="AN708" s="55">
        <v>21</v>
      </c>
      <c r="AO708" s="55">
        <f t="shared" si="127"/>
        <v>0</v>
      </c>
      <c r="AP708" s="55">
        <f t="shared" si="128"/>
        <v>0</v>
      </c>
      <c r="AQ708" s="58" t="s">
        <v>125</v>
      </c>
      <c r="AV708" s="55">
        <f t="shared" si="129"/>
        <v>0</v>
      </c>
      <c r="AW708" s="55">
        <f t="shared" si="130"/>
        <v>0</v>
      </c>
      <c r="AX708" s="55">
        <f t="shared" si="131"/>
        <v>0</v>
      </c>
      <c r="AY708" s="58" t="s">
        <v>1374</v>
      </c>
      <c r="AZ708" s="58" t="s">
        <v>1313</v>
      </c>
      <c r="BA708" s="34" t="s">
        <v>128</v>
      </c>
      <c r="BC708" s="55">
        <f t="shared" si="132"/>
        <v>0</v>
      </c>
      <c r="BD708" s="55">
        <f t="shared" si="133"/>
        <v>0</v>
      </c>
      <c r="BE708" s="55">
        <v>0</v>
      </c>
      <c r="BF708" s="55">
        <f t="shared" si="134"/>
        <v>0</v>
      </c>
      <c r="BH708" s="55">
        <f t="shared" si="135"/>
        <v>0</v>
      </c>
      <c r="BI708" s="55">
        <f t="shared" si="136"/>
        <v>0</v>
      </c>
      <c r="BJ708" s="55">
        <f t="shared" si="137"/>
        <v>0</v>
      </c>
      <c r="BK708" s="55"/>
      <c r="BL708" s="55">
        <v>722</v>
      </c>
      <c r="BW708" s="55">
        <v>21</v>
      </c>
    </row>
    <row r="709" spans="1:75" ht="13.5" customHeight="1">
      <c r="A709" s="1" t="s">
        <v>1422</v>
      </c>
      <c r="B709" s="2" t="s">
        <v>116</v>
      </c>
      <c r="C709" s="2" t="s">
        <v>1423</v>
      </c>
      <c r="D709" s="147" t="s">
        <v>1424</v>
      </c>
      <c r="E709" s="148"/>
      <c r="F709" s="2" t="s">
        <v>374</v>
      </c>
      <c r="G709" s="55">
        <f>'Stavební rozpočet-vyplnit'!G709</f>
        <v>1</v>
      </c>
      <c r="H709" s="55">
        <f>'Stavební rozpočet-vyplnit'!H709</f>
        <v>0</v>
      </c>
      <c r="I709" s="55">
        <f t="shared" si="114"/>
        <v>0</v>
      </c>
      <c r="J709" s="55">
        <f>'Stavební rozpočet-vyplnit'!J709</f>
        <v>0</v>
      </c>
      <c r="K709" s="55">
        <f t="shared" si="115"/>
        <v>0</v>
      </c>
      <c r="L709" s="57" t="s">
        <v>124</v>
      </c>
      <c r="Z709" s="55">
        <f t="shared" si="116"/>
        <v>0</v>
      </c>
      <c r="AB709" s="55">
        <f t="shared" si="117"/>
        <v>0</v>
      </c>
      <c r="AC709" s="55">
        <f t="shared" si="118"/>
        <v>0</v>
      </c>
      <c r="AD709" s="55">
        <f t="shared" si="119"/>
        <v>0</v>
      </c>
      <c r="AE709" s="55">
        <f t="shared" si="120"/>
        <v>0</v>
      </c>
      <c r="AF709" s="55">
        <f t="shared" si="121"/>
        <v>0</v>
      </c>
      <c r="AG709" s="55">
        <f t="shared" si="122"/>
        <v>0</v>
      </c>
      <c r="AH709" s="55">
        <f t="shared" si="123"/>
        <v>0</v>
      </c>
      <c r="AI709" s="34" t="s">
        <v>116</v>
      </c>
      <c r="AJ709" s="55">
        <f t="shared" si="124"/>
        <v>0</v>
      </c>
      <c r="AK709" s="55">
        <f t="shared" si="125"/>
        <v>0</v>
      </c>
      <c r="AL709" s="55">
        <f t="shared" si="126"/>
        <v>0</v>
      </c>
      <c r="AN709" s="55">
        <v>21</v>
      </c>
      <c r="AO709" s="55">
        <f t="shared" si="127"/>
        <v>0</v>
      </c>
      <c r="AP709" s="55">
        <f t="shared" si="128"/>
        <v>0</v>
      </c>
      <c r="AQ709" s="58" t="s">
        <v>125</v>
      </c>
      <c r="AV709" s="55">
        <f t="shared" si="129"/>
        <v>0</v>
      </c>
      <c r="AW709" s="55">
        <f t="shared" si="130"/>
        <v>0</v>
      </c>
      <c r="AX709" s="55">
        <f t="shared" si="131"/>
        <v>0</v>
      </c>
      <c r="AY709" s="58" t="s">
        <v>1374</v>
      </c>
      <c r="AZ709" s="58" t="s">
        <v>1313</v>
      </c>
      <c r="BA709" s="34" t="s">
        <v>128</v>
      </c>
      <c r="BC709" s="55">
        <f t="shared" si="132"/>
        <v>0</v>
      </c>
      <c r="BD709" s="55">
        <f t="shared" si="133"/>
        <v>0</v>
      </c>
      <c r="BE709" s="55">
        <v>0</v>
      </c>
      <c r="BF709" s="55">
        <f t="shared" si="134"/>
        <v>0</v>
      </c>
      <c r="BH709" s="55">
        <f t="shared" si="135"/>
        <v>0</v>
      </c>
      <c r="BI709" s="55">
        <f t="shared" si="136"/>
        <v>0</v>
      </c>
      <c r="BJ709" s="55">
        <f t="shared" si="137"/>
        <v>0</v>
      </c>
      <c r="BK709" s="55"/>
      <c r="BL709" s="55">
        <v>722</v>
      </c>
      <c r="BW709" s="55">
        <v>21</v>
      </c>
    </row>
    <row r="710" spans="1:75" ht="13.5" customHeight="1">
      <c r="A710" s="1" t="s">
        <v>1425</v>
      </c>
      <c r="B710" s="2" t="s">
        <v>116</v>
      </c>
      <c r="C710" s="2" t="s">
        <v>1426</v>
      </c>
      <c r="D710" s="147" t="s">
        <v>1427</v>
      </c>
      <c r="E710" s="148"/>
      <c r="F710" s="2" t="s">
        <v>1403</v>
      </c>
      <c r="G710" s="55">
        <f>'Stavební rozpočet-vyplnit'!G710</f>
        <v>1</v>
      </c>
      <c r="H710" s="55">
        <f>'Stavební rozpočet-vyplnit'!H710</f>
        <v>0</v>
      </c>
      <c r="I710" s="55">
        <f t="shared" si="114"/>
        <v>0</v>
      </c>
      <c r="J710" s="55">
        <f>'Stavební rozpočet-vyplnit'!J710</f>
        <v>0</v>
      </c>
      <c r="K710" s="55">
        <f t="shared" si="115"/>
        <v>0</v>
      </c>
      <c r="L710" s="57" t="s">
        <v>124</v>
      </c>
      <c r="Z710" s="55">
        <f t="shared" si="116"/>
        <v>0</v>
      </c>
      <c r="AB710" s="55">
        <f t="shared" si="117"/>
        <v>0</v>
      </c>
      <c r="AC710" s="55">
        <f t="shared" si="118"/>
        <v>0</v>
      </c>
      <c r="AD710" s="55">
        <f t="shared" si="119"/>
        <v>0</v>
      </c>
      <c r="AE710" s="55">
        <f t="shared" si="120"/>
        <v>0</v>
      </c>
      <c r="AF710" s="55">
        <f t="shared" si="121"/>
        <v>0</v>
      </c>
      <c r="AG710" s="55">
        <f t="shared" si="122"/>
        <v>0</v>
      </c>
      <c r="AH710" s="55">
        <f t="shared" si="123"/>
        <v>0</v>
      </c>
      <c r="AI710" s="34" t="s">
        <v>116</v>
      </c>
      <c r="AJ710" s="55">
        <f t="shared" si="124"/>
        <v>0</v>
      </c>
      <c r="AK710" s="55">
        <f t="shared" si="125"/>
        <v>0</v>
      </c>
      <c r="AL710" s="55">
        <f t="shared" si="126"/>
        <v>0</v>
      </c>
      <c r="AN710" s="55">
        <v>21</v>
      </c>
      <c r="AO710" s="55">
        <f t="shared" si="127"/>
        <v>0</v>
      </c>
      <c r="AP710" s="55">
        <f t="shared" si="128"/>
        <v>0</v>
      </c>
      <c r="AQ710" s="58" t="s">
        <v>125</v>
      </c>
      <c r="AV710" s="55">
        <f t="shared" si="129"/>
        <v>0</v>
      </c>
      <c r="AW710" s="55">
        <f t="shared" si="130"/>
        <v>0</v>
      </c>
      <c r="AX710" s="55">
        <f t="shared" si="131"/>
        <v>0</v>
      </c>
      <c r="AY710" s="58" t="s">
        <v>1374</v>
      </c>
      <c r="AZ710" s="58" t="s">
        <v>1313</v>
      </c>
      <c r="BA710" s="34" t="s">
        <v>128</v>
      </c>
      <c r="BC710" s="55">
        <f t="shared" si="132"/>
        <v>0</v>
      </c>
      <c r="BD710" s="55">
        <f t="shared" si="133"/>
        <v>0</v>
      </c>
      <c r="BE710" s="55">
        <v>0</v>
      </c>
      <c r="BF710" s="55">
        <f t="shared" si="134"/>
        <v>0</v>
      </c>
      <c r="BH710" s="55">
        <f t="shared" si="135"/>
        <v>0</v>
      </c>
      <c r="BI710" s="55">
        <f t="shared" si="136"/>
        <v>0</v>
      </c>
      <c r="BJ710" s="55">
        <f t="shared" si="137"/>
        <v>0</v>
      </c>
      <c r="BK710" s="55"/>
      <c r="BL710" s="55">
        <v>722</v>
      </c>
      <c r="BW710" s="55">
        <v>21</v>
      </c>
    </row>
    <row r="711" spans="1:75" ht="13.5" customHeight="1">
      <c r="A711" s="1" t="s">
        <v>1428</v>
      </c>
      <c r="B711" s="2" t="s">
        <v>116</v>
      </c>
      <c r="C711" s="2" t="s">
        <v>1429</v>
      </c>
      <c r="D711" s="147" t="s">
        <v>1430</v>
      </c>
      <c r="E711" s="148"/>
      <c r="F711" s="2" t="s">
        <v>1403</v>
      </c>
      <c r="G711" s="55">
        <f>'Stavební rozpočet-vyplnit'!G711</f>
        <v>1</v>
      </c>
      <c r="H711" s="55">
        <f>'Stavební rozpočet-vyplnit'!H711</f>
        <v>0</v>
      </c>
      <c r="I711" s="55">
        <f t="shared" si="114"/>
        <v>0</v>
      </c>
      <c r="J711" s="55">
        <f>'Stavební rozpočet-vyplnit'!J711</f>
        <v>0</v>
      </c>
      <c r="K711" s="55">
        <f t="shared" si="115"/>
        <v>0</v>
      </c>
      <c r="L711" s="57" t="s">
        <v>124</v>
      </c>
      <c r="Z711" s="55">
        <f t="shared" si="116"/>
        <v>0</v>
      </c>
      <c r="AB711" s="55">
        <f t="shared" si="117"/>
        <v>0</v>
      </c>
      <c r="AC711" s="55">
        <f t="shared" si="118"/>
        <v>0</v>
      </c>
      <c r="AD711" s="55">
        <f t="shared" si="119"/>
        <v>0</v>
      </c>
      <c r="AE711" s="55">
        <f t="shared" si="120"/>
        <v>0</v>
      </c>
      <c r="AF711" s="55">
        <f t="shared" si="121"/>
        <v>0</v>
      </c>
      <c r="AG711" s="55">
        <f t="shared" si="122"/>
        <v>0</v>
      </c>
      <c r="AH711" s="55">
        <f t="shared" si="123"/>
        <v>0</v>
      </c>
      <c r="AI711" s="34" t="s">
        <v>116</v>
      </c>
      <c r="AJ711" s="55">
        <f t="shared" si="124"/>
        <v>0</v>
      </c>
      <c r="AK711" s="55">
        <f t="shared" si="125"/>
        <v>0</v>
      </c>
      <c r="AL711" s="55">
        <f t="shared" si="126"/>
        <v>0</v>
      </c>
      <c r="AN711" s="55">
        <v>21</v>
      </c>
      <c r="AO711" s="55">
        <f t="shared" si="127"/>
        <v>0</v>
      </c>
      <c r="AP711" s="55">
        <f t="shared" si="128"/>
        <v>0</v>
      </c>
      <c r="AQ711" s="58" t="s">
        <v>125</v>
      </c>
      <c r="AV711" s="55">
        <f t="shared" si="129"/>
        <v>0</v>
      </c>
      <c r="AW711" s="55">
        <f t="shared" si="130"/>
        <v>0</v>
      </c>
      <c r="AX711" s="55">
        <f t="shared" si="131"/>
        <v>0</v>
      </c>
      <c r="AY711" s="58" t="s">
        <v>1374</v>
      </c>
      <c r="AZ711" s="58" t="s">
        <v>1313</v>
      </c>
      <c r="BA711" s="34" t="s">
        <v>128</v>
      </c>
      <c r="BC711" s="55">
        <f t="shared" si="132"/>
        <v>0</v>
      </c>
      <c r="BD711" s="55">
        <f t="shared" si="133"/>
        <v>0</v>
      </c>
      <c r="BE711" s="55">
        <v>0</v>
      </c>
      <c r="BF711" s="55">
        <f t="shared" si="134"/>
        <v>0</v>
      </c>
      <c r="BH711" s="55">
        <f t="shared" si="135"/>
        <v>0</v>
      </c>
      <c r="BI711" s="55">
        <f t="shared" si="136"/>
        <v>0</v>
      </c>
      <c r="BJ711" s="55">
        <f t="shared" si="137"/>
        <v>0</v>
      </c>
      <c r="BK711" s="55"/>
      <c r="BL711" s="55">
        <v>722</v>
      </c>
      <c r="BW711" s="55">
        <v>21</v>
      </c>
    </row>
    <row r="712" spans="1:75" ht="13.5" customHeight="1">
      <c r="A712" s="1" t="s">
        <v>1431</v>
      </c>
      <c r="B712" s="2" t="s">
        <v>116</v>
      </c>
      <c r="C712" s="2" t="s">
        <v>1432</v>
      </c>
      <c r="D712" s="147" t="s">
        <v>1433</v>
      </c>
      <c r="E712" s="148"/>
      <c r="F712" s="2" t="s">
        <v>174</v>
      </c>
      <c r="G712" s="55">
        <f>'Stavební rozpočet-vyplnit'!G712</f>
        <v>175</v>
      </c>
      <c r="H712" s="55">
        <f>'Stavební rozpočet-vyplnit'!H712</f>
        <v>0</v>
      </c>
      <c r="I712" s="55">
        <f t="shared" si="114"/>
        <v>0</v>
      </c>
      <c r="J712" s="55">
        <f>'Stavební rozpočet-vyplnit'!J712</f>
        <v>0</v>
      </c>
      <c r="K712" s="55">
        <f t="shared" si="115"/>
        <v>0</v>
      </c>
      <c r="L712" s="57" t="s">
        <v>124</v>
      </c>
      <c r="Z712" s="55">
        <f t="shared" si="116"/>
        <v>0</v>
      </c>
      <c r="AB712" s="55">
        <f t="shared" si="117"/>
        <v>0</v>
      </c>
      <c r="AC712" s="55">
        <f t="shared" si="118"/>
        <v>0</v>
      </c>
      <c r="AD712" s="55">
        <f t="shared" si="119"/>
        <v>0</v>
      </c>
      <c r="AE712" s="55">
        <f t="shared" si="120"/>
        <v>0</v>
      </c>
      <c r="AF712" s="55">
        <f t="shared" si="121"/>
        <v>0</v>
      </c>
      <c r="AG712" s="55">
        <f t="shared" si="122"/>
        <v>0</v>
      </c>
      <c r="AH712" s="55">
        <f t="shared" si="123"/>
        <v>0</v>
      </c>
      <c r="AI712" s="34" t="s">
        <v>116</v>
      </c>
      <c r="AJ712" s="55">
        <f t="shared" si="124"/>
        <v>0</v>
      </c>
      <c r="AK712" s="55">
        <f t="shared" si="125"/>
        <v>0</v>
      </c>
      <c r="AL712" s="55">
        <f t="shared" si="126"/>
        <v>0</v>
      </c>
      <c r="AN712" s="55">
        <v>21</v>
      </c>
      <c r="AO712" s="55">
        <f t="shared" si="127"/>
        <v>0</v>
      </c>
      <c r="AP712" s="55">
        <f t="shared" si="128"/>
        <v>0</v>
      </c>
      <c r="AQ712" s="58" t="s">
        <v>125</v>
      </c>
      <c r="AV712" s="55">
        <f t="shared" si="129"/>
        <v>0</v>
      </c>
      <c r="AW712" s="55">
        <f t="shared" si="130"/>
        <v>0</v>
      </c>
      <c r="AX712" s="55">
        <f t="shared" si="131"/>
        <v>0</v>
      </c>
      <c r="AY712" s="58" t="s">
        <v>1374</v>
      </c>
      <c r="AZ712" s="58" t="s">
        <v>1313</v>
      </c>
      <c r="BA712" s="34" t="s">
        <v>128</v>
      </c>
      <c r="BC712" s="55">
        <f t="shared" si="132"/>
        <v>0</v>
      </c>
      <c r="BD712" s="55">
        <f t="shared" si="133"/>
        <v>0</v>
      </c>
      <c r="BE712" s="55">
        <v>0</v>
      </c>
      <c r="BF712" s="55">
        <f t="shared" si="134"/>
        <v>0</v>
      </c>
      <c r="BH712" s="55">
        <f t="shared" si="135"/>
        <v>0</v>
      </c>
      <c r="BI712" s="55">
        <f t="shared" si="136"/>
        <v>0</v>
      </c>
      <c r="BJ712" s="55">
        <f t="shared" si="137"/>
        <v>0</v>
      </c>
      <c r="BK712" s="55"/>
      <c r="BL712" s="55">
        <v>722</v>
      </c>
      <c r="BW712" s="55">
        <v>21</v>
      </c>
    </row>
    <row r="713" spans="1:75" ht="13.5" customHeight="1">
      <c r="A713" s="1" t="s">
        <v>1434</v>
      </c>
      <c r="B713" s="2" t="s">
        <v>116</v>
      </c>
      <c r="C713" s="2" t="s">
        <v>1435</v>
      </c>
      <c r="D713" s="147" t="s">
        <v>1436</v>
      </c>
      <c r="E713" s="148"/>
      <c r="F713" s="2" t="s">
        <v>174</v>
      </c>
      <c r="G713" s="55">
        <f>'Stavební rozpočet-vyplnit'!G713</f>
        <v>175</v>
      </c>
      <c r="H713" s="55">
        <f>'Stavební rozpočet-vyplnit'!H713</f>
        <v>0</v>
      </c>
      <c r="I713" s="55">
        <f t="shared" si="114"/>
        <v>0</v>
      </c>
      <c r="J713" s="55">
        <f>'Stavební rozpočet-vyplnit'!J713</f>
        <v>0</v>
      </c>
      <c r="K713" s="55">
        <f t="shared" si="115"/>
        <v>0</v>
      </c>
      <c r="L713" s="57" t="s">
        <v>124</v>
      </c>
      <c r="Z713" s="55">
        <f t="shared" si="116"/>
        <v>0</v>
      </c>
      <c r="AB713" s="55">
        <f t="shared" si="117"/>
        <v>0</v>
      </c>
      <c r="AC713" s="55">
        <f t="shared" si="118"/>
        <v>0</v>
      </c>
      <c r="AD713" s="55">
        <f t="shared" si="119"/>
        <v>0</v>
      </c>
      <c r="AE713" s="55">
        <f t="shared" si="120"/>
        <v>0</v>
      </c>
      <c r="AF713" s="55">
        <f t="shared" si="121"/>
        <v>0</v>
      </c>
      <c r="AG713" s="55">
        <f t="shared" si="122"/>
        <v>0</v>
      </c>
      <c r="AH713" s="55">
        <f t="shared" si="123"/>
        <v>0</v>
      </c>
      <c r="AI713" s="34" t="s">
        <v>116</v>
      </c>
      <c r="AJ713" s="55">
        <f t="shared" si="124"/>
        <v>0</v>
      </c>
      <c r="AK713" s="55">
        <f t="shared" si="125"/>
        <v>0</v>
      </c>
      <c r="AL713" s="55">
        <f t="shared" si="126"/>
        <v>0</v>
      </c>
      <c r="AN713" s="55">
        <v>21</v>
      </c>
      <c r="AO713" s="55">
        <f t="shared" si="127"/>
        <v>0</v>
      </c>
      <c r="AP713" s="55">
        <f t="shared" si="128"/>
        <v>0</v>
      </c>
      <c r="AQ713" s="58" t="s">
        <v>125</v>
      </c>
      <c r="AV713" s="55">
        <f t="shared" si="129"/>
        <v>0</v>
      </c>
      <c r="AW713" s="55">
        <f t="shared" si="130"/>
        <v>0</v>
      </c>
      <c r="AX713" s="55">
        <f t="shared" si="131"/>
        <v>0</v>
      </c>
      <c r="AY713" s="58" t="s">
        <v>1374</v>
      </c>
      <c r="AZ713" s="58" t="s">
        <v>1313</v>
      </c>
      <c r="BA713" s="34" t="s">
        <v>128</v>
      </c>
      <c r="BC713" s="55">
        <f t="shared" si="132"/>
        <v>0</v>
      </c>
      <c r="BD713" s="55">
        <f t="shared" si="133"/>
        <v>0</v>
      </c>
      <c r="BE713" s="55">
        <v>0</v>
      </c>
      <c r="BF713" s="55">
        <f t="shared" si="134"/>
        <v>0</v>
      </c>
      <c r="BH713" s="55">
        <f t="shared" si="135"/>
        <v>0</v>
      </c>
      <c r="BI713" s="55">
        <f t="shared" si="136"/>
        <v>0</v>
      </c>
      <c r="BJ713" s="55">
        <f t="shared" si="137"/>
        <v>0</v>
      </c>
      <c r="BK713" s="55"/>
      <c r="BL713" s="55">
        <v>722</v>
      </c>
      <c r="BW713" s="55">
        <v>21</v>
      </c>
    </row>
    <row r="714" spans="1:75" ht="13.5" customHeight="1">
      <c r="A714" s="1" t="s">
        <v>1437</v>
      </c>
      <c r="B714" s="2" t="s">
        <v>116</v>
      </c>
      <c r="C714" s="2" t="s">
        <v>1438</v>
      </c>
      <c r="D714" s="147" t="s">
        <v>1439</v>
      </c>
      <c r="E714" s="148"/>
      <c r="F714" s="2" t="s">
        <v>939</v>
      </c>
      <c r="G714" s="55">
        <f>'Stavební rozpočet-vyplnit'!G714</f>
        <v>0.33</v>
      </c>
      <c r="H714" s="55">
        <f>'Stavební rozpočet-vyplnit'!H714</f>
        <v>0</v>
      </c>
      <c r="I714" s="55">
        <f t="shared" si="114"/>
        <v>0</v>
      </c>
      <c r="J714" s="55">
        <f>'Stavební rozpočet-vyplnit'!J714</f>
        <v>0</v>
      </c>
      <c r="K714" s="55">
        <f t="shared" si="115"/>
        <v>0</v>
      </c>
      <c r="L714" s="57" t="s">
        <v>124</v>
      </c>
      <c r="Z714" s="55">
        <f t="shared" si="116"/>
        <v>0</v>
      </c>
      <c r="AB714" s="55">
        <f t="shared" si="117"/>
        <v>0</v>
      </c>
      <c r="AC714" s="55">
        <f t="shared" si="118"/>
        <v>0</v>
      </c>
      <c r="AD714" s="55">
        <f t="shared" si="119"/>
        <v>0</v>
      </c>
      <c r="AE714" s="55">
        <f t="shared" si="120"/>
        <v>0</v>
      </c>
      <c r="AF714" s="55">
        <f t="shared" si="121"/>
        <v>0</v>
      </c>
      <c r="AG714" s="55">
        <f t="shared" si="122"/>
        <v>0</v>
      </c>
      <c r="AH714" s="55">
        <f t="shared" si="123"/>
        <v>0</v>
      </c>
      <c r="AI714" s="34" t="s">
        <v>116</v>
      </c>
      <c r="AJ714" s="55">
        <f t="shared" si="124"/>
        <v>0</v>
      </c>
      <c r="AK714" s="55">
        <f t="shared" si="125"/>
        <v>0</v>
      </c>
      <c r="AL714" s="55">
        <f t="shared" si="126"/>
        <v>0</v>
      </c>
      <c r="AN714" s="55">
        <v>21</v>
      </c>
      <c r="AO714" s="55">
        <f t="shared" si="127"/>
        <v>0</v>
      </c>
      <c r="AP714" s="55">
        <f t="shared" si="128"/>
        <v>0</v>
      </c>
      <c r="AQ714" s="58" t="s">
        <v>139</v>
      </c>
      <c r="AV714" s="55">
        <f t="shared" si="129"/>
        <v>0</v>
      </c>
      <c r="AW714" s="55">
        <f t="shared" si="130"/>
        <v>0</v>
      </c>
      <c r="AX714" s="55">
        <f t="shared" si="131"/>
        <v>0</v>
      </c>
      <c r="AY714" s="58" t="s">
        <v>1374</v>
      </c>
      <c r="AZ714" s="58" t="s">
        <v>1313</v>
      </c>
      <c r="BA714" s="34" t="s">
        <v>128</v>
      </c>
      <c r="BC714" s="55">
        <f t="shared" si="132"/>
        <v>0</v>
      </c>
      <c r="BD714" s="55">
        <f t="shared" si="133"/>
        <v>0</v>
      </c>
      <c r="BE714" s="55">
        <v>0</v>
      </c>
      <c r="BF714" s="55">
        <f t="shared" si="134"/>
        <v>0</v>
      </c>
      <c r="BH714" s="55">
        <f t="shared" si="135"/>
        <v>0</v>
      </c>
      <c r="BI714" s="55">
        <f t="shared" si="136"/>
        <v>0</v>
      </c>
      <c r="BJ714" s="55">
        <f t="shared" si="137"/>
        <v>0</v>
      </c>
      <c r="BK714" s="55"/>
      <c r="BL714" s="55">
        <v>722</v>
      </c>
      <c r="BW714" s="55">
        <v>21</v>
      </c>
    </row>
    <row r="715" spans="1:47" ht="14.4">
      <c r="A715" s="50" t="s">
        <v>4</v>
      </c>
      <c r="B715" s="51" t="s">
        <v>116</v>
      </c>
      <c r="C715" s="51" t="s">
        <v>1440</v>
      </c>
      <c r="D715" s="222" t="s">
        <v>1441</v>
      </c>
      <c r="E715" s="223"/>
      <c r="F715" s="52" t="s">
        <v>79</v>
      </c>
      <c r="G715" s="52" t="s">
        <v>79</v>
      </c>
      <c r="H715" s="52" t="s">
        <v>79</v>
      </c>
      <c r="I715" s="27">
        <f>SUM(I716:I716)</f>
        <v>0</v>
      </c>
      <c r="J715" s="34" t="s">
        <v>4</v>
      </c>
      <c r="K715" s="27">
        <f>SUM(K716:K716)</f>
        <v>0</v>
      </c>
      <c r="L715" s="54" t="s">
        <v>4</v>
      </c>
      <c r="AI715" s="34" t="s">
        <v>116</v>
      </c>
      <c r="AS715" s="27">
        <f>SUM(AJ716:AJ716)</f>
        <v>0</v>
      </c>
      <c r="AT715" s="27">
        <f>SUM(AK716:AK716)</f>
        <v>0</v>
      </c>
      <c r="AU715" s="27">
        <f>SUM(AL716:AL716)</f>
        <v>0</v>
      </c>
    </row>
    <row r="716" spans="1:75" ht="13.5" customHeight="1">
      <c r="A716" s="1" t="s">
        <v>1442</v>
      </c>
      <c r="B716" s="2" t="s">
        <v>116</v>
      </c>
      <c r="C716" s="2" t="s">
        <v>1443</v>
      </c>
      <c r="D716" s="147" t="s">
        <v>1444</v>
      </c>
      <c r="E716" s="148"/>
      <c r="F716" s="2" t="s">
        <v>1403</v>
      </c>
      <c r="G716" s="55">
        <f>'Stavební rozpočet-vyplnit'!G716</f>
        <v>1</v>
      </c>
      <c r="H716" s="55">
        <f>'Stavební rozpočet-vyplnit'!H716</f>
        <v>0</v>
      </c>
      <c r="I716" s="55">
        <f>G716*H716</f>
        <v>0</v>
      </c>
      <c r="J716" s="55">
        <f>'Stavební rozpočet-vyplnit'!J716</f>
        <v>0</v>
      </c>
      <c r="K716" s="55">
        <f>G716*J716</f>
        <v>0</v>
      </c>
      <c r="L716" s="57" t="s">
        <v>124</v>
      </c>
      <c r="Z716" s="55">
        <f>IF(AQ716="5",BJ716,0)</f>
        <v>0</v>
      </c>
      <c r="AB716" s="55">
        <f>IF(AQ716="1",BH716,0)</f>
        <v>0</v>
      </c>
      <c r="AC716" s="55">
        <f>IF(AQ716="1",BI716,0)</f>
        <v>0</v>
      </c>
      <c r="AD716" s="55">
        <f>IF(AQ716="7",BH716,0)</f>
        <v>0</v>
      </c>
      <c r="AE716" s="55">
        <f>IF(AQ716="7",BI716,0)</f>
        <v>0</v>
      </c>
      <c r="AF716" s="55">
        <f>IF(AQ716="2",BH716,0)</f>
        <v>0</v>
      </c>
      <c r="AG716" s="55">
        <f>IF(AQ716="2",BI716,0)</f>
        <v>0</v>
      </c>
      <c r="AH716" s="55">
        <f>IF(AQ716="0",BJ716,0)</f>
        <v>0</v>
      </c>
      <c r="AI716" s="34" t="s">
        <v>116</v>
      </c>
      <c r="AJ716" s="55">
        <f>IF(AN716=0,I716,0)</f>
        <v>0</v>
      </c>
      <c r="AK716" s="55">
        <f>IF(AN716=12,I716,0)</f>
        <v>0</v>
      </c>
      <c r="AL716" s="55">
        <f>IF(AN716=21,I716,0)</f>
        <v>0</v>
      </c>
      <c r="AN716" s="55">
        <v>21</v>
      </c>
      <c r="AO716" s="55">
        <f>H716*0</f>
        <v>0</v>
      </c>
      <c r="AP716" s="55">
        <f>H716*(1-0)</f>
        <v>0</v>
      </c>
      <c r="AQ716" s="58" t="s">
        <v>125</v>
      </c>
      <c r="AV716" s="55">
        <f>AW716+AX716</f>
        <v>0</v>
      </c>
      <c r="AW716" s="55">
        <f>G716*AO716</f>
        <v>0</v>
      </c>
      <c r="AX716" s="55">
        <f>G716*AP716</f>
        <v>0</v>
      </c>
      <c r="AY716" s="58" t="s">
        <v>1445</v>
      </c>
      <c r="AZ716" s="58" t="s">
        <v>1313</v>
      </c>
      <c r="BA716" s="34" t="s">
        <v>128</v>
      </c>
      <c r="BC716" s="55">
        <f>AW716+AX716</f>
        <v>0</v>
      </c>
      <c r="BD716" s="55">
        <f>H716/(100-BE716)*100</f>
        <v>0</v>
      </c>
      <c r="BE716" s="55">
        <v>0</v>
      </c>
      <c r="BF716" s="55">
        <f>K716</f>
        <v>0</v>
      </c>
      <c r="BH716" s="55">
        <f>G716*AO716</f>
        <v>0</v>
      </c>
      <c r="BI716" s="55">
        <f>G716*AP716</f>
        <v>0</v>
      </c>
      <c r="BJ716" s="55">
        <f>G716*H716</f>
        <v>0</v>
      </c>
      <c r="BK716" s="55"/>
      <c r="BL716" s="55">
        <v>724</v>
      </c>
      <c r="BW716" s="55">
        <v>21</v>
      </c>
    </row>
    <row r="717" spans="1:47" ht="14.4">
      <c r="A717" s="50" t="s">
        <v>4</v>
      </c>
      <c r="B717" s="51" t="s">
        <v>116</v>
      </c>
      <c r="C717" s="51" t="s">
        <v>1446</v>
      </c>
      <c r="D717" s="222" t="s">
        <v>1447</v>
      </c>
      <c r="E717" s="223"/>
      <c r="F717" s="52" t="s">
        <v>79</v>
      </c>
      <c r="G717" s="52" t="s">
        <v>79</v>
      </c>
      <c r="H717" s="52" t="s">
        <v>79</v>
      </c>
      <c r="I717" s="27">
        <f>SUM(I718:I731)</f>
        <v>0</v>
      </c>
      <c r="J717" s="34" t="s">
        <v>4</v>
      </c>
      <c r="K717" s="27">
        <f>SUM(K718:K731)</f>
        <v>0</v>
      </c>
      <c r="L717" s="54" t="s">
        <v>4</v>
      </c>
      <c r="AI717" s="34" t="s">
        <v>116</v>
      </c>
      <c r="AS717" s="27">
        <f>SUM(AJ718:AJ731)</f>
        <v>0</v>
      </c>
      <c r="AT717" s="27">
        <f>SUM(AK718:AK731)</f>
        <v>0</v>
      </c>
      <c r="AU717" s="27">
        <f>SUM(AL718:AL731)</f>
        <v>0</v>
      </c>
    </row>
    <row r="718" spans="1:75" s="143" customFormat="1" ht="27.75" customHeight="1">
      <c r="A718" s="138" t="s">
        <v>1448</v>
      </c>
      <c r="B718" s="136" t="s">
        <v>116</v>
      </c>
      <c r="C718" s="136" t="s">
        <v>1449</v>
      </c>
      <c r="D718" s="147" t="s">
        <v>3784</v>
      </c>
      <c r="E718" s="147"/>
      <c r="F718" s="136" t="s">
        <v>1403</v>
      </c>
      <c r="G718" s="140">
        <f>'Stavební rozpočet-vyplnit'!G718</f>
        <v>4</v>
      </c>
      <c r="H718" s="140">
        <f>'Stavební rozpočet-vyplnit'!H718</f>
        <v>0</v>
      </c>
      <c r="I718" s="140">
        <f aca="true" t="shared" si="138" ref="I718:I731">G718*H718</f>
        <v>0</v>
      </c>
      <c r="J718" s="140">
        <f>'Stavební rozpočet-vyplnit'!J718</f>
        <v>0</v>
      </c>
      <c r="K718" s="140">
        <f aca="true" t="shared" si="139" ref="K718:K731">G718*J718</f>
        <v>0</v>
      </c>
      <c r="L718" s="142" t="s">
        <v>124</v>
      </c>
      <c r="Z718" s="140">
        <f aca="true" t="shared" si="140" ref="Z718:Z731">IF(AQ718="5",BJ718,0)</f>
        <v>0</v>
      </c>
      <c r="AB718" s="140">
        <f aca="true" t="shared" si="141" ref="AB718:AB731">IF(AQ718="1",BH718,0)</f>
        <v>0</v>
      </c>
      <c r="AC718" s="140">
        <f aca="true" t="shared" si="142" ref="AC718:AC731">IF(AQ718="1",BI718,0)</f>
        <v>0</v>
      </c>
      <c r="AD718" s="140">
        <f aca="true" t="shared" si="143" ref="AD718:AD731">IF(AQ718="7",BH718,0)</f>
        <v>0</v>
      </c>
      <c r="AE718" s="140">
        <f aca="true" t="shared" si="144" ref="AE718:AE731">IF(AQ718="7",BI718,0)</f>
        <v>0</v>
      </c>
      <c r="AF718" s="140">
        <f aca="true" t="shared" si="145" ref="AF718:AF731">IF(AQ718="2",BH718,0)</f>
        <v>0</v>
      </c>
      <c r="AG718" s="140">
        <f aca="true" t="shared" si="146" ref="AG718:AG731">IF(AQ718="2",BI718,0)</f>
        <v>0</v>
      </c>
      <c r="AH718" s="140">
        <f aca="true" t="shared" si="147" ref="AH718:AH731">IF(AQ718="0",BJ718,0)</f>
        <v>0</v>
      </c>
      <c r="AI718" s="144" t="s">
        <v>116</v>
      </c>
      <c r="AJ718" s="140">
        <f aca="true" t="shared" si="148" ref="AJ718:AJ731">IF(AN718=0,I718,0)</f>
        <v>0</v>
      </c>
      <c r="AK718" s="140">
        <f aca="true" t="shared" si="149" ref="AK718:AK731">IF(AN718=12,I718,0)</f>
        <v>0</v>
      </c>
      <c r="AL718" s="140">
        <f aca="true" t="shared" si="150" ref="AL718:AL731">IF(AN718=21,I718,0)</f>
        <v>0</v>
      </c>
      <c r="AN718" s="140">
        <v>21</v>
      </c>
      <c r="AO718" s="140">
        <f aca="true" t="shared" si="151" ref="AO718:AO731">H718*0</f>
        <v>0</v>
      </c>
      <c r="AP718" s="140">
        <f aca="true" t="shared" si="152" ref="AP718:AP731">H718*(1-0)</f>
        <v>0</v>
      </c>
      <c r="AQ718" s="145" t="s">
        <v>125</v>
      </c>
      <c r="AV718" s="140">
        <f aca="true" t="shared" si="153" ref="AV718:AV731">AW718+AX718</f>
        <v>0</v>
      </c>
      <c r="AW718" s="140">
        <f aca="true" t="shared" si="154" ref="AW718:AW731">G718*AO718</f>
        <v>0</v>
      </c>
      <c r="AX718" s="140">
        <f aca="true" t="shared" si="155" ref="AX718:AX731">G718*AP718</f>
        <v>0</v>
      </c>
      <c r="AY718" s="145" t="s">
        <v>1450</v>
      </c>
      <c r="AZ718" s="145" t="s">
        <v>1313</v>
      </c>
      <c r="BA718" s="144" t="s">
        <v>128</v>
      </c>
      <c r="BC718" s="140">
        <f aca="true" t="shared" si="156" ref="BC718:BC731">AW718+AX718</f>
        <v>0</v>
      </c>
      <c r="BD718" s="140">
        <f aca="true" t="shared" si="157" ref="BD718:BD731">H718/(100-BE718)*100</f>
        <v>0</v>
      </c>
      <c r="BE718" s="140">
        <v>0</v>
      </c>
      <c r="BF718" s="140">
        <f aca="true" t="shared" si="158" ref="BF718:BF731">K718</f>
        <v>0</v>
      </c>
      <c r="BH718" s="140">
        <f aca="true" t="shared" si="159" ref="BH718:BH731">G718*AO718</f>
        <v>0</v>
      </c>
      <c r="BI718" s="140">
        <f aca="true" t="shared" si="160" ref="BI718:BI731">G718*AP718</f>
        <v>0</v>
      </c>
      <c r="BJ718" s="140">
        <f aca="true" t="shared" si="161" ref="BJ718:BJ731">G718*H718</f>
        <v>0</v>
      </c>
      <c r="BK718" s="140"/>
      <c r="BL718" s="140">
        <v>725</v>
      </c>
      <c r="BW718" s="140">
        <v>21</v>
      </c>
    </row>
    <row r="719" spans="1:75" s="143" customFormat="1" ht="27" customHeight="1">
      <c r="A719" s="138" t="s">
        <v>1451</v>
      </c>
      <c r="B719" s="136" t="s">
        <v>116</v>
      </c>
      <c r="C719" s="136" t="s">
        <v>1452</v>
      </c>
      <c r="D719" s="147" t="s">
        <v>3785</v>
      </c>
      <c r="E719" s="147"/>
      <c r="F719" s="136" t="s">
        <v>1403</v>
      </c>
      <c r="G719" s="140">
        <f>'Stavební rozpočet-vyplnit'!G719</f>
        <v>2</v>
      </c>
      <c r="H719" s="140">
        <f>'Stavební rozpočet-vyplnit'!H719</f>
        <v>0</v>
      </c>
      <c r="I719" s="140">
        <f t="shared" si="138"/>
        <v>0</v>
      </c>
      <c r="J719" s="140">
        <f>'Stavební rozpočet-vyplnit'!J719</f>
        <v>0</v>
      </c>
      <c r="K719" s="140">
        <f t="shared" si="139"/>
        <v>0</v>
      </c>
      <c r="L719" s="142" t="s">
        <v>124</v>
      </c>
      <c r="Z719" s="140">
        <f t="shared" si="140"/>
        <v>0</v>
      </c>
      <c r="AB719" s="140">
        <f t="shared" si="141"/>
        <v>0</v>
      </c>
      <c r="AC719" s="140">
        <f t="shared" si="142"/>
        <v>0</v>
      </c>
      <c r="AD719" s="140">
        <f t="shared" si="143"/>
        <v>0</v>
      </c>
      <c r="AE719" s="140">
        <f t="shared" si="144"/>
        <v>0</v>
      </c>
      <c r="AF719" s="140">
        <f t="shared" si="145"/>
        <v>0</v>
      </c>
      <c r="AG719" s="140">
        <f t="shared" si="146"/>
        <v>0</v>
      </c>
      <c r="AH719" s="140">
        <f t="shared" si="147"/>
        <v>0</v>
      </c>
      <c r="AI719" s="144" t="s">
        <v>116</v>
      </c>
      <c r="AJ719" s="140">
        <f t="shared" si="148"/>
        <v>0</v>
      </c>
      <c r="AK719" s="140">
        <f t="shared" si="149"/>
        <v>0</v>
      </c>
      <c r="AL719" s="140">
        <f t="shared" si="150"/>
        <v>0</v>
      </c>
      <c r="AN719" s="140">
        <v>21</v>
      </c>
      <c r="AO719" s="140">
        <f t="shared" si="151"/>
        <v>0</v>
      </c>
      <c r="AP719" s="140">
        <f t="shared" si="152"/>
        <v>0</v>
      </c>
      <c r="AQ719" s="145" t="s">
        <v>125</v>
      </c>
      <c r="AV719" s="140">
        <f t="shared" si="153"/>
        <v>0</v>
      </c>
      <c r="AW719" s="140">
        <f t="shared" si="154"/>
        <v>0</v>
      </c>
      <c r="AX719" s="140">
        <f t="shared" si="155"/>
        <v>0</v>
      </c>
      <c r="AY719" s="145" t="s">
        <v>1450</v>
      </c>
      <c r="AZ719" s="145" t="s">
        <v>1313</v>
      </c>
      <c r="BA719" s="144" t="s">
        <v>128</v>
      </c>
      <c r="BC719" s="140">
        <f t="shared" si="156"/>
        <v>0</v>
      </c>
      <c r="BD719" s="140">
        <f t="shared" si="157"/>
        <v>0</v>
      </c>
      <c r="BE719" s="140">
        <v>0</v>
      </c>
      <c r="BF719" s="140">
        <f t="shared" si="158"/>
        <v>0</v>
      </c>
      <c r="BH719" s="140">
        <f t="shared" si="159"/>
        <v>0</v>
      </c>
      <c r="BI719" s="140">
        <f t="shared" si="160"/>
        <v>0</v>
      </c>
      <c r="BJ719" s="140">
        <f t="shared" si="161"/>
        <v>0</v>
      </c>
      <c r="BK719" s="140"/>
      <c r="BL719" s="140">
        <v>725</v>
      </c>
      <c r="BW719" s="140">
        <v>21</v>
      </c>
    </row>
    <row r="720" spans="1:75" ht="13.5" customHeight="1">
      <c r="A720" s="1" t="s">
        <v>1453</v>
      </c>
      <c r="B720" s="2" t="s">
        <v>116</v>
      </c>
      <c r="C720" s="2" t="s">
        <v>1454</v>
      </c>
      <c r="D720" s="147" t="s">
        <v>1455</v>
      </c>
      <c r="E720" s="148"/>
      <c r="F720" s="2" t="s">
        <v>1403</v>
      </c>
      <c r="G720" s="55">
        <f>'Stavební rozpočet-vyplnit'!G720</f>
        <v>4</v>
      </c>
      <c r="H720" s="55">
        <f>'Stavební rozpočet-vyplnit'!H720</f>
        <v>0</v>
      </c>
      <c r="I720" s="55">
        <f t="shared" si="138"/>
        <v>0</v>
      </c>
      <c r="J720" s="55">
        <f>'Stavební rozpočet-vyplnit'!J720</f>
        <v>0</v>
      </c>
      <c r="K720" s="55">
        <f t="shared" si="139"/>
        <v>0</v>
      </c>
      <c r="L720" s="57" t="s">
        <v>124</v>
      </c>
      <c r="Z720" s="55">
        <f t="shared" si="140"/>
        <v>0</v>
      </c>
      <c r="AB720" s="55">
        <f t="shared" si="141"/>
        <v>0</v>
      </c>
      <c r="AC720" s="55">
        <f t="shared" si="142"/>
        <v>0</v>
      </c>
      <c r="AD720" s="55">
        <f t="shared" si="143"/>
        <v>0</v>
      </c>
      <c r="AE720" s="55">
        <f t="shared" si="144"/>
        <v>0</v>
      </c>
      <c r="AF720" s="55">
        <f t="shared" si="145"/>
        <v>0</v>
      </c>
      <c r="AG720" s="55">
        <f t="shared" si="146"/>
        <v>0</v>
      </c>
      <c r="AH720" s="55">
        <f t="shared" si="147"/>
        <v>0</v>
      </c>
      <c r="AI720" s="34" t="s">
        <v>116</v>
      </c>
      <c r="AJ720" s="55">
        <f t="shared" si="148"/>
        <v>0</v>
      </c>
      <c r="AK720" s="55">
        <f t="shared" si="149"/>
        <v>0</v>
      </c>
      <c r="AL720" s="55">
        <f t="shared" si="150"/>
        <v>0</v>
      </c>
      <c r="AN720" s="55">
        <v>21</v>
      </c>
      <c r="AO720" s="55">
        <f t="shared" si="151"/>
        <v>0</v>
      </c>
      <c r="AP720" s="55">
        <f t="shared" si="152"/>
        <v>0</v>
      </c>
      <c r="AQ720" s="58" t="s">
        <v>125</v>
      </c>
      <c r="AV720" s="55">
        <f t="shared" si="153"/>
        <v>0</v>
      </c>
      <c r="AW720" s="55">
        <f t="shared" si="154"/>
        <v>0</v>
      </c>
      <c r="AX720" s="55">
        <f t="shared" si="155"/>
        <v>0</v>
      </c>
      <c r="AY720" s="58" t="s">
        <v>1450</v>
      </c>
      <c r="AZ720" s="58" t="s">
        <v>1313</v>
      </c>
      <c r="BA720" s="34" t="s">
        <v>128</v>
      </c>
      <c r="BC720" s="55">
        <f t="shared" si="156"/>
        <v>0</v>
      </c>
      <c r="BD720" s="55">
        <f t="shared" si="157"/>
        <v>0</v>
      </c>
      <c r="BE720" s="55">
        <v>0</v>
      </c>
      <c r="BF720" s="55">
        <f t="shared" si="158"/>
        <v>0</v>
      </c>
      <c r="BH720" s="55">
        <f t="shared" si="159"/>
        <v>0</v>
      </c>
      <c r="BI720" s="55">
        <f t="shared" si="160"/>
        <v>0</v>
      </c>
      <c r="BJ720" s="55">
        <f t="shared" si="161"/>
        <v>0</v>
      </c>
      <c r="BK720" s="55"/>
      <c r="BL720" s="55">
        <v>725</v>
      </c>
      <c r="BW720" s="55">
        <v>21</v>
      </c>
    </row>
    <row r="721" spans="1:75" ht="13.5" customHeight="1">
      <c r="A721" s="1" t="s">
        <v>1456</v>
      </c>
      <c r="B721" s="2" t="s">
        <v>116</v>
      </c>
      <c r="C721" s="2" t="s">
        <v>1457</v>
      </c>
      <c r="D721" s="147" t="s">
        <v>1458</v>
      </c>
      <c r="E721" s="148"/>
      <c r="F721" s="2" t="s">
        <v>1403</v>
      </c>
      <c r="G721" s="55">
        <f>'Stavební rozpočet-vyplnit'!G721</f>
        <v>1</v>
      </c>
      <c r="H721" s="55">
        <f>'Stavební rozpočet-vyplnit'!H721</f>
        <v>0</v>
      </c>
      <c r="I721" s="55">
        <f t="shared" si="138"/>
        <v>0</v>
      </c>
      <c r="J721" s="55">
        <f>'Stavební rozpočet-vyplnit'!J721</f>
        <v>0</v>
      </c>
      <c r="K721" s="55">
        <f t="shared" si="139"/>
        <v>0</v>
      </c>
      <c r="L721" s="57" t="s">
        <v>124</v>
      </c>
      <c r="Z721" s="55">
        <f t="shared" si="140"/>
        <v>0</v>
      </c>
      <c r="AB721" s="55">
        <f t="shared" si="141"/>
        <v>0</v>
      </c>
      <c r="AC721" s="55">
        <f t="shared" si="142"/>
        <v>0</v>
      </c>
      <c r="AD721" s="55">
        <f t="shared" si="143"/>
        <v>0</v>
      </c>
      <c r="AE721" s="55">
        <f t="shared" si="144"/>
        <v>0</v>
      </c>
      <c r="AF721" s="55">
        <f t="shared" si="145"/>
        <v>0</v>
      </c>
      <c r="AG721" s="55">
        <f t="shared" si="146"/>
        <v>0</v>
      </c>
      <c r="AH721" s="55">
        <f t="shared" si="147"/>
        <v>0</v>
      </c>
      <c r="AI721" s="34" t="s">
        <v>116</v>
      </c>
      <c r="AJ721" s="55">
        <f t="shared" si="148"/>
        <v>0</v>
      </c>
      <c r="AK721" s="55">
        <f t="shared" si="149"/>
        <v>0</v>
      </c>
      <c r="AL721" s="55">
        <f t="shared" si="150"/>
        <v>0</v>
      </c>
      <c r="AN721" s="55">
        <v>21</v>
      </c>
      <c r="AO721" s="55">
        <f t="shared" si="151"/>
        <v>0</v>
      </c>
      <c r="AP721" s="55">
        <f t="shared" si="152"/>
        <v>0</v>
      </c>
      <c r="AQ721" s="58" t="s">
        <v>125</v>
      </c>
      <c r="AV721" s="55">
        <f t="shared" si="153"/>
        <v>0</v>
      </c>
      <c r="AW721" s="55">
        <f t="shared" si="154"/>
        <v>0</v>
      </c>
      <c r="AX721" s="55">
        <f t="shared" si="155"/>
        <v>0</v>
      </c>
      <c r="AY721" s="58" t="s">
        <v>1450</v>
      </c>
      <c r="AZ721" s="58" t="s">
        <v>1313</v>
      </c>
      <c r="BA721" s="34" t="s">
        <v>128</v>
      </c>
      <c r="BC721" s="55">
        <f t="shared" si="156"/>
        <v>0</v>
      </c>
      <c r="BD721" s="55">
        <f t="shared" si="157"/>
        <v>0</v>
      </c>
      <c r="BE721" s="55">
        <v>0</v>
      </c>
      <c r="BF721" s="55">
        <f t="shared" si="158"/>
        <v>0</v>
      </c>
      <c r="BH721" s="55">
        <f t="shared" si="159"/>
        <v>0</v>
      </c>
      <c r="BI721" s="55">
        <f t="shared" si="160"/>
        <v>0</v>
      </c>
      <c r="BJ721" s="55">
        <f t="shared" si="161"/>
        <v>0</v>
      </c>
      <c r="BK721" s="55"/>
      <c r="BL721" s="55">
        <v>725</v>
      </c>
      <c r="BW721" s="55">
        <v>21</v>
      </c>
    </row>
    <row r="722" spans="1:75" ht="27" customHeight="1">
      <c r="A722" s="1" t="s">
        <v>1459</v>
      </c>
      <c r="B722" s="2" t="s">
        <v>116</v>
      </c>
      <c r="C722" s="2" t="s">
        <v>1460</v>
      </c>
      <c r="D722" s="147" t="s">
        <v>1461</v>
      </c>
      <c r="E722" s="148"/>
      <c r="F722" s="2" t="s">
        <v>1403</v>
      </c>
      <c r="G722" s="55">
        <f>'Stavební rozpočet-vyplnit'!G722</f>
        <v>1</v>
      </c>
      <c r="H722" s="55">
        <f>'Stavební rozpočet-vyplnit'!H722</f>
        <v>0</v>
      </c>
      <c r="I722" s="55">
        <f t="shared" si="138"/>
        <v>0</v>
      </c>
      <c r="J722" s="55">
        <f>'Stavební rozpočet-vyplnit'!J722</f>
        <v>0</v>
      </c>
      <c r="K722" s="55">
        <f t="shared" si="139"/>
        <v>0</v>
      </c>
      <c r="L722" s="57" t="s">
        <v>124</v>
      </c>
      <c r="Z722" s="55">
        <f t="shared" si="140"/>
        <v>0</v>
      </c>
      <c r="AB722" s="55">
        <f t="shared" si="141"/>
        <v>0</v>
      </c>
      <c r="AC722" s="55">
        <f t="shared" si="142"/>
        <v>0</v>
      </c>
      <c r="AD722" s="55">
        <f t="shared" si="143"/>
        <v>0</v>
      </c>
      <c r="AE722" s="55">
        <f t="shared" si="144"/>
        <v>0</v>
      </c>
      <c r="AF722" s="55">
        <f t="shared" si="145"/>
        <v>0</v>
      </c>
      <c r="AG722" s="55">
        <f t="shared" si="146"/>
        <v>0</v>
      </c>
      <c r="AH722" s="55">
        <f t="shared" si="147"/>
        <v>0</v>
      </c>
      <c r="AI722" s="34" t="s">
        <v>116</v>
      </c>
      <c r="AJ722" s="55">
        <f t="shared" si="148"/>
        <v>0</v>
      </c>
      <c r="AK722" s="55">
        <f t="shared" si="149"/>
        <v>0</v>
      </c>
      <c r="AL722" s="55">
        <f t="shared" si="150"/>
        <v>0</v>
      </c>
      <c r="AN722" s="55">
        <v>21</v>
      </c>
      <c r="AO722" s="55">
        <f t="shared" si="151"/>
        <v>0</v>
      </c>
      <c r="AP722" s="55">
        <f t="shared" si="152"/>
        <v>0</v>
      </c>
      <c r="AQ722" s="58" t="s">
        <v>125</v>
      </c>
      <c r="AV722" s="55">
        <f t="shared" si="153"/>
        <v>0</v>
      </c>
      <c r="AW722" s="55">
        <f t="shared" si="154"/>
        <v>0</v>
      </c>
      <c r="AX722" s="55">
        <f t="shared" si="155"/>
        <v>0</v>
      </c>
      <c r="AY722" s="58" t="s">
        <v>1450</v>
      </c>
      <c r="AZ722" s="58" t="s">
        <v>1313</v>
      </c>
      <c r="BA722" s="34" t="s">
        <v>128</v>
      </c>
      <c r="BC722" s="55">
        <f t="shared" si="156"/>
        <v>0</v>
      </c>
      <c r="BD722" s="55">
        <f t="shared" si="157"/>
        <v>0</v>
      </c>
      <c r="BE722" s="55">
        <v>0</v>
      </c>
      <c r="BF722" s="55">
        <f t="shared" si="158"/>
        <v>0</v>
      </c>
      <c r="BH722" s="55">
        <f t="shared" si="159"/>
        <v>0</v>
      </c>
      <c r="BI722" s="55">
        <f t="shared" si="160"/>
        <v>0</v>
      </c>
      <c r="BJ722" s="55">
        <f t="shared" si="161"/>
        <v>0</v>
      </c>
      <c r="BK722" s="55"/>
      <c r="BL722" s="55">
        <v>725</v>
      </c>
      <c r="BW722" s="55">
        <v>21</v>
      </c>
    </row>
    <row r="723" spans="1:75" ht="13.5" customHeight="1">
      <c r="A723" s="1" t="s">
        <v>1462</v>
      </c>
      <c r="B723" s="2" t="s">
        <v>116</v>
      </c>
      <c r="C723" s="2" t="s">
        <v>1463</v>
      </c>
      <c r="D723" s="147" t="s">
        <v>1464</v>
      </c>
      <c r="E723" s="148"/>
      <c r="F723" s="2" t="s">
        <v>1403</v>
      </c>
      <c r="G723" s="55">
        <f>'Stavební rozpočet-vyplnit'!G723</f>
        <v>1</v>
      </c>
      <c r="H723" s="55">
        <f>'Stavební rozpočet-vyplnit'!H723</f>
        <v>0</v>
      </c>
      <c r="I723" s="55">
        <f t="shared" si="138"/>
        <v>0</v>
      </c>
      <c r="J723" s="55">
        <f>'Stavební rozpočet-vyplnit'!J723</f>
        <v>0</v>
      </c>
      <c r="K723" s="55">
        <f t="shared" si="139"/>
        <v>0</v>
      </c>
      <c r="L723" s="57" t="s">
        <v>124</v>
      </c>
      <c r="Z723" s="55">
        <f t="shared" si="140"/>
        <v>0</v>
      </c>
      <c r="AB723" s="55">
        <f t="shared" si="141"/>
        <v>0</v>
      </c>
      <c r="AC723" s="55">
        <f t="shared" si="142"/>
        <v>0</v>
      </c>
      <c r="AD723" s="55">
        <f t="shared" si="143"/>
        <v>0</v>
      </c>
      <c r="AE723" s="55">
        <f t="shared" si="144"/>
        <v>0</v>
      </c>
      <c r="AF723" s="55">
        <f t="shared" si="145"/>
        <v>0</v>
      </c>
      <c r="AG723" s="55">
        <f t="shared" si="146"/>
        <v>0</v>
      </c>
      <c r="AH723" s="55">
        <f t="shared" si="147"/>
        <v>0</v>
      </c>
      <c r="AI723" s="34" t="s">
        <v>116</v>
      </c>
      <c r="AJ723" s="55">
        <f t="shared" si="148"/>
        <v>0</v>
      </c>
      <c r="AK723" s="55">
        <f t="shared" si="149"/>
        <v>0</v>
      </c>
      <c r="AL723" s="55">
        <f t="shared" si="150"/>
        <v>0</v>
      </c>
      <c r="AN723" s="55">
        <v>21</v>
      </c>
      <c r="AO723" s="55">
        <f t="shared" si="151"/>
        <v>0</v>
      </c>
      <c r="AP723" s="55">
        <f t="shared" si="152"/>
        <v>0</v>
      </c>
      <c r="AQ723" s="58" t="s">
        <v>125</v>
      </c>
      <c r="AV723" s="55">
        <f t="shared" si="153"/>
        <v>0</v>
      </c>
      <c r="AW723" s="55">
        <f t="shared" si="154"/>
        <v>0</v>
      </c>
      <c r="AX723" s="55">
        <f t="shared" si="155"/>
        <v>0</v>
      </c>
      <c r="AY723" s="58" t="s">
        <v>1450</v>
      </c>
      <c r="AZ723" s="58" t="s">
        <v>1313</v>
      </c>
      <c r="BA723" s="34" t="s">
        <v>128</v>
      </c>
      <c r="BC723" s="55">
        <f t="shared" si="156"/>
        <v>0</v>
      </c>
      <c r="BD723" s="55">
        <f t="shared" si="157"/>
        <v>0</v>
      </c>
      <c r="BE723" s="55">
        <v>0</v>
      </c>
      <c r="BF723" s="55">
        <f t="shared" si="158"/>
        <v>0</v>
      </c>
      <c r="BH723" s="55">
        <f t="shared" si="159"/>
        <v>0</v>
      </c>
      <c r="BI723" s="55">
        <f t="shared" si="160"/>
        <v>0</v>
      </c>
      <c r="BJ723" s="55">
        <f t="shared" si="161"/>
        <v>0</v>
      </c>
      <c r="BK723" s="55"/>
      <c r="BL723" s="55">
        <v>725</v>
      </c>
      <c r="BW723" s="55">
        <v>21</v>
      </c>
    </row>
    <row r="724" spans="1:75" s="143" customFormat="1" ht="28.5" customHeight="1">
      <c r="A724" s="138" t="s">
        <v>1465</v>
      </c>
      <c r="B724" s="136" t="s">
        <v>116</v>
      </c>
      <c r="C724" s="136" t="s">
        <v>1466</v>
      </c>
      <c r="D724" s="147" t="s">
        <v>3793</v>
      </c>
      <c r="E724" s="147"/>
      <c r="F724" s="136" t="s">
        <v>1403</v>
      </c>
      <c r="G724" s="140">
        <f>'Stavební rozpočet-vyplnit'!G724</f>
        <v>1</v>
      </c>
      <c r="H724" s="140">
        <f>'Stavební rozpočet-vyplnit'!H724</f>
        <v>0</v>
      </c>
      <c r="I724" s="140">
        <f t="shared" si="138"/>
        <v>0</v>
      </c>
      <c r="J724" s="140">
        <f>'Stavební rozpočet-vyplnit'!J724</f>
        <v>0</v>
      </c>
      <c r="K724" s="140">
        <f t="shared" si="139"/>
        <v>0</v>
      </c>
      <c r="L724" s="142" t="s">
        <v>124</v>
      </c>
      <c r="Z724" s="140">
        <f t="shared" si="140"/>
        <v>0</v>
      </c>
      <c r="AB724" s="140">
        <f t="shared" si="141"/>
        <v>0</v>
      </c>
      <c r="AC724" s="140">
        <f t="shared" si="142"/>
        <v>0</v>
      </c>
      <c r="AD724" s="140">
        <f t="shared" si="143"/>
        <v>0</v>
      </c>
      <c r="AE724" s="140">
        <f t="shared" si="144"/>
        <v>0</v>
      </c>
      <c r="AF724" s="140">
        <f t="shared" si="145"/>
        <v>0</v>
      </c>
      <c r="AG724" s="140">
        <f t="shared" si="146"/>
        <v>0</v>
      </c>
      <c r="AH724" s="140">
        <f t="shared" si="147"/>
        <v>0</v>
      </c>
      <c r="AI724" s="144" t="s">
        <v>116</v>
      </c>
      <c r="AJ724" s="140">
        <f t="shared" si="148"/>
        <v>0</v>
      </c>
      <c r="AK724" s="140">
        <f t="shared" si="149"/>
        <v>0</v>
      </c>
      <c r="AL724" s="140">
        <f t="shared" si="150"/>
        <v>0</v>
      </c>
      <c r="AN724" s="140">
        <v>21</v>
      </c>
      <c r="AO724" s="140">
        <f t="shared" si="151"/>
        <v>0</v>
      </c>
      <c r="AP724" s="140">
        <f t="shared" si="152"/>
        <v>0</v>
      </c>
      <c r="AQ724" s="145" t="s">
        <v>125</v>
      </c>
      <c r="AV724" s="140">
        <f t="shared" si="153"/>
        <v>0</v>
      </c>
      <c r="AW724" s="140">
        <f t="shared" si="154"/>
        <v>0</v>
      </c>
      <c r="AX724" s="140">
        <f t="shared" si="155"/>
        <v>0</v>
      </c>
      <c r="AY724" s="145" t="s">
        <v>1450</v>
      </c>
      <c r="AZ724" s="145" t="s">
        <v>1313</v>
      </c>
      <c r="BA724" s="144" t="s">
        <v>128</v>
      </c>
      <c r="BC724" s="140">
        <f t="shared" si="156"/>
        <v>0</v>
      </c>
      <c r="BD724" s="140">
        <f t="shared" si="157"/>
        <v>0</v>
      </c>
      <c r="BE724" s="140">
        <v>0</v>
      </c>
      <c r="BF724" s="140">
        <f t="shared" si="158"/>
        <v>0</v>
      </c>
      <c r="BH724" s="140">
        <f t="shared" si="159"/>
        <v>0</v>
      </c>
      <c r="BI724" s="140">
        <f t="shared" si="160"/>
        <v>0</v>
      </c>
      <c r="BJ724" s="140">
        <f t="shared" si="161"/>
        <v>0</v>
      </c>
      <c r="BK724" s="140"/>
      <c r="BL724" s="140">
        <v>725</v>
      </c>
      <c r="BW724" s="140">
        <v>21</v>
      </c>
    </row>
    <row r="725" spans="1:75" s="143" customFormat="1" ht="27" customHeight="1">
      <c r="A725" s="138" t="s">
        <v>1467</v>
      </c>
      <c r="B725" s="136" t="s">
        <v>116</v>
      </c>
      <c r="C725" s="136" t="s">
        <v>1468</v>
      </c>
      <c r="D725" s="147" t="s">
        <v>3792</v>
      </c>
      <c r="E725" s="147"/>
      <c r="F725" s="136" t="s">
        <v>1403</v>
      </c>
      <c r="G725" s="140">
        <f>'Stavební rozpočet-vyplnit'!G725</f>
        <v>1</v>
      </c>
      <c r="H725" s="140">
        <f>'Stavební rozpočet-vyplnit'!H725</f>
        <v>0</v>
      </c>
      <c r="I725" s="140">
        <f t="shared" si="138"/>
        <v>0</v>
      </c>
      <c r="J725" s="140">
        <f>'Stavební rozpočet-vyplnit'!J725</f>
        <v>0</v>
      </c>
      <c r="K725" s="140">
        <f t="shared" si="139"/>
        <v>0</v>
      </c>
      <c r="L725" s="142" t="s">
        <v>124</v>
      </c>
      <c r="Z725" s="140">
        <f t="shared" si="140"/>
        <v>0</v>
      </c>
      <c r="AB725" s="140">
        <f t="shared" si="141"/>
        <v>0</v>
      </c>
      <c r="AC725" s="140">
        <f t="shared" si="142"/>
        <v>0</v>
      </c>
      <c r="AD725" s="140">
        <f t="shared" si="143"/>
        <v>0</v>
      </c>
      <c r="AE725" s="140">
        <f t="shared" si="144"/>
        <v>0</v>
      </c>
      <c r="AF725" s="140">
        <f t="shared" si="145"/>
        <v>0</v>
      </c>
      <c r="AG725" s="140">
        <f t="shared" si="146"/>
        <v>0</v>
      </c>
      <c r="AH725" s="140">
        <f t="shared" si="147"/>
        <v>0</v>
      </c>
      <c r="AI725" s="144" t="s">
        <v>116</v>
      </c>
      <c r="AJ725" s="140">
        <f t="shared" si="148"/>
        <v>0</v>
      </c>
      <c r="AK725" s="140">
        <f t="shared" si="149"/>
        <v>0</v>
      </c>
      <c r="AL725" s="140">
        <f t="shared" si="150"/>
        <v>0</v>
      </c>
      <c r="AN725" s="140">
        <v>21</v>
      </c>
      <c r="AO725" s="140">
        <f t="shared" si="151"/>
        <v>0</v>
      </c>
      <c r="AP725" s="140">
        <f t="shared" si="152"/>
        <v>0</v>
      </c>
      <c r="AQ725" s="145" t="s">
        <v>125</v>
      </c>
      <c r="AV725" s="140">
        <f t="shared" si="153"/>
        <v>0</v>
      </c>
      <c r="AW725" s="140">
        <f t="shared" si="154"/>
        <v>0</v>
      </c>
      <c r="AX725" s="140">
        <f t="shared" si="155"/>
        <v>0</v>
      </c>
      <c r="AY725" s="145" t="s">
        <v>1450</v>
      </c>
      <c r="AZ725" s="145" t="s">
        <v>1313</v>
      </c>
      <c r="BA725" s="144" t="s">
        <v>128</v>
      </c>
      <c r="BC725" s="140">
        <f t="shared" si="156"/>
        <v>0</v>
      </c>
      <c r="BD725" s="140">
        <f t="shared" si="157"/>
        <v>0</v>
      </c>
      <c r="BE725" s="140">
        <v>0</v>
      </c>
      <c r="BF725" s="140">
        <f t="shared" si="158"/>
        <v>0</v>
      </c>
      <c r="BH725" s="140">
        <f t="shared" si="159"/>
        <v>0</v>
      </c>
      <c r="BI725" s="140">
        <f t="shared" si="160"/>
        <v>0</v>
      </c>
      <c r="BJ725" s="140">
        <f t="shared" si="161"/>
        <v>0</v>
      </c>
      <c r="BK725" s="140"/>
      <c r="BL725" s="140">
        <v>725</v>
      </c>
      <c r="BW725" s="140">
        <v>21</v>
      </c>
    </row>
    <row r="726" spans="1:75" ht="13.5" customHeight="1">
      <c r="A726" s="1" t="s">
        <v>1469</v>
      </c>
      <c r="B726" s="2" t="s">
        <v>116</v>
      </c>
      <c r="C726" s="2" t="s">
        <v>1470</v>
      </c>
      <c r="D726" s="147" t="s">
        <v>3791</v>
      </c>
      <c r="E726" s="148"/>
      <c r="F726" s="2" t="s">
        <v>1403</v>
      </c>
      <c r="G726" s="55">
        <f>'Stavební rozpočet-vyplnit'!G726</f>
        <v>4</v>
      </c>
      <c r="H726" s="55">
        <f>'Stavební rozpočet-vyplnit'!H726</f>
        <v>0</v>
      </c>
      <c r="I726" s="55">
        <f t="shared" si="138"/>
        <v>0</v>
      </c>
      <c r="J726" s="55">
        <f>'Stavební rozpočet-vyplnit'!J726</f>
        <v>0</v>
      </c>
      <c r="K726" s="55">
        <f t="shared" si="139"/>
        <v>0</v>
      </c>
      <c r="L726" s="57" t="s">
        <v>124</v>
      </c>
      <c r="Z726" s="55">
        <f t="shared" si="140"/>
        <v>0</v>
      </c>
      <c r="AB726" s="55">
        <f t="shared" si="141"/>
        <v>0</v>
      </c>
      <c r="AC726" s="55">
        <f t="shared" si="142"/>
        <v>0</v>
      </c>
      <c r="AD726" s="55">
        <f t="shared" si="143"/>
        <v>0</v>
      </c>
      <c r="AE726" s="55">
        <f t="shared" si="144"/>
        <v>0</v>
      </c>
      <c r="AF726" s="55">
        <f t="shared" si="145"/>
        <v>0</v>
      </c>
      <c r="AG726" s="55">
        <f t="shared" si="146"/>
        <v>0</v>
      </c>
      <c r="AH726" s="55">
        <f t="shared" si="147"/>
        <v>0</v>
      </c>
      <c r="AI726" s="34" t="s">
        <v>116</v>
      </c>
      <c r="AJ726" s="55">
        <f t="shared" si="148"/>
        <v>0</v>
      </c>
      <c r="AK726" s="55">
        <f t="shared" si="149"/>
        <v>0</v>
      </c>
      <c r="AL726" s="55">
        <f t="shared" si="150"/>
        <v>0</v>
      </c>
      <c r="AN726" s="55">
        <v>21</v>
      </c>
      <c r="AO726" s="55">
        <f t="shared" si="151"/>
        <v>0</v>
      </c>
      <c r="AP726" s="55">
        <f t="shared" si="152"/>
        <v>0</v>
      </c>
      <c r="AQ726" s="58" t="s">
        <v>125</v>
      </c>
      <c r="AV726" s="55">
        <f t="shared" si="153"/>
        <v>0</v>
      </c>
      <c r="AW726" s="55">
        <f t="shared" si="154"/>
        <v>0</v>
      </c>
      <c r="AX726" s="55">
        <f t="shared" si="155"/>
        <v>0</v>
      </c>
      <c r="AY726" s="58" t="s">
        <v>1450</v>
      </c>
      <c r="AZ726" s="58" t="s">
        <v>1313</v>
      </c>
      <c r="BA726" s="34" t="s">
        <v>128</v>
      </c>
      <c r="BC726" s="55">
        <f t="shared" si="156"/>
        <v>0</v>
      </c>
      <c r="BD726" s="55">
        <f t="shared" si="157"/>
        <v>0</v>
      </c>
      <c r="BE726" s="55">
        <v>0</v>
      </c>
      <c r="BF726" s="55">
        <f t="shared" si="158"/>
        <v>0</v>
      </c>
      <c r="BH726" s="55">
        <f t="shared" si="159"/>
        <v>0</v>
      </c>
      <c r="BI726" s="55">
        <f t="shared" si="160"/>
        <v>0</v>
      </c>
      <c r="BJ726" s="55">
        <f t="shared" si="161"/>
        <v>0</v>
      </c>
      <c r="BK726" s="55"/>
      <c r="BL726" s="55">
        <v>725</v>
      </c>
      <c r="BW726" s="55">
        <v>21</v>
      </c>
    </row>
    <row r="727" spans="1:75" ht="13.5" customHeight="1">
      <c r="A727" s="1" t="s">
        <v>1471</v>
      </c>
      <c r="B727" s="2" t="s">
        <v>116</v>
      </c>
      <c r="C727" s="2" t="s">
        <v>1472</v>
      </c>
      <c r="D727" s="147" t="s">
        <v>3790</v>
      </c>
      <c r="E727" s="148"/>
      <c r="F727" s="2" t="s">
        <v>1403</v>
      </c>
      <c r="G727" s="55">
        <f>'Stavební rozpočet-vyplnit'!G727</f>
        <v>1</v>
      </c>
      <c r="H727" s="55">
        <f>'Stavební rozpočet-vyplnit'!H727</f>
        <v>0</v>
      </c>
      <c r="I727" s="55">
        <f t="shared" si="138"/>
        <v>0</v>
      </c>
      <c r="J727" s="55">
        <f>'Stavební rozpočet-vyplnit'!J727</f>
        <v>0</v>
      </c>
      <c r="K727" s="55">
        <f t="shared" si="139"/>
        <v>0</v>
      </c>
      <c r="L727" s="57" t="s">
        <v>124</v>
      </c>
      <c r="Z727" s="55">
        <f t="shared" si="140"/>
        <v>0</v>
      </c>
      <c r="AB727" s="55">
        <f t="shared" si="141"/>
        <v>0</v>
      </c>
      <c r="AC727" s="55">
        <f t="shared" si="142"/>
        <v>0</v>
      </c>
      <c r="AD727" s="55">
        <f t="shared" si="143"/>
        <v>0</v>
      </c>
      <c r="AE727" s="55">
        <f t="shared" si="144"/>
        <v>0</v>
      </c>
      <c r="AF727" s="55">
        <f t="shared" si="145"/>
        <v>0</v>
      </c>
      <c r="AG727" s="55">
        <f t="shared" si="146"/>
        <v>0</v>
      </c>
      <c r="AH727" s="55">
        <f t="shared" si="147"/>
        <v>0</v>
      </c>
      <c r="AI727" s="34" t="s">
        <v>116</v>
      </c>
      <c r="AJ727" s="55">
        <f t="shared" si="148"/>
        <v>0</v>
      </c>
      <c r="AK727" s="55">
        <f t="shared" si="149"/>
        <v>0</v>
      </c>
      <c r="AL727" s="55">
        <f t="shared" si="150"/>
        <v>0</v>
      </c>
      <c r="AN727" s="55">
        <v>21</v>
      </c>
      <c r="AO727" s="55">
        <f t="shared" si="151"/>
        <v>0</v>
      </c>
      <c r="AP727" s="55">
        <f t="shared" si="152"/>
        <v>0</v>
      </c>
      <c r="AQ727" s="58" t="s">
        <v>125</v>
      </c>
      <c r="AV727" s="55">
        <f t="shared" si="153"/>
        <v>0</v>
      </c>
      <c r="AW727" s="55">
        <f t="shared" si="154"/>
        <v>0</v>
      </c>
      <c r="AX727" s="55">
        <f t="shared" si="155"/>
        <v>0</v>
      </c>
      <c r="AY727" s="58" t="s">
        <v>1450</v>
      </c>
      <c r="AZ727" s="58" t="s">
        <v>1313</v>
      </c>
      <c r="BA727" s="34" t="s">
        <v>128</v>
      </c>
      <c r="BC727" s="55">
        <f t="shared" si="156"/>
        <v>0</v>
      </c>
      <c r="BD727" s="55">
        <f t="shared" si="157"/>
        <v>0</v>
      </c>
      <c r="BE727" s="55">
        <v>0</v>
      </c>
      <c r="BF727" s="55">
        <f t="shared" si="158"/>
        <v>0</v>
      </c>
      <c r="BH727" s="55">
        <f t="shared" si="159"/>
        <v>0</v>
      </c>
      <c r="BI727" s="55">
        <f t="shared" si="160"/>
        <v>0</v>
      </c>
      <c r="BJ727" s="55">
        <f t="shared" si="161"/>
        <v>0</v>
      </c>
      <c r="BK727" s="55"/>
      <c r="BL727" s="55">
        <v>725</v>
      </c>
      <c r="BW727" s="55">
        <v>21</v>
      </c>
    </row>
    <row r="728" spans="1:75" ht="13.5" customHeight="1">
      <c r="A728" s="1" t="s">
        <v>1473</v>
      </c>
      <c r="B728" s="2" t="s">
        <v>116</v>
      </c>
      <c r="C728" s="2" t="s">
        <v>1474</v>
      </c>
      <c r="D728" s="147" t="s">
        <v>1475</v>
      </c>
      <c r="E728" s="148"/>
      <c r="F728" s="2" t="s">
        <v>374</v>
      </c>
      <c r="G728" s="55">
        <f>'Stavební rozpočet-vyplnit'!G728</f>
        <v>1</v>
      </c>
      <c r="H728" s="55">
        <f>'Stavební rozpočet-vyplnit'!H728</f>
        <v>0</v>
      </c>
      <c r="I728" s="55">
        <f t="shared" si="138"/>
        <v>0</v>
      </c>
      <c r="J728" s="55">
        <f>'Stavební rozpočet-vyplnit'!J728</f>
        <v>0</v>
      </c>
      <c r="K728" s="55">
        <f t="shared" si="139"/>
        <v>0</v>
      </c>
      <c r="L728" s="57" t="s">
        <v>124</v>
      </c>
      <c r="Z728" s="55">
        <f t="shared" si="140"/>
        <v>0</v>
      </c>
      <c r="AB728" s="55">
        <f t="shared" si="141"/>
        <v>0</v>
      </c>
      <c r="AC728" s="55">
        <f t="shared" si="142"/>
        <v>0</v>
      </c>
      <c r="AD728" s="55">
        <f t="shared" si="143"/>
        <v>0</v>
      </c>
      <c r="AE728" s="55">
        <f t="shared" si="144"/>
        <v>0</v>
      </c>
      <c r="AF728" s="55">
        <f t="shared" si="145"/>
        <v>0</v>
      </c>
      <c r="AG728" s="55">
        <f t="shared" si="146"/>
        <v>0</v>
      </c>
      <c r="AH728" s="55">
        <f t="shared" si="147"/>
        <v>0</v>
      </c>
      <c r="AI728" s="34" t="s">
        <v>116</v>
      </c>
      <c r="AJ728" s="55">
        <f t="shared" si="148"/>
        <v>0</v>
      </c>
      <c r="AK728" s="55">
        <f t="shared" si="149"/>
        <v>0</v>
      </c>
      <c r="AL728" s="55">
        <f t="shared" si="150"/>
        <v>0</v>
      </c>
      <c r="AN728" s="55">
        <v>21</v>
      </c>
      <c r="AO728" s="55">
        <f t="shared" si="151"/>
        <v>0</v>
      </c>
      <c r="AP728" s="55">
        <f t="shared" si="152"/>
        <v>0</v>
      </c>
      <c r="AQ728" s="58" t="s">
        <v>125</v>
      </c>
      <c r="AV728" s="55">
        <f t="shared" si="153"/>
        <v>0</v>
      </c>
      <c r="AW728" s="55">
        <f t="shared" si="154"/>
        <v>0</v>
      </c>
      <c r="AX728" s="55">
        <f t="shared" si="155"/>
        <v>0</v>
      </c>
      <c r="AY728" s="58" t="s">
        <v>1450</v>
      </c>
      <c r="AZ728" s="58" t="s">
        <v>1313</v>
      </c>
      <c r="BA728" s="34" t="s">
        <v>128</v>
      </c>
      <c r="BC728" s="55">
        <f t="shared" si="156"/>
        <v>0</v>
      </c>
      <c r="BD728" s="55">
        <f t="shared" si="157"/>
        <v>0</v>
      </c>
      <c r="BE728" s="55">
        <v>0</v>
      </c>
      <c r="BF728" s="55">
        <f t="shared" si="158"/>
        <v>0</v>
      </c>
      <c r="BH728" s="55">
        <f t="shared" si="159"/>
        <v>0</v>
      </c>
      <c r="BI728" s="55">
        <f t="shared" si="160"/>
        <v>0</v>
      </c>
      <c r="BJ728" s="55">
        <f t="shared" si="161"/>
        <v>0</v>
      </c>
      <c r="BK728" s="55"/>
      <c r="BL728" s="55">
        <v>725</v>
      </c>
      <c r="BW728" s="55">
        <v>21</v>
      </c>
    </row>
    <row r="729" spans="1:75" ht="13.5" customHeight="1">
      <c r="A729" s="1" t="s">
        <v>1476</v>
      </c>
      <c r="B729" s="2" t="s">
        <v>116</v>
      </c>
      <c r="C729" s="2" t="s">
        <v>1477</v>
      </c>
      <c r="D729" s="147" t="s">
        <v>1478</v>
      </c>
      <c r="E729" s="148"/>
      <c r="F729" s="2" t="s">
        <v>374</v>
      </c>
      <c r="G729" s="55">
        <f>'Stavební rozpočet-vyplnit'!G729</f>
        <v>1</v>
      </c>
      <c r="H729" s="55">
        <f>'Stavební rozpočet-vyplnit'!H729</f>
        <v>0</v>
      </c>
      <c r="I729" s="55">
        <f t="shared" si="138"/>
        <v>0</v>
      </c>
      <c r="J729" s="55">
        <f>'Stavební rozpočet-vyplnit'!J729</f>
        <v>0</v>
      </c>
      <c r="K729" s="55">
        <f t="shared" si="139"/>
        <v>0</v>
      </c>
      <c r="L729" s="57" t="s">
        <v>124</v>
      </c>
      <c r="Z729" s="55">
        <f t="shared" si="140"/>
        <v>0</v>
      </c>
      <c r="AB729" s="55">
        <f t="shared" si="141"/>
        <v>0</v>
      </c>
      <c r="AC729" s="55">
        <f t="shared" si="142"/>
        <v>0</v>
      </c>
      <c r="AD729" s="55">
        <f t="shared" si="143"/>
        <v>0</v>
      </c>
      <c r="AE729" s="55">
        <f t="shared" si="144"/>
        <v>0</v>
      </c>
      <c r="AF729" s="55">
        <f t="shared" si="145"/>
        <v>0</v>
      </c>
      <c r="AG729" s="55">
        <f t="shared" si="146"/>
        <v>0</v>
      </c>
      <c r="AH729" s="55">
        <f t="shared" si="147"/>
        <v>0</v>
      </c>
      <c r="AI729" s="34" t="s">
        <v>116</v>
      </c>
      <c r="AJ729" s="55">
        <f t="shared" si="148"/>
        <v>0</v>
      </c>
      <c r="AK729" s="55">
        <f t="shared" si="149"/>
        <v>0</v>
      </c>
      <c r="AL729" s="55">
        <f t="shared" si="150"/>
        <v>0</v>
      </c>
      <c r="AN729" s="55">
        <v>21</v>
      </c>
      <c r="AO729" s="55">
        <f t="shared" si="151"/>
        <v>0</v>
      </c>
      <c r="AP729" s="55">
        <f t="shared" si="152"/>
        <v>0</v>
      </c>
      <c r="AQ729" s="58" t="s">
        <v>125</v>
      </c>
      <c r="AV729" s="55">
        <f t="shared" si="153"/>
        <v>0</v>
      </c>
      <c r="AW729" s="55">
        <f t="shared" si="154"/>
        <v>0</v>
      </c>
      <c r="AX729" s="55">
        <f t="shared" si="155"/>
        <v>0</v>
      </c>
      <c r="AY729" s="58" t="s">
        <v>1450</v>
      </c>
      <c r="AZ729" s="58" t="s">
        <v>1313</v>
      </c>
      <c r="BA729" s="34" t="s">
        <v>128</v>
      </c>
      <c r="BC729" s="55">
        <f t="shared" si="156"/>
        <v>0</v>
      </c>
      <c r="BD729" s="55">
        <f t="shared" si="157"/>
        <v>0</v>
      </c>
      <c r="BE729" s="55">
        <v>0</v>
      </c>
      <c r="BF729" s="55">
        <f t="shared" si="158"/>
        <v>0</v>
      </c>
      <c r="BH729" s="55">
        <f t="shared" si="159"/>
        <v>0</v>
      </c>
      <c r="BI729" s="55">
        <f t="shared" si="160"/>
        <v>0</v>
      </c>
      <c r="BJ729" s="55">
        <f t="shared" si="161"/>
        <v>0</v>
      </c>
      <c r="BK729" s="55"/>
      <c r="BL729" s="55">
        <v>725</v>
      </c>
      <c r="BW729" s="55">
        <v>21</v>
      </c>
    </row>
    <row r="730" spans="1:75" ht="13.5" customHeight="1">
      <c r="A730" s="1" t="s">
        <v>1479</v>
      </c>
      <c r="B730" s="2" t="s">
        <v>116</v>
      </c>
      <c r="C730" s="2" t="s">
        <v>1480</v>
      </c>
      <c r="D730" s="147" t="s">
        <v>1481</v>
      </c>
      <c r="E730" s="148"/>
      <c r="F730" s="2" t="s">
        <v>374</v>
      </c>
      <c r="G730" s="55">
        <f>'Stavební rozpočet-vyplnit'!G730</f>
        <v>8</v>
      </c>
      <c r="H730" s="55">
        <f>'Stavební rozpočet-vyplnit'!H730</f>
        <v>0</v>
      </c>
      <c r="I730" s="55">
        <f t="shared" si="138"/>
        <v>0</v>
      </c>
      <c r="J730" s="55">
        <f>'Stavební rozpočet-vyplnit'!J730</f>
        <v>0</v>
      </c>
      <c r="K730" s="55">
        <f t="shared" si="139"/>
        <v>0</v>
      </c>
      <c r="L730" s="57" t="s">
        <v>124</v>
      </c>
      <c r="Z730" s="55">
        <f t="shared" si="140"/>
        <v>0</v>
      </c>
      <c r="AB730" s="55">
        <f t="shared" si="141"/>
        <v>0</v>
      </c>
      <c r="AC730" s="55">
        <f t="shared" si="142"/>
        <v>0</v>
      </c>
      <c r="AD730" s="55">
        <f t="shared" si="143"/>
        <v>0</v>
      </c>
      <c r="AE730" s="55">
        <f t="shared" si="144"/>
        <v>0</v>
      </c>
      <c r="AF730" s="55">
        <f t="shared" si="145"/>
        <v>0</v>
      </c>
      <c r="AG730" s="55">
        <f t="shared" si="146"/>
        <v>0</v>
      </c>
      <c r="AH730" s="55">
        <f t="shared" si="147"/>
        <v>0</v>
      </c>
      <c r="AI730" s="34" t="s">
        <v>116</v>
      </c>
      <c r="AJ730" s="55">
        <f t="shared" si="148"/>
        <v>0</v>
      </c>
      <c r="AK730" s="55">
        <f t="shared" si="149"/>
        <v>0</v>
      </c>
      <c r="AL730" s="55">
        <f t="shared" si="150"/>
        <v>0</v>
      </c>
      <c r="AN730" s="55">
        <v>21</v>
      </c>
      <c r="AO730" s="55">
        <f t="shared" si="151"/>
        <v>0</v>
      </c>
      <c r="AP730" s="55">
        <f t="shared" si="152"/>
        <v>0</v>
      </c>
      <c r="AQ730" s="58" t="s">
        <v>125</v>
      </c>
      <c r="AV730" s="55">
        <f t="shared" si="153"/>
        <v>0</v>
      </c>
      <c r="AW730" s="55">
        <f t="shared" si="154"/>
        <v>0</v>
      </c>
      <c r="AX730" s="55">
        <f t="shared" si="155"/>
        <v>0</v>
      </c>
      <c r="AY730" s="58" t="s">
        <v>1450</v>
      </c>
      <c r="AZ730" s="58" t="s">
        <v>1313</v>
      </c>
      <c r="BA730" s="34" t="s">
        <v>128</v>
      </c>
      <c r="BC730" s="55">
        <f t="shared" si="156"/>
        <v>0</v>
      </c>
      <c r="BD730" s="55">
        <f t="shared" si="157"/>
        <v>0</v>
      </c>
      <c r="BE730" s="55">
        <v>0</v>
      </c>
      <c r="BF730" s="55">
        <f t="shared" si="158"/>
        <v>0</v>
      </c>
      <c r="BH730" s="55">
        <f t="shared" si="159"/>
        <v>0</v>
      </c>
      <c r="BI730" s="55">
        <f t="shared" si="160"/>
        <v>0</v>
      </c>
      <c r="BJ730" s="55">
        <f t="shared" si="161"/>
        <v>0</v>
      </c>
      <c r="BK730" s="55"/>
      <c r="BL730" s="55">
        <v>725</v>
      </c>
      <c r="BW730" s="55">
        <v>21</v>
      </c>
    </row>
    <row r="731" spans="1:75" ht="13.5" customHeight="1">
      <c r="A731" s="1" t="s">
        <v>1482</v>
      </c>
      <c r="B731" s="2" t="s">
        <v>116</v>
      </c>
      <c r="C731" s="2" t="s">
        <v>1483</v>
      </c>
      <c r="D731" s="147" t="s">
        <v>1484</v>
      </c>
      <c r="E731" s="148"/>
      <c r="F731" s="2" t="s">
        <v>939</v>
      </c>
      <c r="G731" s="55">
        <f>'Stavební rozpočet-vyplnit'!G731</f>
        <v>0.23</v>
      </c>
      <c r="H731" s="55">
        <f>'Stavební rozpočet-vyplnit'!H731</f>
        <v>0</v>
      </c>
      <c r="I731" s="55">
        <f t="shared" si="138"/>
        <v>0</v>
      </c>
      <c r="J731" s="55">
        <f>'Stavební rozpočet-vyplnit'!J731</f>
        <v>0</v>
      </c>
      <c r="K731" s="55">
        <f t="shared" si="139"/>
        <v>0</v>
      </c>
      <c r="L731" s="57" t="s">
        <v>124</v>
      </c>
      <c r="Z731" s="55">
        <f t="shared" si="140"/>
        <v>0</v>
      </c>
      <c r="AB731" s="55">
        <f t="shared" si="141"/>
        <v>0</v>
      </c>
      <c r="AC731" s="55">
        <f t="shared" si="142"/>
        <v>0</v>
      </c>
      <c r="AD731" s="55">
        <f t="shared" si="143"/>
        <v>0</v>
      </c>
      <c r="AE731" s="55">
        <f t="shared" si="144"/>
        <v>0</v>
      </c>
      <c r="AF731" s="55">
        <f t="shared" si="145"/>
        <v>0</v>
      </c>
      <c r="AG731" s="55">
        <f t="shared" si="146"/>
        <v>0</v>
      </c>
      <c r="AH731" s="55">
        <f t="shared" si="147"/>
        <v>0</v>
      </c>
      <c r="AI731" s="34" t="s">
        <v>116</v>
      </c>
      <c r="AJ731" s="55">
        <f t="shared" si="148"/>
        <v>0</v>
      </c>
      <c r="AK731" s="55">
        <f t="shared" si="149"/>
        <v>0</v>
      </c>
      <c r="AL731" s="55">
        <f t="shared" si="150"/>
        <v>0</v>
      </c>
      <c r="AN731" s="55">
        <v>21</v>
      </c>
      <c r="AO731" s="55">
        <f t="shared" si="151"/>
        <v>0</v>
      </c>
      <c r="AP731" s="55">
        <f t="shared" si="152"/>
        <v>0</v>
      </c>
      <c r="AQ731" s="58" t="s">
        <v>139</v>
      </c>
      <c r="AV731" s="55">
        <f t="shared" si="153"/>
        <v>0</v>
      </c>
      <c r="AW731" s="55">
        <f t="shared" si="154"/>
        <v>0</v>
      </c>
      <c r="AX731" s="55">
        <f t="shared" si="155"/>
        <v>0</v>
      </c>
      <c r="AY731" s="58" t="s">
        <v>1450</v>
      </c>
      <c r="AZ731" s="58" t="s">
        <v>1313</v>
      </c>
      <c r="BA731" s="34" t="s">
        <v>128</v>
      </c>
      <c r="BC731" s="55">
        <f t="shared" si="156"/>
        <v>0</v>
      </c>
      <c r="BD731" s="55">
        <f t="shared" si="157"/>
        <v>0</v>
      </c>
      <c r="BE731" s="55">
        <v>0</v>
      </c>
      <c r="BF731" s="55">
        <f t="shared" si="158"/>
        <v>0</v>
      </c>
      <c r="BH731" s="55">
        <f t="shared" si="159"/>
        <v>0</v>
      </c>
      <c r="BI731" s="55">
        <f t="shared" si="160"/>
        <v>0</v>
      </c>
      <c r="BJ731" s="55">
        <f t="shared" si="161"/>
        <v>0</v>
      </c>
      <c r="BK731" s="55"/>
      <c r="BL731" s="55">
        <v>725</v>
      </c>
      <c r="BW731" s="55">
        <v>21</v>
      </c>
    </row>
    <row r="732" spans="1:47" ht="14.4">
      <c r="A732" s="50" t="s">
        <v>4</v>
      </c>
      <c r="B732" s="51" t="s">
        <v>116</v>
      </c>
      <c r="C732" s="51" t="s">
        <v>1485</v>
      </c>
      <c r="D732" s="222" t="s">
        <v>1486</v>
      </c>
      <c r="E732" s="223"/>
      <c r="F732" s="52" t="s">
        <v>79</v>
      </c>
      <c r="G732" s="52" t="s">
        <v>79</v>
      </c>
      <c r="H732" s="52" t="s">
        <v>79</v>
      </c>
      <c r="I732" s="27">
        <f>SUM(I733:I744)</f>
        <v>0</v>
      </c>
      <c r="J732" s="34" t="s">
        <v>4</v>
      </c>
      <c r="K732" s="27">
        <f>SUM(K733:K744)</f>
        <v>0.15999999999999998</v>
      </c>
      <c r="L732" s="54" t="s">
        <v>4</v>
      </c>
      <c r="AI732" s="34" t="s">
        <v>116</v>
      </c>
      <c r="AS732" s="27">
        <f>SUM(AJ733:AJ744)</f>
        <v>0</v>
      </c>
      <c r="AT732" s="27">
        <f>SUM(AK733:AK744)</f>
        <v>0</v>
      </c>
      <c r="AU732" s="27">
        <f>SUM(AL733:AL744)</f>
        <v>0</v>
      </c>
    </row>
    <row r="733" spans="1:75" ht="13.5" customHeight="1">
      <c r="A733" s="1" t="s">
        <v>1487</v>
      </c>
      <c r="B733" s="2" t="s">
        <v>116</v>
      </c>
      <c r="C733" s="2" t="s">
        <v>1488</v>
      </c>
      <c r="D733" s="147" t="s">
        <v>1489</v>
      </c>
      <c r="E733" s="148"/>
      <c r="F733" s="2" t="s">
        <v>1403</v>
      </c>
      <c r="G733" s="55">
        <f>'Stavební rozpočet-vyplnit'!G733</f>
        <v>4</v>
      </c>
      <c r="H733" s="55">
        <f>'Stavební rozpočet-vyplnit'!H733</f>
        <v>0</v>
      </c>
      <c r="I733" s="55">
        <f>G733*H733</f>
        <v>0</v>
      </c>
      <c r="J733" s="55">
        <f>'Stavební rozpočet-vyplnit'!J733</f>
        <v>0.01</v>
      </c>
      <c r="K733" s="55">
        <f>G733*J733</f>
        <v>0.04</v>
      </c>
      <c r="L733" s="57" t="s">
        <v>785</v>
      </c>
      <c r="Z733" s="55">
        <f>IF(AQ733="5",BJ733,0)</f>
        <v>0</v>
      </c>
      <c r="AB733" s="55">
        <f>IF(AQ733="1",BH733,0)</f>
        <v>0</v>
      </c>
      <c r="AC733" s="55">
        <f>IF(AQ733="1",BI733,0)</f>
        <v>0</v>
      </c>
      <c r="AD733" s="55">
        <f>IF(AQ733="7",BH733,0)</f>
        <v>0</v>
      </c>
      <c r="AE733" s="55">
        <f>IF(AQ733="7",BI733,0)</f>
        <v>0</v>
      </c>
      <c r="AF733" s="55">
        <f>IF(AQ733="2",BH733,0)</f>
        <v>0</v>
      </c>
      <c r="AG733" s="55">
        <f>IF(AQ733="2",BI733,0)</f>
        <v>0</v>
      </c>
      <c r="AH733" s="55">
        <f>IF(AQ733="0",BJ733,0)</f>
        <v>0</v>
      </c>
      <c r="AI733" s="34" t="s">
        <v>116</v>
      </c>
      <c r="AJ733" s="55">
        <f>IF(AN733=0,I733,0)</f>
        <v>0</v>
      </c>
      <c r="AK733" s="55">
        <f>IF(AN733=12,I733,0)</f>
        <v>0</v>
      </c>
      <c r="AL733" s="55">
        <f>IF(AN733=21,I733,0)</f>
        <v>0</v>
      </c>
      <c r="AN733" s="55">
        <v>21</v>
      </c>
      <c r="AO733" s="55">
        <f>H733*0.863092269</f>
        <v>0</v>
      </c>
      <c r="AP733" s="55">
        <f>H733*(1-0.863092269)</f>
        <v>0</v>
      </c>
      <c r="AQ733" s="58" t="s">
        <v>125</v>
      </c>
      <c r="AV733" s="55">
        <f>AW733+AX733</f>
        <v>0</v>
      </c>
      <c r="AW733" s="55">
        <f>G733*AO733</f>
        <v>0</v>
      </c>
      <c r="AX733" s="55">
        <f>G733*AP733</f>
        <v>0</v>
      </c>
      <c r="AY733" s="58" t="s">
        <v>1490</v>
      </c>
      <c r="AZ733" s="58" t="s">
        <v>1313</v>
      </c>
      <c r="BA733" s="34" t="s">
        <v>128</v>
      </c>
      <c r="BC733" s="55">
        <f>AW733+AX733</f>
        <v>0</v>
      </c>
      <c r="BD733" s="55">
        <f>H733/(100-BE733)*100</f>
        <v>0</v>
      </c>
      <c r="BE733" s="55">
        <v>0</v>
      </c>
      <c r="BF733" s="55">
        <f>K733</f>
        <v>0.04</v>
      </c>
      <c r="BH733" s="55">
        <f>G733*AO733</f>
        <v>0</v>
      </c>
      <c r="BI733" s="55">
        <f>G733*AP733</f>
        <v>0</v>
      </c>
      <c r="BJ733" s="55">
        <f>G733*H733</f>
        <v>0</v>
      </c>
      <c r="BK733" s="55"/>
      <c r="BL733" s="55">
        <v>726</v>
      </c>
      <c r="BW733" s="55">
        <v>21</v>
      </c>
    </row>
    <row r="734" spans="1:12" ht="14.4">
      <c r="A734" s="59"/>
      <c r="D734" s="60" t="s">
        <v>136</v>
      </c>
      <c r="E734" s="60" t="s">
        <v>4</v>
      </c>
      <c r="G734" s="68">
        <v>4</v>
      </c>
      <c r="L734" s="69"/>
    </row>
    <row r="735" spans="1:75" ht="13.5" customHeight="1">
      <c r="A735" s="1" t="s">
        <v>1491</v>
      </c>
      <c r="B735" s="2" t="s">
        <v>116</v>
      </c>
      <c r="C735" s="2" t="s">
        <v>1492</v>
      </c>
      <c r="D735" s="147" t="s">
        <v>1493</v>
      </c>
      <c r="E735" s="148"/>
      <c r="F735" s="2" t="s">
        <v>1403</v>
      </c>
      <c r="G735" s="55">
        <f>'Stavební rozpočet-vyplnit'!G735</f>
        <v>2</v>
      </c>
      <c r="H735" s="55">
        <f>'Stavební rozpočet-vyplnit'!H735</f>
        <v>0</v>
      </c>
      <c r="I735" s="55">
        <f>G735*H735</f>
        <v>0</v>
      </c>
      <c r="J735" s="55">
        <f>'Stavební rozpočet-vyplnit'!J735</f>
        <v>0.014</v>
      </c>
      <c r="K735" s="55">
        <f>G735*J735</f>
        <v>0.028</v>
      </c>
      <c r="L735" s="57" t="s">
        <v>785</v>
      </c>
      <c r="Z735" s="55">
        <f>IF(AQ735="5",BJ735,0)</f>
        <v>0</v>
      </c>
      <c r="AB735" s="55">
        <f>IF(AQ735="1",BH735,0)</f>
        <v>0</v>
      </c>
      <c r="AC735" s="55">
        <f>IF(AQ735="1",BI735,0)</f>
        <v>0</v>
      </c>
      <c r="AD735" s="55">
        <f>IF(AQ735="7",BH735,0)</f>
        <v>0</v>
      </c>
      <c r="AE735" s="55">
        <f>IF(AQ735="7",BI735,0)</f>
        <v>0</v>
      </c>
      <c r="AF735" s="55">
        <f>IF(AQ735="2",BH735,0)</f>
        <v>0</v>
      </c>
      <c r="AG735" s="55">
        <f>IF(AQ735="2",BI735,0)</f>
        <v>0</v>
      </c>
      <c r="AH735" s="55">
        <f>IF(AQ735="0",BJ735,0)</f>
        <v>0</v>
      </c>
      <c r="AI735" s="34" t="s">
        <v>116</v>
      </c>
      <c r="AJ735" s="55">
        <f>IF(AN735=0,I735,0)</f>
        <v>0</v>
      </c>
      <c r="AK735" s="55">
        <f>IF(AN735=12,I735,0)</f>
        <v>0</v>
      </c>
      <c r="AL735" s="55">
        <f>IF(AN735=21,I735,0)</f>
        <v>0</v>
      </c>
      <c r="AN735" s="55">
        <v>21</v>
      </c>
      <c r="AO735" s="55">
        <f>H735*0.910785192</f>
        <v>0</v>
      </c>
      <c r="AP735" s="55">
        <f>H735*(1-0.910785192)</f>
        <v>0</v>
      </c>
      <c r="AQ735" s="58" t="s">
        <v>125</v>
      </c>
      <c r="AV735" s="55">
        <f>AW735+AX735</f>
        <v>0</v>
      </c>
      <c r="AW735" s="55">
        <f>G735*AO735</f>
        <v>0</v>
      </c>
      <c r="AX735" s="55">
        <f>G735*AP735</f>
        <v>0</v>
      </c>
      <c r="AY735" s="58" t="s">
        <v>1490</v>
      </c>
      <c r="AZ735" s="58" t="s">
        <v>1313</v>
      </c>
      <c r="BA735" s="34" t="s">
        <v>128</v>
      </c>
      <c r="BC735" s="55">
        <f>AW735+AX735</f>
        <v>0</v>
      </c>
      <c r="BD735" s="55">
        <f>H735/(100-BE735)*100</f>
        <v>0</v>
      </c>
      <c r="BE735" s="55">
        <v>0</v>
      </c>
      <c r="BF735" s="55">
        <f>K735</f>
        <v>0.028</v>
      </c>
      <c r="BH735" s="55">
        <f>G735*AO735</f>
        <v>0</v>
      </c>
      <c r="BI735" s="55">
        <f>G735*AP735</f>
        <v>0</v>
      </c>
      <c r="BJ735" s="55">
        <f>G735*H735</f>
        <v>0</v>
      </c>
      <c r="BK735" s="55"/>
      <c r="BL735" s="55">
        <v>726</v>
      </c>
      <c r="BW735" s="55">
        <v>21</v>
      </c>
    </row>
    <row r="736" spans="1:12" ht="13.5" customHeight="1">
      <c r="A736" s="59"/>
      <c r="D736" s="218" t="s">
        <v>1494</v>
      </c>
      <c r="E736" s="219"/>
      <c r="F736" s="219"/>
      <c r="G736" s="219"/>
      <c r="H736" s="219"/>
      <c r="I736" s="219"/>
      <c r="J736" s="219"/>
      <c r="K736" s="219"/>
      <c r="L736" s="221"/>
    </row>
    <row r="737" spans="1:12" ht="14.4">
      <c r="A737" s="59"/>
      <c r="D737" s="60" t="s">
        <v>130</v>
      </c>
      <c r="E737" s="60" t="s">
        <v>4</v>
      </c>
      <c r="G737" s="68">
        <v>2</v>
      </c>
      <c r="L737" s="69"/>
    </row>
    <row r="738" spans="1:75" ht="13.5" customHeight="1">
      <c r="A738" s="1" t="s">
        <v>1495</v>
      </c>
      <c r="B738" s="2" t="s">
        <v>116</v>
      </c>
      <c r="C738" s="2" t="s">
        <v>1496</v>
      </c>
      <c r="D738" s="147" t="s">
        <v>1497</v>
      </c>
      <c r="E738" s="148"/>
      <c r="F738" s="2" t="s">
        <v>1403</v>
      </c>
      <c r="G738" s="55">
        <f>'Stavební rozpočet-vyplnit'!G738</f>
        <v>1</v>
      </c>
      <c r="H738" s="55">
        <f>'Stavební rozpočet-vyplnit'!H738</f>
        <v>0</v>
      </c>
      <c r="I738" s="55">
        <f>G738*H738</f>
        <v>0</v>
      </c>
      <c r="J738" s="55">
        <f>'Stavební rozpočet-vyplnit'!J738</f>
        <v>0.012</v>
      </c>
      <c r="K738" s="55">
        <f>G738*J738</f>
        <v>0.012</v>
      </c>
      <c r="L738" s="57" t="s">
        <v>785</v>
      </c>
      <c r="Z738" s="55">
        <f>IF(AQ738="5",BJ738,0)</f>
        <v>0</v>
      </c>
      <c r="AB738" s="55">
        <f>IF(AQ738="1",BH738,0)</f>
        <v>0</v>
      </c>
      <c r="AC738" s="55">
        <f>IF(AQ738="1",BI738,0)</f>
        <v>0</v>
      </c>
      <c r="AD738" s="55">
        <f>IF(AQ738="7",BH738,0)</f>
        <v>0</v>
      </c>
      <c r="AE738" s="55">
        <f>IF(AQ738="7",BI738,0)</f>
        <v>0</v>
      </c>
      <c r="AF738" s="55">
        <f>IF(AQ738="2",BH738,0)</f>
        <v>0</v>
      </c>
      <c r="AG738" s="55">
        <f>IF(AQ738="2",BI738,0)</f>
        <v>0</v>
      </c>
      <c r="AH738" s="55">
        <f>IF(AQ738="0",BJ738,0)</f>
        <v>0</v>
      </c>
      <c r="AI738" s="34" t="s">
        <v>116</v>
      </c>
      <c r="AJ738" s="55">
        <f>IF(AN738=0,I738,0)</f>
        <v>0</v>
      </c>
      <c r="AK738" s="55">
        <f>IF(AN738=12,I738,0)</f>
        <v>0</v>
      </c>
      <c r="AL738" s="55">
        <f>IF(AN738=21,I738,0)</f>
        <v>0</v>
      </c>
      <c r="AN738" s="55">
        <v>21</v>
      </c>
      <c r="AO738" s="55">
        <f>H738*0.884759446</f>
        <v>0</v>
      </c>
      <c r="AP738" s="55">
        <f>H738*(1-0.884759446)</f>
        <v>0</v>
      </c>
      <c r="AQ738" s="58" t="s">
        <v>125</v>
      </c>
      <c r="AV738" s="55">
        <f>AW738+AX738</f>
        <v>0</v>
      </c>
      <c r="AW738" s="55">
        <f>G738*AO738</f>
        <v>0</v>
      </c>
      <c r="AX738" s="55">
        <f>G738*AP738</f>
        <v>0</v>
      </c>
      <c r="AY738" s="58" t="s">
        <v>1490</v>
      </c>
      <c r="AZ738" s="58" t="s">
        <v>1313</v>
      </c>
      <c r="BA738" s="34" t="s">
        <v>128</v>
      </c>
      <c r="BC738" s="55">
        <f>AW738+AX738</f>
        <v>0</v>
      </c>
      <c r="BD738" s="55">
        <f>H738/(100-BE738)*100</f>
        <v>0</v>
      </c>
      <c r="BE738" s="55">
        <v>0</v>
      </c>
      <c r="BF738" s="55">
        <f>K738</f>
        <v>0.012</v>
      </c>
      <c r="BH738" s="55">
        <f>G738*AO738</f>
        <v>0</v>
      </c>
      <c r="BI738" s="55">
        <f>G738*AP738</f>
        <v>0</v>
      </c>
      <c r="BJ738" s="55">
        <f>G738*H738</f>
        <v>0</v>
      </c>
      <c r="BK738" s="55"/>
      <c r="BL738" s="55">
        <v>726</v>
      </c>
      <c r="BW738" s="55">
        <v>21</v>
      </c>
    </row>
    <row r="739" spans="1:12" ht="14.4">
      <c r="A739" s="59"/>
      <c r="D739" s="60" t="s">
        <v>120</v>
      </c>
      <c r="E739" s="60" t="s">
        <v>4</v>
      </c>
      <c r="G739" s="68">
        <v>1</v>
      </c>
      <c r="L739" s="69"/>
    </row>
    <row r="740" spans="1:75" ht="13.5" customHeight="1">
      <c r="A740" s="1" t="s">
        <v>1498</v>
      </c>
      <c r="B740" s="2" t="s">
        <v>116</v>
      </c>
      <c r="C740" s="2" t="s">
        <v>1499</v>
      </c>
      <c r="D740" s="147" t="s">
        <v>1500</v>
      </c>
      <c r="E740" s="148"/>
      <c r="F740" s="2" t="s">
        <v>1403</v>
      </c>
      <c r="G740" s="55">
        <f>'Stavební rozpočet-vyplnit'!G740</f>
        <v>1</v>
      </c>
      <c r="H740" s="55">
        <f>'Stavební rozpočet-vyplnit'!H740</f>
        <v>0</v>
      </c>
      <c r="I740" s="55">
        <f>G740*H740</f>
        <v>0</v>
      </c>
      <c r="J740" s="55">
        <f>'Stavební rozpočet-vyplnit'!J740</f>
        <v>0.008</v>
      </c>
      <c r="K740" s="55">
        <f>G740*J740</f>
        <v>0.008</v>
      </c>
      <c r="L740" s="57" t="s">
        <v>785</v>
      </c>
      <c r="Z740" s="55">
        <f>IF(AQ740="5",BJ740,0)</f>
        <v>0</v>
      </c>
      <c r="AB740" s="55">
        <f>IF(AQ740="1",BH740,0)</f>
        <v>0</v>
      </c>
      <c r="AC740" s="55">
        <f>IF(AQ740="1",BI740,0)</f>
        <v>0</v>
      </c>
      <c r="AD740" s="55">
        <f>IF(AQ740="7",BH740,0)</f>
        <v>0</v>
      </c>
      <c r="AE740" s="55">
        <f>IF(AQ740="7",BI740,0)</f>
        <v>0</v>
      </c>
      <c r="AF740" s="55">
        <f>IF(AQ740="2",BH740,0)</f>
        <v>0</v>
      </c>
      <c r="AG740" s="55">
        <f>IF(AQ740="2",BI740,0)</f>
        <v>0</v>
      </c>
      <c r="AH740" s="55">
        <f>IF(AQ740="0",BJ740,0)</f>
        <v>0</v>
      </c>
      <c r="AI740" s="34" t="s">
        <v>116</v>
      </c>
      <c r="AJ740" s="55">
        <f>IF(AN740=0,I740,0)</f>
        <v>0</v>
      </c>
      <c r="AK740" s="55">
        <f>IF(AN740=12,I740,0)</f>
        <v>0</v>
      </c>
      <c r="AL740" s="55">
        <f>IF(AN740=21,I740,0)</f>
        <v>0</v>
      </c>
      <c r="AN740" s="55">
        <v>21</v>
      </c>
      <c r="AO740" s="55">
        <f>H740*0.857402597</f>
        <v>0</v>
      </c>
      <c r="AP740" s="55">
        <f>H740*(1-0.857402597)</f>
        <v>0</v>
      </c>
      <c r="AQ740" s="58" t="s">
        <v>125</v>
      </c>
      <c r="AV740" s="55">
        <f>AW740+AX740</f>
        <v>0</v>
      </c>
      <c r="AW740" s="55">
        <f>G740*AO740</f>
        <v>0</v>
      </c>
      <c r="AX740" s="55">
        <f>G740*AP740</f>
        <v>0</v>
      </c>
      <c r="AY740" s="58" t="s">
        <v>1490</v>
      </c>
      <c r="AZ740" s="58" t="s">
        <v>1313</v>
      </c>
      <c r="BA740" s="34" t="s">
        <v>128</v>
      </c>
      <c r="BC740" s="55">
        <f>AW740+AX740</f>
        <v>0</v>
      </c>
      <c r="BD740" s="55">
        <f>H740/(100-BE740)*100</f>
        <v>0</v>
      </c>
      <c r="BE740" s="55">
        <v>0</v>
      </c>
      <c r="BF740" s="55">
        <f>K740</f>
        <v>0.008</v>
      </c>
      <c r="BH740" s="55">
        <f>G740*AO740</f>
        <v>0</v>
      </c>
      <c r="BI740" s="55">
        <f>G740*AP740</f>
        <v>0</v>
      </c>
      <c r="BJ740" s="55">
        <f>G740*H740</f>
        <v>0</v>
      </c>
      <c r="BK740" s="55"/>
      <c r="BL740" s="55">
        <v>726</v>
      </c>
      <c r="BW740" s="55">
        <v>21</v>
      </c>
    </row>
    <row r="741" spans="1:12" ht="14.4">
      <c r="A741" s="59"/>
      <c r="D741" s="60" t="s">
        <v>120</v>
      </c>
      <c r="E741" s="60" t="s">
        <v>4</v>
      </c>
      <c r="G741" s="68">
        <v>1</v>
      </c>
      <c r="L741" s="69"/>
    </row>
    <row r="742" spans="1:75" ht="13.5" customHeight="1">
      <c r="A742" s="1" t="s">
        <v>1501</v>
      </c>
      <c r="B742" s="2" t="s">
        <v>116</v>
      </c>
      <c r="C742" s="2" t="s">
        <v>1502</v>
      </c>
      <c r="D742" s="147" t="s">
        <v>1503</v>
      </c>
      <c r="E742" s="148"/>
      <c r="F742" s="2" t="s">
        <v>1403</v>
      </c>
      <c r="G742" s="55">
        <f>'Stavební rozpočet-vyplnit'!G742</f>
        <v>4</v>
      </c>
      <c r="H742" s="55">
        <f>'Stavební rozpočet-vyplnit'!H742</f>
        <v>0</v>
      </c>
      <c r="I742" s="55">
        <f>G742*H742</f>
        <v>0</v>
      </c>
      <c r="J742" s="55">
        <f>'Stavební rozpočet-vyplnit'!J742</f>
        <v>0.018</v>
      </c>
      <c r="K742" s="55">
        <f>G742*J742</f>
        <v>0.072</v>
      </c>
      <c r="L742" s="57" t="s">
        <v>785</v>
      </c>
      <c r="Z742" s="55">
        <f>IF(AQ742="5",BJ742,0)</f>
        <v>0</v>
      </c>
      <c r="AB742" s="55">
        <f>IF(AQ742="1",BH742,0)</f>
        <v>0</v>
      </c>
      <c r="AC742" s="55">
        <f>IF(AQ742="1",BI742,0)</f>
        <v>0</v>
      </c>
      <c r="AD742" s="55">
        <f>IF(AQ742="7",BH742,0)</f>
        <v>0</v>
      </c>
      <c r="AE742" s="55">
        <f>IF(AQ742="7",BI742,0)</f>
        <v>0</v>
      </c>
      <c r="AF742" s="55">
        <f>IF(AQ742="2",BH742,0)</f>
        <v>0</v>
      </c>
      <c r="AG742" s="55">
        <f>IF(AQ742="2",BI742,0)</f>
        <v>0</v>
      </c>
      <c r="AH742" s="55">
        <f>IF(AQ742="0",BJ742,0)</f>
        <v>0</v>
      </c>
      <c r="AI742" s="34" t="s">
        <v>116</v>
      </c>
      <c r="AJ742" s="55">
        <f>IF(AN742=0,I742,0)</f>
        <v>0</v>
      </c>
      <c r="AK742" s="55">
        <f>IF(AN742=12,I742,0)</f>
        <v>0</v>
      </c>
      <c r="AL742" s="55">
        <f>IF(AN742=21,I742,0)</f>
        <v>0</v>
      </c>
      <c r="AN742" s="55">
        <v>21</v>
      </c>
      <c r="AO742" s="55">
        <f>H742*0.932654852</f>
        <v>0</v>
      </c>
      <c r="AP742" s="55">
        <f>H742*(1-0.932654852)</f>
        <v>0</v>
      </c>
      <c r="AQ742" s="58" t="s">
        <v>125</v>
      </c>
      <c r="AV742" s="55">
        <f>AW742+AX742</f>
        <v>0</v>
      </c>
      <c r="AW742" s="55">
        <f>G742*AO742</f>
        <v>0</v>
      </c>
      <c r="AX742" s="55">
        <f>G742*AP742</f>
        <v>0</v>
      </c>
      <c r="AY742" s="58" t="s">
        <v>1490</v>
      </c>
      <c r="AZ742" s="58" t="s">
        <v>1313</v>
      </c>
      <c r="BA742" s="34" t="s">
        <v>128</v>
      </c>
      <c r="BC742" s="55">
        <f>AW742+AX742</f>
        <v>0</v>
      </c>
      <c r="BD742" s="55">
        <f>H742/(100-BE742)*100</f>
        <v>0</v>
      </c>
      <c r="BE742" s="55">
        <v>0</v>
      </c>
      <c r="BF742" s="55">
        <f>K742</f>
        <v>0.072</v>
      </c>
      <c r="BH742" s="55">
        <f>G742*AO742</f>
        <v>0</v>
      </c>
      <c r="BI742" s="55">
        <f>G742*AP742</f>
        <v>0</v>
      </c>
      <c r="BJ742" s="55">
        <f>G742*H742</f>
        <v>0</v>
      </c>
      <c r="BK742" s="55"/>
      <c r="BL742" s="55">
        <v>726</v>
      </c>
      <c r="BW742" s="55">
        <v>21</v>
      </c>
    </row>
    <row r="743" spans="1:12" ht="14.4">
      <c r="A743" s="59"/>
      <c r="D743" s="60" t="s">
        <v>136</v>
      </c>
      <c r="E743" s="60" t="s">
        <v>4</v>
      </c>
      <c r="G743" s="68">
        <v>4</v>
      </c>
      <c r="L743" s="69"/>
    </row>
    <row r="744" spans="1:75" ht="13.5" customHeight="1">
      <c r="A744" s="1" t="s">
        <v>1504</v>
      </c>
      <c r="B744" s="2" t="s">
        <v>116</v>
      </c>
      <c r="C744" s="2" t="s">
        <v>1505</v>
      </c>
      <c r="D744" s="147" t="s">
        <v>1506</v>
      </c>
      <c r="E744" s="148"/>
      <c r="F744" s="2" t="s">
        <v>939</v>
      </c>
      <c r="G744" s="55">
        <f>'Stavební rozpočet-vyplnit'!G744</f>
        <v>0.16</v>
      </c>
      <c r="H744" s="55">
        <f>'Stavební rozpočet-vyplnit'!H744</f>
        <v>0</v>
      </c>
      <c r="I744" s="55">
        <f>G744*H744</f>
        <v>0</v>
      </c>
      <c r="J744" s="55">
        <f>'Stavební rozpočet-vyplnit'!J744</f>
        <v>0</v>
      </c>
      <c r="K744" s="55">
        <f>G744*J744</f>
        <v>0</v>
      </c>
      <c r="L744" s="57" t="s">
        <v>785</v>
      </c>
      <c r="Z744" s="55">
        <f>IF(AQ744="5",BJ744,0)</f>
        <v>0</v>
      </c>
      <c r="AB744" s="55">
        <f>IF(AQ744="1",BH744,0)</f>
        <v>0</v>
      </c>
      <c r="AC744" s="55">
        <f>IF(AQ744="1",BI744,0)</f>
        <v>0</v>
      </c>
      <c r="AD744" s="55">
        <f>IF(AQ744="7",BH744,0)</f>
        <v>0</v>
      </c>
      <c r="AE744" s="55">
        <f>IF(AQ744="7",BI744,0)</f>
        <v>0</v>
      </c>
      <c r="AF744" s="55">
        <f>IF(AQ744="2",BH744,0)</f>
        <v>0</v>
      </c>
      <c r="AG744" s="55">
        <f>IF(AQ744="2",BI744,0)</f>
        <v>0</v>
      </c>
      <c r="AH744" s="55">
        <f>IF(AQ744="0",BJ744,0)</f>
        <v>0</v>
      </c>
      <c r="AI744" s="34" t="s">
        <v>116</v>
      </c>
      <c r="AJ744" s="55">
        <f>IF(AN744=0,I744,0)</f>
        <v>0</v>
      </c>
      <c r="AK744" s="55">
        <f>IF(AN744=12,I744,0)</f>
        <v>0</v>
      </c>
      <c r="AL744" s="55">
        <f>IF(AN744=21,I744,0)</f>
        <v>0</v>
      </c>
      <c r="AN744" s="55">
        <v>21</v>
      </c>
      <c r="AO744" s="55">
        <f>H744*0</f>
        <v>0</v>
      </c>
      <c r="AP744" s="55">
        <f>H744*(1-0)</f>
        <v>0</v>
      </c>
      <c r="AQ744" s="58" t="s">
        <v>139</v>
      </c>
      <c r="AV744" s="55">
        <f>AW744+AX744</f>
        <v>0</v>
      </c>
      <c r="AW744" s="55">
        <f>G744*AO744</f>
        <v>0</v>
      </c>
      <c r="AX744" s="55">
        <f>G744*AP744</f>
        <v>0</v>
      </c>
      <c r="AY744" s="58" t="s">
        <v>1490</v>
      </c>
      <c r="AZ744" s="58" t="s">
        <v>1313</v>
      </c>
      <c r="BA744" s="34" t="s">
        <v>128</v>
      </c>
      <c r="BB744" s="67">
        <v>100052</v>
      </c>
      <c r="BC744" s="55">
        <f>AW744+AX744</f>
        <v>0</v>
      </c>
      <c r="BD744" s="55">
        <f>H744/(100-BE744)*100</f>
        <v>0</v>
      </c>
      <c r="BE744" s="55">
        <v>0</v>
      </c>
      <c r="BF744" s="55">
        <f>K744</f>
        <v>0</v>
      </c>
      <c r="BH744" s="55">
        <f>G744*AO744</f>
        <v>0</v>
      </c>
      <c r="BI744" s="55">
        <f>G744*AP744</f>
        <v>0</v>
      </c>
      <c r="BJ744" s="55">
        <f>G744*H744</f>
        <v>0</v>
      </c>
      <c r="BK744" s="55"/>
      <c r="BL744" s="55">
        <v>726</v>
      </c>
      <c r="BW744" s="55">
        <v>21</v>
      </c>
    </row>
    <row r="745" spans="1:12" ht="14.4">
      <c r="A745" s="59"/>
      <c r="D745" s="60" t="s">
        <v>1507</v>
      </c>
      <c r="E745" s="60" t="s">
        <v>4</v>
      </c>
      <c r="G745" s="68">
        <v>0.16</v>
      </c>
      <c r="L745" s="69"/>
    </row>
    <row r="746" spans="1:47" ht="14.4">
      <c r="A746" s="50" t="s">
        <v>4</v>
      </c>
      <c r="B746" s="51" t="s">
        <v>116</v>
      </c>
      <c r="C746" s="51" t="s">
        <v>1508</v>
      </c>
      <c r="D746" s="222" t="s">
        <v>370</v>
      </c>
      <c r="E746" s="223"/>
      <c r="F746" s="52" t="s">
        <v>79</v>
      </c>
      <c r="G746" s="52" t="s">
        <v>79</v>
      </c>
      <c r="H746" s="52" t="s">
        <v>79</v>
      </c>
      <c r="I746" s="27">
        <f>SUM(I747:I751)</f>
        <v>0</v>
      </c>
      <c r="J746" s="34" t="s">
        <v>4</v>
      </c>
      <c r="K746" s="27">
        <f>SUM(K747:K751)</f>
        <v>0.003</v>
      </c>
      <c r="L746" s="54" t="s">
        <v>4</v>
      </c>
      <c r="AI746" s="34" t="s">
        <v>116</v>
      </c>
      <c r="AS746" s="27">
        <f>SUM(AJ747:AJ751)</f>
        <v>0</v>
      </c>
      <c r="AT746" s="27">
        <f>SUM(AK747:AK751)</f>
        <v>0</v>
      </c>
      <c r="AU746" s="27">
        <f>SUM(AL747:AL751)</f>
        <v>0</v>
      </c>
    </row>
    <row r="747" spans="1:75" ht="13.5" customHeight="1">
      <c r="A747" s="1" t="s">
        <v>1509</v>
      </c>
      <c r="B747" s="2" t="s">
        <v>116</v>
      </c>
      <c r="C747" s="2" t="s">
        <v>1510</v>
      </c>
      <c r="D747" s="147" t="s">
        <v>1511</v>
      </c>
      <c r="E747" s="148"/>
      <c r="F747" s="2" t="s">
        <v>374</v>
      </c>
      <c r="G747" s="55">
        <f>'Stavební rozpočet-vyplnit'!G747</f>
        <v>0</v>
      </c>
      <c r="H747" s="55">
        <f>'Stavební rozpočet-vyplnit'!H747</f>
        <v>0</v>
      </c>
      <c r="I747" s="55">
        <f>G747*H747</f>
        <v>0</v>
      </c>
      <c r="J747" s="55">
        <f>'Stavební rozpočet-vyplnit'!J747</f>
        <v>0</v>
      </c>
      <c r="K747" s="55">
        <f>G747*J747</f>
        <v>0</v>
      </c>
      <c r="L747" s="57" t="s">
        <v>785</v>
      </c>
      <c r="Z747" s="55">
        <f>IF(AQ747="5",BJ747,0)</f>
        <v>0</v>
      </c>
      <c r="AB747" s="55">
        <f>IF(AQ747="1",BH747,0)</f>
        <v>0</v>
      </c>
      <c r="AC747" s="55">
        <f>IF(AQ747="1",BI747,0)</f>
        <v>0</v>
      </c>
      <c r="AD747" s="55">
        <f>IF(AQ747="7",BH747,0)</f>
        <v>0</v>
      </c>
      <c r="AE747" s="55">
        <f>IF(AQ747="7",BI747,0)</f>
        <v>0</v>
      </c>
      <c r="AF747" s="55">
        <f>IF(AQ747="2",BH747,0)</f>
        <v>0</v>
      </c>
      <c r="AG747" s="55">
        <f>IF(AQ747="2",BI747,0)</f>
        <v>0</v>
      </c>
      <c r="AH747" s="55">
        <f>IF(AQ747="0",BJ747,0)</f>
        <v>0</v>
      </c>
      <c r="AI747" s="34" t="s">
        <v>116</v>
      </c>
      <c r="AJ747" s="55">
        <f>IF(AN747=0,I747,0)</f>
        <v>0</v>
      </c>
      <c r="AK747" s="55">
        <f>IF(AN747=12,I747,0)</f>
        <v>0</v>
      </c>
      <c r="AL747" s="55">
        <f>IF(AN747=21,I747,0)</f>
        <v>0</v>
      </c>
      <c r="AN747" s="55">
        <v>21</v>
      </c>
      <c r="AO747" s="55">
        <f>H747*0</f>
        <v>0</v>
      </c>
      <c r="AP747" s="55">
        <f>H747*(1-0)</f>
        <v>0</v>
      </c>
      <c r="AQ747" s="58" t="s">
        <v>125</v>
      </c>
      <c r="AV747" s="55">
        <f>AW747+AX747</f>
        <v>0</v>
      </c>
      <c r="AW747" s="55">
        <f>G747*AO747</f>
        <v>0</v>
      </c>
      <c r="AX747" s="55">
        <f>G747*AP747</f>
        <v>0</v>
      </c>
      <c r="AY747" s="58" t="s">
        <v>1512</v>
      </c>
      <c r="AZ747" s="58" t="s">
        <v>1313</v>
      </c>
      <c r="BA747" s="34" t="s">
        <v>128</v>
      </c>
      <c r="BC747" s="55">
        <f>AW747+AX747</f>
        <v>0</v>
      </c>
      <c r="BD747" s="55">
        <f>H747/(100-BE747)*100</f>
        <v>0</v>
      </c>
      <c r="BE747" s="55">
        <v>0</v>
      </c>
      <c r="BF747" s="55">
        <f>K747</f>
        <v>0</v>
      </c>
      <c r="BH747" s="55">
        <f>G747*AO747</f>
        <v>0</v>
      </c>
      <c r="BI747" s="55">
        <f>G747*AP747</f>
        <v>0</v>
      </c>
      <c r="BJ747" s="55">
        <f>G747*H747</f>
        <v>0</v>
      </c>
      <c r="BK747" s="55"/>
      <c r="BL747" s="55">
        <v>728</v>
      </c>
      <c r="BW747" s="55">
        <v>21</v>
      </c>
    </row>
    <row r="748" spans="1:12" ht="13.5" customHeight="1">
      <c r="A748" s="59"/>
      <c r="D748" s="218" t="s">
        <v>1513</v>
      </c>
      <c r="E748" s="219"/>
      <c r="F748" s="219"/>
      <c r="G748" s="219"/>
      <c r="H748" s="219"/>
      <c r="I748" s="219"/>
      <c r="J748" s="219"/>
      <c r="K748" s="219"/>
      <c r="L748" s="221"/>
    </row>
    <row r="749" spans="1:75" ht="27" customHeight="1">
      <c r="A749" s="61" t="s">
        <v>1514</v>
      </c>
      <c r="B749" s="62" t="s">
        <v>116</v>
      </c>
      <c r="C749" s="62" t="s">
        <v>1515</v>
      </c>
      <c r="D749" s="224" t="s">
        <v>1516</v>
      </c>
      <c r="E749" s="225"/>
      <c r="F749" s="62" t="s">
        <v>374</v>
      </c>
      <c r="G749" s="63">
        <f>'Stavební rozpočet-vyplnit'!G749</f>
        <v>1</v>
      </c>
      <c r="H749" s="63">
        <f>'Stavební rozpočet-vyplnit'!H749</f>
        <v>0</v>
      </c>
      <c r="I749" s="63">
        <f>G749*H749</f>
        <v>0</v>
      </c>
      <c r="J749" s="63">
        <f>'Stavební rozpočet-vyplnit'!J749</f>
        <v>0.003</v>
      </c>
      <c r="K749" s="63">
        <f>G749*J749</f>
        <v>0.003</v>
      </c>
      <c r="L749" s="65" t="s">
        <v>124</v>
      </c>
      <c r="Z749" s="55">
        <f>IF(AQ749="5",BJ749,0)</f>
        <v>0</v>
      </c>
      <c r="AB749" s="55">
        <f>IF(AQ749="1",BH749,0)</f>
        <v>0</v>
      </c>
      <c r="AC749" s="55">
        <f>IF(AQ749="1",BI749,0)</f>
        <v>0</v>
      </c>
      <c r="AD749" s="55">
        <f>IF(AQ749="7",BH749,0)</f>
        <v>0</v>
      </c>
      <c r="AE749" s="55">
        <f>IF(AQ749="7",BI749,0)</f>
        <v>0</v>
      </c>
      <c r="AF749" s="55">
        <f>IF(AQ749="2",BH749,0)</f>
        <v>0</v>
      </c>
      <c r="AG749" s="55">
        <f>IF(AQ749="2",BI749,0)</f>
        <v>0</v>
      </c>
      <c r="AH749" s="55">
        <f>IF(AQ749="0",BJ749,0)</f>
        <v>0</v>
      </c>
      <c r="AI749" s="34" t="s">
        <v>116</v>
      </c>
      <c r="AJ749" s="63">
        <f>IF(AN749=0,I749,0)</f>
        <v>0</v>
      </c>
      <c r="AK749" s="63">
        <f>IF(AN749=12,I749,0)</f>
        <v>0</v>
      </c>
      <c r="AL749" s="63">
        <f>IF(AN749=21,I749,0)</f>
        <v>0</v>
      </c>
      <c r="AN749" s="55">
        <v>21</v>
      </c>
      <c r="AO749" s="55">
        <f>H749*1</f>
        <v>0</v>
      </c>
      <c r="AP749" s="55">
        <f>H749*(1-1)</f>
        <v>0</v>
      </c>
      <c r="AQ749" s="66" t="s">
        <v>125</v>
      </c>
      <c r="AV749" s="55">
        <f>AW749+AX749</f>
        <v>0</v>
      </c>
      <c r="AW749" s="55">
        <f>G749*AO749</f>
        <v>0</v>
      </c>
      <c r="AX749" s="55">
        <f>G749*AP749</f>
        <v>0</v>
      </c>
      <c r="AY749" s="58" t="s">
        <v>1512</v>
      </c>
      <c r="AZ749" s="58" t="s">
        <v>1313</v>
      </c>
      <c r="BA749" s="34" t="s">
        <v>128</v>
      </c>
      <c r="BC749" s="55">
        <f>AW749+AX749</f>
        <v>0</v>
      </c>
      <c r="BD749" s="55">
        <f>H749/(100-BE749)*100</f>
        <v>0</v>
      </c>
      <c r="BE749" s="55">
        <v>0</v>
      </c>
      <c r="BF749" s="55">
        <f>K749</f>
        <v>0.003</v>
      </c>
      <c r="BH749" s="63">
        <f>G749*AO749</f>
        <v>0</v>
      </c>
      <c r="BI749" s="63">
        <f>G749*AP749</f>
        <v>0</v>
      </c>
      <c r="BJ749" s="63">
        <f>G749*H749</f>
        <v>0</v>
      </c>
      <c r="BK749" s="63"/>
      <c r="BL749" s="55">
        <v>728</v>
      </c>
      <c r="BW749" s="55">
        <v>21</v>
      </c>
    </row>
    <row r="750" spans="1:12" ht="14.4">
      <c r="A750" s="59"/>
      <c r="D750" s="60" t="s">
        <v>120</v>
      </c>
      <c r="E750" s="60" t="s">
        <v>4</v>
      </c>
      <c r="G750" s="68">
        <v>1</v>
      </c>
      <c r="L750" s="69"/>
    </row>
    <row r="751" spans="1:75" ht="13.5" customHeight="1">
      <c r="A751" s="1" t="s">
        <v>1517</v>
      </c>
      <c r="B751" s="2" t="s">
        <v>116</v>
      </c>
      <c r="C751" s="2" t="s">
        <v>1518</v>
      </c>
      <c r="D751" s="147" t="s">
        <v>1519</v>
      </c>
      <c r="E751" s="148"/>
      <c r="F751" s="2" t="s">
        <v>939</v>
      </c>
      <c r="G751" s="55">
        <f>'Stavební rozpočet-vyplnit'!G751</f>
        <v>0.01</v>
      </c>
      <c r="H751" s="55">
        <f>'Stavební rozpočet-vyplnit'!H751</f>
        <v>0</v>
      </c>
      <c r="I751" s="55">
        <f>G751*H751</f>
        <v>0</v>
      </c>
      <c r="J751" s="55">
        <f>'Stavební rozpočet-vyplnit'!J751</f>
        <v>0</v>
      </c>
      <c r="K751" s="55">
        <f>G751*J751</f>
        <v>0</v>
      </c>
      <c r="L751" s="57" t="s">
        <v>785</v>
      </c>
      <c r="Z751" s="55">
        <f>IF(AQ751="5",BJ751,0)</f>
        <v>0</v>
      </c>
      <c r="AB751" s="55">
        <f>IF(AQ751="1",BH751,0)</f>
        <v>0</v>
      </c>
      <c r="AC751" s="55">
        <f>IF(AQ751="1",BI751,0)</f>
        <v>0</v>
      </c>
      <c r="AD751" s="55">
        <f>IF(AQ751="7",BH751,0)</f>
        <v>0</v>
      </c>
      <c r="AE751" s="55">
        <f>IF(AQ751="7",BI751,0)</f>
        <v>0</v>
      </c>
      <c r="AF751" s="55">
        <f>IF(AQ751="2",BH751,0)</f>
        <v>0</v>
      </c>
      <c r="AG751" s="55">
        <f>IF(AQ751="2",BI751,0)</f>
        <v>0</v>
      </c>
      <c r="AH751" s="55">
        <f>IF(AQ751="0",BJ751,0)</f>
        <v>0</v>
      </c>
      <c r="AI751" s="34" t="s">
        <v>116</v>
      </c>
      <c r="AJ751" s="55">
        <f>IF(AN751=0,I751,0)</f>
        <v>0</v>
      </c>
      <c r="AK751" s="55">
        <f>IF(AN751=12,I751,0)</f>
        <v>0</v>
      </c>
      <c r="AL751" s="55">
        <f>IF(AN751=21,I751,0)</f>
        <v>0</v>
      </c>
      <c r="AN751" s="55">
        <v>21</v>
      </c>
      <c r="AO751" s="55">
        <f>H751*0</f>
        <v>0</v>
      </c>
      <c r="AP751" s="55">
        <f>H751*(1-0)</f>
        <v>0</v>
      </c>
      <c r="AQ751" s="58" t="s">
        <v>139</v>
      </c>
      <c r="AV751" s="55">
        <f>AW751+AX751</f>
        <v>0</v>
      </c>
      <c r="AW751" s="55">
        <f>G751*AO751</f>
        <v>0</v>
      </c>
      <c r="AX751" s="55">
        <f>G751*AP751</f>
        <v>0</v>
      </c>
      <c r="AY751" s="58" t="s">
        <v>1512</v>
      </c>
      <c r="AZ751" s="58" t="s">
        <v>1313</v>
      </c>
      <c r="BA751" s="34" t="s">
        <v>128</v>
      </c>
      <c r="BB751" s="67">
        <v>100051</v>
      </c>
      <c r="BC751" s="55">
        <f>AW751+AX751</f>
        <v>0</v>
      </c>
      <c r="BD751" s="55">
        <f>H751/(100-BE751)*100</f>
        <v>0</v>
      </c>
      <c r="BE751" s="55">
        <v>0</v>
      </c>
      <c r="BF751" s="55">
        <f>K751</f>
        <v>0</v>
      </c>
      <c r="BH751" s="55">
        <f>G751*AO751</f>
        <v>0</v>
      </c>
      <c r="BI751" s="55">
        <f>G751*AP751</f>
        <v>0</v>
      </c>
      <c r="BJ751" s="55">
        <f>G751*H751</f>
        <v>0</v>
      </c>
      <c r="BK751" s="55"/>
      <c r="BL751" s="55">
        <v>728</v>
      </c>
      <c r="BW751" s="55">
        <v>21</v>
      </c>
    </row>
    <row r="752" spans="1:12" ht="14.4">
      <c r="A752" s="59"/>
      <c r="D752" s="60" t="s">
        <v>1520</v>
      </c>
      <c r="E752" s="60" t="s">
        <v>4</v>
      </c>
      <c r="G752" s="68">
        <v>0.01</v>
      </c>
      <c r="L752" s="69"/>
    </row>
    <row r="753" spans="1:47" ht="14.4">
      <c r="A753" s="50" t="s">
        <v>4</v>
      </c>
      <c r="B753" s="51" t="s">
        <v>116</v>
      </c>
      <c r="C753" s="51" t="s">
        <v>1521</v>
      </c>
      <c r="D753" s="222" t="s">
        <v>1522</v>
      </c>
      <c r="E753" s="223"/>
      <c r="F753" s="52" t="s">
        <v>79</v>
      </c>
      <c r="G753" s="52" t="s">
        <v>79</v>
      </c>
      <c r="H753" s="52" t="s">
        <v>79</v>
      </c>
      <c r="I753" s="27">
        <f>SUM(I754:I756)</f>
        <v>0</v>
      </c>
      <c r="J753" s="34" t="s">
        <v>4</v>
      </c>
      <c r="K753" s="27">
        <f>SUM(K754:K756)</f>
        <v>0</v>
      </c>
      <c r="L753" s="54" t="s">
        <v>4</v>
      </c>
      <c r="AI753" s="34" t="s">
        <v>116</v>
      </c>
      <c r="AS753" s="27">
        <f>SUM(AJ754:AJ756)</f>
        <v>0</v>
      </c>
      <c r="AT753" s="27">
        <f>SUM(AK754:AK756)</f>
        <v>0</v>
      </c>
      <c r="AU753" s="27">
        <f>SUM(AL754:AL756)</f>
        <v>0</v>
      </c>
    </row>
    <row r="754" spans="1:75" ht="13.5" customHeight="1">
      <c r="A754" s="1" t="s">
        <v>1523</v>
      </c>
      <c r="B754" s="2" t="s">
        <v>116</v>
      </c>
      <c r="C754" s="2" t="s">
        <v>1524</v>
      </c>
      <c r="D754" s="147" t="s">
        <v>1525</v>
      </c>
      <c r="E754" s="148"/>
      <c r="F754" s="2" t="s">
        <v>360</v>
      </c>
      <c r="G754" s="55">
        <f>'Stavební rozpočet-vyplnit'!G754</f>
        <v>36</v>
      </c>
      <c r="H754" s="55">
        <f>'Stavební rozpočet-vyplnit'!H754</f>
        <v>0</v>
      </c>
      <c r="I754" s="55">
        <f>G754*H754</f>
        <v>0</v>
      </c>
      <c r="J754" s="55">
        <f>'Stavební rozpočet-vyplnit'!J754</f>
        <v>0</v>
      </c>
      <c r="K754" s="55">
        <f>G754*J754</f>
        <v>0</v>
      </c>
      <c r="L754" s="57" t="s">
        <v>124</v>
      </c>
      <c r="Z754" s="55">
        <f>IF(AQ754="5",BJ754,0)</f>
        <v>0</v>
      </c>
      <c r="AB754" s="55">
        <f>IF(AQ754="1",BH754,0)</f>
        <v>0</v>
      </c>
      <c r="AC754" s="55">
        <f>IF(AQ754="1",BI754,0)</f>
        <v>0</v>
      </c>
      <c r="AD754" s="55">
        <f>IF(AQ754="7",BH754,0)</f>
        <v>0</v>
      </c>
      <c r="AE754" s="55">
        <f>IF(AQ754="7",BI754,0)</f>
        <v>0</v>
      </c>
      <c r="AF754" s="55">
        <f>IF(AQ754="2",BH754,0)</f>
        <v>0</v>
      </c>
      <c r="AG754" s="55">
        <f>IF(AQ754="2",BI754,0)</f>
        <v>0</v>
      </c>
      <c r="AH754" s="55">
        <f>IF(AQ754="0",BJ754,0)</f>
        <v>0</v>
      </c>
      <c r="AI754" s="34" t="s">
        <v>116</v>
      </c>
      <c r="AJ754" s="55">
        <f>IF(AN754=0,I754,0)</f>
        <v>0</v>
      </c>
      <c r="AK754" s="55">
        <f>IF(AN754=12,I754,0)</f>
        <v>0</v>
      </c>
      <c r="AL754" s="55">
        <f>IF(AN754=21,I754,0)</f>
        <v>0</v>
      </c>
      <c r="AN754" s="55">
        <v>21</v>
      </c>
      <c r="AO754" s="55">
        <f>H754*0</f>
        <v>0</v>
      </c>
      <c r="AP754" s="55">
        <f>H754*(1-0)</f>
        <v>0</v>
      </c>
      <c r="AQ754" s="58" t="s">
        <v>125</v>
      </c>
      <c r="AV754" s="55">
        <f>AW754+AX754</f>
        <v>0</v>
      </c>
      <c r="AW754" s="55">
        <f>G754*AO754</f>
        <v>0</v>
      </c>
      <c r="AX754" s="55">
        <f>G754*AP754</f>
        <v>0</v>
      </c>
      <c r="AY754" s="58" t="s">
        <v>1526</v>
      </c>
      <c r="AZ754" s="58" t="s">
        <v>1527</v>
      </c>
      <c r="BA754" s="34" t="s">
        <v>128</v>
      </c>
      <c r="BC754" s="55">
        <f>AW754+AX754</f>
        <v>0</v>
      </c>
      <c r="BD754" s="55">
        <f>H754/(100-BE754)*100</f>
        <v>0</v>
      </c>
      <c r="BE754" s="55">
        <v>0</v>
      </c>
      <c r="BF754" s="55">
        <f>K754</f>
        <v>0</v>
      </c>
      <c r="BH754" s="55">
        <f>G754*AO754</f>
        <v>0</v>
      </c>
      <c r="BI754" s="55">
        <f>G754*AP754</f>
        <v>0</v>
      </c>
      <c r="BJ754" s="55">
        <f>G754*H754</f>
        <v>0</v>
      </c>
      <c r="BK754" s="55"/>
      <c r="BL754" s="55">
        <v>730</v>
      </c>
      <c r="BW754" s="55">
        <v>21</v>
      </c>
    </row>
    <row r="755" spans="1:75" ht="13.5" customHeight="1">
      <c r="A755" s="1" t="s">
        <v>1528</v>
      </c>
      <c r="B755" s="2" t="s">
        <v>116</v>
      </c>
      <c r="C755" s="2" t="s">
        <v>364</v>
      </c>
      <c r="D755" s="147" t="s">
        <v>365</v>
      </c>
      <c r="E755" s="148"/>
      <c r="F755" s="2" t="s">
        <v>360</v>
      </c>
      <c r="G755" s="55">
        <f>'Stavební rozpočet-vyplnit'!G755</f>
        <v>12</v>
      </c>
      <c r="H755" s="55">
        <f>'Stavební rozpočet-vyplnit'!H755</f>
        <v>0</v>
      </c>
      <c r="I755" s="55">
        <f>G755*H755</f>
        <v>0</v>
      </c>
      <c r="J755" s="55">
        <f>'Stavební rozpočet-vyplnit'!J755</f>
        <v>0</v>
      </c>
      <c r="K755" s="55">
        <f>G755*J755</f>
        <v>0</v>
      </c>
      <c r="L755" s="57" t="s">
        <v>124</v>
      </c>
      <c r="Z755" s="55">
        <f>IF(AQ755="5",BJ755,0)</f>
        <v>0</v>
      </c>
      <c r="AB755" s="55">
        <f>IF(AQ755="1",BH755,0)</f>
        <v>0</v>
      </c>
      <c r="AC755" s="55">
        <f>IF(AQ755="1",BI755,0)</f>
        <v>0</v>
      </c>
      <c r="AD755" s="55">
        <f>IF(AQ755="7",BH755,0)</f>
        <v>0</v>
      </c>
      <c r="AE755" s="55">
        <f>IF(AQ755="7",BI755,0)</f>
        <v>0</v>
      </c>
      <c r="AF755" s="55">
        <f>IF(AQ755="2",BH755,0)</f>
        <v>0</v>
      </c>
      <c r="AG755" s="55">
        <f>IF(AQ755="2",BI755,0)</f>
        <v>0</v>
      </c>
      <c r="AH755" s="55">
        <f>IF(AQ755="0",BJ755,0)</f>
        <v>0</v>
      </c>
      <c r="AI755" s="34" t="s">
        <v>116</v>
      </c>
      <c r="AJ755" s="55">
        <f>IF(AN755=0,I755,0)</f>
        <v>0</v>
      </c>
      <c r="AK755" s="55">
        <f>IF(AN755=12,I755,0)</f>
        <v>0</v>
      </c>
      <c r="AL755" s="55">
        <f>IF(AN755=21,I755,0)</f>
        <v>0</v>
      </c>
      <c r="AN755" s="55">
        <v>21</v>
      </c>
      <c r="AO755" s="55">
        <f>H755*0</f>
        <v>0</v>
      </c>
      <c r="AP755" s="55">
        <f>H755*(1-0)</f>
        <v>0</v>
      </c>
      <c r="AQ755" s="58" t="s">
        <v>125</v>
      </c>
      <c r="AV755" s="55">
        <f>AW755+AX755</f>
        <v>0</v>
      </c>
      <c r="AW755" s="55">
        <f>G755*AO755</f>
        <v>0</v>
      </c>
      <c r="AX755" s="55">
        <f>G755*AP755</f>
        <v>0</v>
      </c>
      <c r="AY755" s="58" t="s">
        <v>1526</v>
      </c>
      <c r="AZ755" s="58" t="s">
        <v>1527</v>
      </c>
      <c r="BA755" s="34" t="s">
        <v>128</v>
      </c>
      <c r="BC755" s="55">
        <f>AW755+AX755</f>
        <v>0</v>
      </c>
      <c r="BD755" s="55">
        <f>H755/(100-BE755)*100</f>
        <v>0</v>
      </c>
      <c r="BE755" s="55">
        <v>0</v>
      </c>
      <c r="BF755" s="55">
        <f>K755</f>
        <v>0</v>
      </c>
      <c r="BH755" s="55">
        <f>G755*AO755</f>
        <v>0</v>
      </c>
      <c r="BI755" s="55">
        <f>G755*AP755</f>
        <v>0</v>
      </c>
      <c r="BJ755" s="55">
        <f>G755*H755</f>
        <v>0</v>
      </c>
      <c r="BK755" s="55"/>
      <c r="BL755" s="55">
        <v>730</v>
      </c>
      <c r="BW755" s="55">
        <v>21</v>
      </c>
    </row>
    <row r="756" spans="1:75" ht="13.5" customHeight="1">
      <c r="A756" s="1" t="s">
        <v>1529</v>
      </c>
      <c r="B756" s="2" t="s">
        <v>116</v>
      </c>
      <c r="C756" s="2" t="s">
        <v>1530</v>
      </c>
      <c r="D756" s="147" t="s">
        <v>1531</v>
      </c>
      <c r="E756" s="148"/>
      <c r="F756" s="2" t="s">
        <v>360</v>
      </c>
      <c r="G756" s="55">
        <f>'Stavební rozpočet-vyplnit'!G756</f>
        <v>24</v>
      </c>
      <c r="H756" s="55">
        <f>'Stavební rozpočet-vyplnit'!H756</f>
        <v>0</v>
      </c>
      <c r="I756" s="55">
        <f>G756*H756</f>
        <v>0</v>
      </c>
      <c r="J756" s="55">
        <f>'Stavební rozpočet-vyplnit'!J756</f>
        <v>0</v>
      </c>
      <c r="K756" s="55">
        <f>G756*J756</f>
        <v>0</v>
      </c>
      <c r="L756" s="57" t="s">
        <v>124</v>
      </c>
      <c r="Z756" s="55">
        <f>IF(AQ756="5",BJ756,0)</f>
        <v>0</v>
      </c>
      <c r="AB756" s="55">
        <f>IF(AQ756="1",BH756,0)</f>
        <v>0</v>
      </c>
      <c r="AC756" s="55">
        <f>IF(AQ756="1",BI756,0)</f>
        <v>0</v>
      </c>
      <c r="AD756" s="55">
        <f>IF(AQ756="7",BH756,0)</f>
        <v>0</v>
      </c>
      <c r="AE756" s="55">
        <f>IF(AQ756="7",BI756,0)</f>
        <v>0</v>
      </c>
      <c r="AF756" s="55">
        <f>IF(AQ756="2",BH756,0)</f>
        <v>0</v>
      </c>
      <c r="AG756" s="55">
        <f>IF(AQ756="2",BI756,0)</f>
        <v>0</v>
      </c>
      <c r="AH756" s="55">
        <f>IF(AQ756="0",BJ756,0)</f>
        <v>0</v>
      </c>
      <c r="AI756" s="34" t="s">
        <v>116</v>
      </c>
      <c r="AJ756" s="55">
        <f>IF(AN756=0,I756,0)</f>
        <v>0</v>
      </c>
      <c r="AK756" s="55">
        <f>IF(AN756=12,I756,0)</f>
        <v>0</v>
      </c>
      <c r="AL756" s="55">
        <f>IF(AN756=21,I756,0)</f>
        <v>0</v>
      </c>
      <c r="AN756" s="55">
        <v>21</v>
      </c>
      <c r="AO756" s="55">
        <f>H756*0</f>
        <v>0</v>
      </c>
      <c r="AP756" s="55">
        <f>H756*(1-0)</f>
        <v>0</v>
      </c>
      <c r="AQ756" s="58" t="s">
        <v>125</v>
      </c>
      <c r="AV756" s="55">
        <f>AW756+AX756</f>
        <v>0</v>
      </c>
      <c r="AW756" s="55">
        <f>G756*AO756</f>
        <v>0</v>
      </c>
      <c r="AX756" s="55">
        <f>G756*AP756</f>
        <v>0</v>
      </c>
      <c r="AY756" s="58" t="s">
        <v>1526</v>
      </c>
      <c r="AZ756" s="58" t="s">
        <v>1527</v>
      </c>
      <c r="BA756" s="34" t="s">
        <v>128</v>
      </c>
      <c r="BC756" s="55">
        <f>AW756+AX756</f>
        <v>0</v>
      </c>
      <c r="BD756" s="55">
        <f>H756/(100-BE756)*100</f>
        <v>0</v>
      </c>
      <c r="BE756" s="55">
        <v>0</v>
      </c>
      <c r="BF756" s="55">
        <f>K756</f>
        <v>0</v>
      </c>
      <c r="BH756" s="55">
        <f>G756*AO756</f>
        <v>0</v>
      </c>
      <c r="BI756" s="55">
        <f>G756*AP756</f>
        <v>0</v>
      </c>
      <c r="BJ756" s="55">
        <f>G756*H756</f>
        <v>0</v>
      </c>
      <c r="BK756" s="55"/>
      <c r="BL756" s="55">
        <v>730</v>
      </c>
      <c r="BW756" s="55">
        <v>21</v>
      </c>
    </row>
    <row r="757" spans="1:47" ht="14.4">
      <c r="A757" s="50" t="s">
        <v>4</v>
      </c>
      <c r="B757" s="51" t="s">
        <v>116</v>
      </c>
      <c r="C757" s="51" t="s">
        <v>1532</v>
      </c>
      <c r="D757" s="222" t="s">
        <v>1533</v>
      </c>
      <c r="E757" s="223"/>
      <c r="F757" s="52" t="s">
        <v>79</v>
      </c>
      <c r="G757" s="52" t="s">
        <v>79</v>
      </c>
      <c r="H757" s="52" t="s">
        <v>79</v>
      </c>
      <c r="I757" s="27">
        <f>SUM(I758:I765)</f>
        <v>0</v>
      </c>
      <c r="J757" s="34" t="s">
        <v>4</v>
      </c>
      <c r="K757" s="27">
        <f>SUM(K758:K765)</f>
        <v>0.00288</v>
      </c>
      <c r="L757" s="54" t="s">
        <v>4</v>
      </c>
      <c r="AI757" s="34" t="s">
        <v>116</v>
      </c>
      <c r="AS757" s="27">
        <f>SUM(AJ758:AJ765)</f>
        <v>0</v>
      </c>
      <c r="AT757" s="27">
        <f>SUM(AK758:AK765)</f>
        <v>0</v>
      </c>
      <c r="AU757" s="27">
        <f>SUM(AL758:AL765)</f>
        <v>0</v>
      </c>
    </row>
    <row r="758" spans="1:75" ht="13.5" customHeight="1">
      <c r="A758" s="1" t="s">
        <v>1534</v>
      </c>
      <c r="B758" s="2" t="s">
        <v>116</v>
      </c>
      <c r="C758" s="2" t="s">
        <v>1535</v>
      </c>
      <c r="D758" s="147" t="s">
        <v>1536</v>
      </c>
      <c r="E758" s="148"/>
      <c r="F758" s="2" t="s">
        <v>374</v>
      </c>
      <c r="G758" s="55">
        <f>'Stavební rozpočet-vyplnit'!G758</f>
        <v>1</v>
      </c>
      <c r="H758" s="55">
        <f>'Stavební rozpočet-vyplnit'!H758</f>
        <v>0</v>
      </c>
      <c r="I758" s="55">
        <f aca="true" t="shared" si="162" ref="I758:I765">G758*H758</f>
        <v>0</v>
      </c>
      <c r="J758" s="55">
        <f>'Stavební rozpočet-vyplnit'!J758</f>
        <v>0.00144</v>
      </c>
      <c r="K758" s="55">
        <f aca="true" t="shared" si="163" ref="K758:K765">G758*J758</f>
        <v>0.00144</v>
      </c>
      <c r="L758" s="57" t="s">
        <v>124</v>
      </c>
      <c r="Z758" s="55">
        <f aca="true" t="shared" si="164" ref="Z758:Z765">IF(AQ758="5",BJ758,0)</f>
        <v>0</v>
      </c>
      <c r="AB758" s="55">
        <f aca="true" t="shared" si="165" ref="AB758:AB765">IF(AQ758="1",BH758,0)</f>
        <v>0</v>
      </c>
      <c r="AC758" s="55">
        <f aca="true" t="shared" si="166" ref="AC758:AC765">IF(AQ758="1",BI758,0)</f>
        <v>0</v>
      </c>
      <c r="AD758" s="55">
        <f aca="true" t="shared" si="167" ref="AD758:AD765">IF(AQ758="7",BH758,0)</f>
        <v>0</v>
      </c>
      <c r="AE758" s="55">
        <f aca="true" t="shared" si="168" ref="AE758:AE765">IF(AQ758="7",BI758,0)</f>
        <v>0</v>
      </c>
      <c r="AF758" s="55">
        <f aca="true" t="shared" si="169" ref="AF758:AF765">IF(AQ758="2",BH758,0)</f>
        <v>0</v>
      </c>
      <c r="AG758" s="55">
        <f aca="true" t="shared" si="170" ref="AG758:AG765">IF(AQ758="2",BI758,0)</f>
        <v>0</v>
      </c>
      <c r="AH758" s="55">
        <f aca="true" t="shared" si="171" ref="AH758:AH765">IF(AQ758="0",BJ758,0)</f>
        <v>0</v>
      </c>
      <c r="AI758" s="34" t="s">
        <v>116</v>
      </c>
      <c r="AJ758" s="55">
        <f aca="true" t="shared" si="172" ref="AJ758:AJ765">IF(AN758=0,I758,0)</f>
        <v>0</v>
      </c>
      <c r="AK758" s="55">
        <f aca="true" t="shared" si="173" ref="AK758:AK765">IF(AN758=12,I758,0)</f>
        <v>0</v>
      </c>
      <c r="AL758" s="55">
        <f aca="true" t="shared" si="174" ref="AL758:AL765">IF(AN758=21,I758,0)</f>
        <v>0</v>
      </c>
      <c r="AN758" s="55">
        <v>21</v>
      </c>
      <c r="AO758" s="55">
        <f>H758*0.928115016</f>
        <v>0</v>
      </c>
      <c r="AP758" s="55">
        <f>H758*(1-0.928115016)</f>
        <v>0</v>
      </c>
      <c r="AQ758" s="58" t="s">
        <v>125</v>
      </c>
      <c r="AV758" s="55">
        <f aca="true" t="shared" si="175" ref="AV758:AV765">AW758+AX758</f>
        <v>0</v>
      </c>
      <c r="AW758" s="55">
        <f aca="true" t="shared" si="176" ref="AW758:AW765">G758*AO758</f>
        <v>0</v>
      </c>
      <c r="AX758" s="55">
        <f aca="true" t="shared" si="177" ref="AX758:AX765">G758*AP758</f>
        <v>0</v>
      </c>
      <c r="AY758" s="58" t="s">
        <v>1537</v>
      </c>
      <c r="AZ758" s="58" t="s">
        <v>1527</v>
      </c>
      <c r="BA758" s="34" t="s">
        <v>128</v>
      </c>
      <c r="BC758" s="55">
        <f aca="true" t="shared" si="178" ref="BC758:BC765">AW758+AX758</f>
        <v>0</v>
      </c>
      <c r="BD758" s="55">
        <f aca="true" t="shared" si="179" ref="BD758:BD765">H758/(100-BE758)*100</f>
        <v>0</v>
      </c>
      <c r="BE758" s="55">
        <v>0</v>
      </c>
      <c r="BF758" s="55">
        <f aca="true" t="shared" si="180" ref="BF758:BF765">K758</f>
        <v>0.00144</v>
      </c>
      <c r="BH758" s="55">
        <f aca="true" t="shared" si="181" ref="BH758:BH765">G758*AO758</f>
        <v>0</v>
      </c>
      <c r="BI758" s="55">
        <f aca="true" t="shared" si="182" ref="BI758:BI765">G758*AP758</f>
        <v>0</v>
      </c>
      <c r="BJ758" s="55">
        <f aca="true" t="shared" si="183" ref="BJ758:BJ765">G758*H758</f>
        <v>0</v>
      </c>
      <c r="BK758" s="55"/>
      <c r="BL758" s="55">
        <v>732</v>
      </c>
      <c r="BW758" s="55">
        <v>21</v>
      </c>
    </row>
    <row r="759" spans="1:75" ht="13.5" customHeight="1">
      <c r="A759" s="1" t="s">
        <v>1538</v>
      </c>
      <c r="B759" s="2" t="s">
        <v>116</v>
      </c>
      <c r="C759" s="2" t="s">
        <v>1539</v>
      </c>
      <c r="D759" s="147" t="s">
        <v>1540</v>
      </c>
      <c r="E759" s="148"/>
      <c r="F759" s="2" t="s">
        <v>374</v>
      </c>
      <c r="G759" s="55">
        <f>'Stavební rozpočet-vyplnit'!G759</f>
        <v>1</v>
      </c>
      <c r="H759" s="55">
        <f>'Stavební rozpočet-vyplnit'!H759</f>
        <v>0</v>
      </c>
      <c r="I759" s="55">
        <f t="shared" si="162"/>
        <v>0</v>
      </c>
      <c r="J759" s="55">
        <f>'Stavební rozpočet-vyplnit'!J759</f>
        <v>0.00144</v>
      </c>
      <c r="K759" s="55">
        <f t="shared" si="163"/>
        <v>0.00144</v>
      </c>
      <c r="L759" s="57" t="s">
        <v>124</v>
      </c>
      <c r="Z759" s="55">
        <f t="shared" si="164"/>
        <v>0</v>
      </c>
      <c r="AB759" s="55">
        <f t="shared" si="165"/>
        <v>0</v>
      </c>
      <c r="AC759" s="55">
        <f t="shared" si="166"/>
        <v>0</v>
      </c>
      <c r="AD759" s="55">
        <f t="shared" si="167"/>
        <v>0</v>
      </c>
      <c r="AE759" s="55">
        <f t="shared" si="168"/>
        <v>0</v>
      </c>
      <c r="AF759" s="55">
        <f t="shared" si="169"/>
        <v>0</v>
      </c>
      <c r="AG759" s="55">
        <f t="shared" si="170"/>
        <v>0</v>
      </c>
      <c r="AH759" s="55">
        <f t="shared" si="171"/>
        <v>0</v>
      </c>
      <c r="AI759" s="34" t="s">
        <v>116</v>
      </c>
      <c r="AJ759" s="55">
        <f t="shared" si="172"/>
        <v>0</v>
      </c>
      <c r="AK759" s="55">
        <f t="shared" si="173"/>
        <v>0</v>
      </c>
      <c r="AL759" s="55">
        <f t="shared" si="174"/>
        <v>0</v>
      </c>
      <c r="AN759" s="55">
        <v>21</v>
      </c>
      <c r="AO759" s="55">
        <f>H759*1</f>
        <v>0</v>
      </c>
      <c r="AP759" s="55">
        <f>H759*(1-1)</f>
        <v>0</v>
      </c>
      <c r="AQ759" s="58" t="s">
        <v>125</v>
      </c>
      <c r="AV759" s="55">
        <f t="shared" si="175"/>
        <v>0</v>
      </c>
      <c r="AW759" s="55">
        <f t="shared" si="176"/>
        <v>0</v>
      </c>
      <c r="AX759" s="55">
        <f t="shared" si="177"/>
        <v>0</v>
      </c>
      <c r="AY759" s="58" t="s">
        <v>1537</v>
      </c>
      <c r="AZ759" s="58" t="s">
        <v>1527</v>
      </c>
      <c r="BA759" s="34" t="s">
        <v>128</v>
      </c>
      <c r="BC759" s="55">
        <f t="shared" si="178"/>
        <v>0</v>
      </c>
      <c r="BD759" s="55">
        <f t="shared" si="179"/>
        <v>0</v>
      </c>
      <c r="BE759" s="55">
        <v>0</v>
      </c>
      <c r="BF759" s="55">
        <f t="shared" si="180"/>
        <v>0.00144</v>
      </c>
      <c r="BH759" s="55">
        <f t="shared" si="181"/>
        <v>0</v>
      </c>
      <c r="BI759" s="55">
        <f t="shared" si="182"/>
        <v>0</v>
      </c>
      <c r="BJ759" s="55">
        <f t="shared" si="183"/>
        <v>0</v>
      </c>
      <c r="BK759" s="55"/>
      <c r="BL759" s="55">
        <v>732</v>
      </c>
      <c r="BW759" s="55">
        <v>21</v>
      </c>
    </row>
    <row r="760" spans="1:75" ht="27" customHeight="1">
      <c r="A760" s="1" t="s">
        <v>1541</v>
      </c>
      <c r="B760" s="2" t="s">
        <v>116</v>
      </c>
      <c r="C760" s="2" t="s">
        <v>1542</v>
      </c>
      <c r="D760" s="147" t="s">
        <v>1543</v>
      </c>
      <c r="E760" s="148"/>
      <c r="F760" s="2" t="s">
        <v>1403</v>
      </c>
      <c r="G760" s="55">
        <f>'Stavební rozpočet-vyplnit'!G760</f>
        <v>1</v>
      </c>
      <c r="H760" s="55">
        <f>'Stavební rozpočet-vyplnit'!H760</f>
        <v>0</v>
      </c>
      <c r="I760" s="55">
        <f t="shared" si="162"/>
        <v>0</v>
      </c>
      <c r="J760" s="55">
        <f>'Stavební rozpočet-vyplnit'!J760</f>
        <v>0</v>
      </c>
      <c r="K760" s="55">
        <f t="shared" si="163"/>
        <v>0</v>
      </c>
      <c r="L760" s="57" t="s">
        <v>124</v>
      </c>
      <c r="Z760" s="55">
        <f t="shared" si="164"/>
        <v>0</v>
      </c>
      <c r="AB760" s="55">
        <f t="shared" si="165"/>
        <v>0</v>
      </c>
      <c r="AC760" s="55">
        <f t="shared" si="166"/>
        <v>0</v>
      </c>
      <c r="AD760" s="55">
        <f t="shared" si="167"/>
        <v>0</v>
      </c>
      <c r="AE760" s="55">
        <f t="shared" si="168"/>
        <v>0</v>
      </c>
      <c r="AF760" s="55">
        <f t="shared" si="169"/>
        <v>0</v>
      </c>
      <c r="AG760" s="55">
        <f t="shared" si="170"/>
        <v>0</v>
      </c>
      <c r="AH760" s="55">
        <f t="shared" si="171"/>
        <v>0</v>
      </c>
      <c r="AI760" s="34" t="s">
        <v>116</v>
      </c>
      <c r="AJ760" s="55">
        <f t="shared" si="172"/>
        <v>0</v>
      </c>
      <c r="AK760" s="55">
        <f t="shared" si="173"/>
        <v>0</v>
      </c>
      <c r="AL760" s="55">
        <f t="shared" si="174"/>
        <v>0</v>
      </c>
      <c r="AN760" s="55">
        <v>21</v>
      </c>
      <c r="AO760" s="55">
        <f aca="true" t="shared" si="184" ref="AO760:AO765">H760*0</f>
        <v>0</v>
      </c>
      <c r="AP760" s="55">
        <f aca="true" t="shared" si="185" ref="AP760:AP765">H760*(1-0)</f>
        <v>0</v>
      </c>
      <c r="AQ760" s="58" t="s">
        <v>125</v>
      </c>
      <c r="AV760" s="55">
        <f t="shared" si="175"/>
        <v>0</v>
      </c>
      <c r="AW760" s="55">
        <f t="shared" si="176"/>
        <v>0</v>
      </c>
      <c r="AX760" s="55">
        <f t="shared" si="177"/>
        <v>0</v>
      </c>
      <c r="AY760" s="58" t="s">
        <v>1537</v>
      </c>
      <c r="AZ760" s="58" t="s">
        <v>1527</v>
      </c>
      <c r="BA760" s="34" t="s">
        <v>128</v>
      </c>
      <c r="BC760" s="55">
        <f t="shared" si="178"/>
        <v>0</v>
      </c>
      <c r="BD760" s="55">
        <f t="shared" si="179"/>
        <v>0</v>
      </c>
      <c r="BE760" s="55">
        <v>0</v>
      </c>
      <c r="BF760" s="55">
        <f t="shared" si="180"/>
        <v>0</v>
      </c>
      <c r="BH760" s="55">
        <f t="shared" si="181"/>
        <v>0</v>
      </c>
      <c r="BI760" s="55">
        <f t="shared" si="182"/>
        <v>0</v>
      </c>
      <c r="BJ760" s="55">
        <f t="shared" si="183"/>
        <v>0</v>
      </c>
      <c r="BK760" s="55"/>
      <c r="BL760" s="55">
        <v>732</v>
      </c>
      <c r="BW760" s="55">
        <v>21</v>
      </c>
    </row>
    <row r="761" spans="1:75" ht="27" customHeight="1">
      <c r="A761" s="1" t="s">
        <v>1544</v>
      </c>
      <c r="B761" s="2" t="s">
        <v>116</v>
      </c>
      <c r="C761" s="2" t="s">
        <v>1545</v>
      </c>
      <c r="D761" s="147" t="s">
        <v>1546</v>
      </c>
      <c r="E761" s="148"/>
      <c r="F761" s="2" t="s">
        <v>1403</v>
      </c>
      <c r="G761" s="55">
        <f>'Stavební rozpočet-vyplnit'!G761</f>
        <v>1</v>
      </c>
      <c r="H761" s="55">
        <f>'Stavební rozpočet-vyplnit'!H761</f>
        <v>0</v>
      </c>
      <c r="I761" s="55">
        <f t="shared" si="162"/>
        <v>0</v>
      </c>
      <c r="J761" s="55">
        <f>'Stavební rozpočet-vyplnit'!J761</f>
        <v>0</v>
      </c>
      <c r="K761" s="55">
        <f t="shared" si="163"/>
        <v>0</v>
      </c>
      <c r="L761" s="57" t="s">
        <v>124</v>
      </c>
      <c r="Z761" s="55">
        <f t="shared" si="164"/>
        <v>0</v>
      </c>
      <c r="AB761" s="55">
        <f t="shared" si="165"/>
        <v>0</v>
      </c>
      <c r="AC761" s="55">
        <f t="shared" si="166"/>
        <v>0</v>
      </c>
      <c r="AD761" s="55">
        <f t="shared" si="167"/>
        <v>0</v>
      </c>
      <c r="AE761" s="55">
        <f t="shared" si="168"/>
        <v>0</v>
      </c>
      <c r="AF761" s="55">
        <f t="shared" si="169"/>
        <v>0</v>
      </c>
      <c r="AG761" s="55">
        <f t="shared" si="170"/>
        <v>0</v>
      </c>
      <c r="AH761" s="55">
        <f t="shared" si="171"/>
        <v>0</v>
      </c>
      <c r="AI761" s="34" t="s">
        <v>116</v>
      </c>
      <c r="AJ761" s="55">
        <f t="shared" si="172"/>
        <v>0</v>
      </c>
      <c r="AK761" s="55">
        <f t="shared" si="173"/>
        <v>0</v>
      </c>
      <c r="AL761" s="55">
        <f t="shared" si="174"/>
        <v>0</v>
      </c>
      <c r="AN761" s="55">
        <v>21</v>
      </c>
      <c r="AO761" s="55">
        <f t="shared" si="184"/>
        <v>0</v>
      </c>
      <c r="AP761" s="55">
        <f t="shared" si="185"/>
        <v>0</v>
      </c>
      <c r="AQ761" s="58" t="s">
        <v>125</v>
      </c>
      <c r="AV761" s="55">
        <f t="shared" si="175"/>
        <v>0</v>
      </c>
      <c r="AW761" s="55">
        <f t="shared" si="176"/>
        <v>0</v>
      </c>
      <c r="AX761" s="55">
        <f t="shared" si="177"/>
        <v>0</v>
      </c>
      <c r="AY761" s="58" t="s">
        <v>1537</v>
      </c>
      <c r="AZ761" s="58" t="s">
        <v>1527</v>
      </c>
      <c r="BA761" s="34" t="s">
        <v>128</v>
      </c>
      <c r="BC761" s="55">
        <f t="shared" si="178"/>
        <v>0</v>
      </c>
      <c r="BD761" s="55">
        <f t="shared" si="179"/>
        <v>0</v>
      </c>
      <c r="BE761" s="55">
        <v>0</v>
      </c>
      <c r="BF761" s="55">
        <f t="shared" si="180"/>
        <v>0</v>
      </c>
      <c r="BH761" s="55">
        <f t="shared" si="181"/>
        <v>0</v>
      </c>
      <c r="BI761" s="55">
        <f t="shared" si="182"/>
        <v>0</v>
      </c>
      <c r="BJ761" s="55">
        <f t="shared" si="183"/>
        <v>0</v>
      </c>
      <c r="BK761" s="55"/>
      <c r="BL761" s="55">
        <v>732</v>
      </c>
      <c r="BW761" s="55">
        <v>21</v>
      </c>
    </row>
    <row r="762" spans="1:75" ht="13.5" customHeight="1">
      <c r="A762" s="1" t="s">
        <v>1547</v>
      </c>
      <c r="B762" s="2" t="s">
        <v>116</v>
      </c>
      <c r="C762" s="2" t="s">
        <v>1548</v>
      </c>
      <c r="D762" s="147" t="s">
        <v>1549</v>
      </c>
      <c r="E762" s="148"/>
      <c r="F762" s="2" t="s">
        <v>374</v>
      </c>
      <c r="G762" s="55">
        <f>'Stavební rozpočet-vyplnit'!G762</f>
        <v>1</v>
      </c>
      <c r="H762" s="55">
        <f>'Stavební rozpočet-vyplnit'!H762</f>
        <v>0</v>
      </c>
      <c r="I762" s="55">
        <f t="shared" si="162"/>
        <v>0</v>
      </c>
      <c r="J762" s="55">
        <f>'Stavební rozpočet-vyplnit'!J762</f>
        <v>0</v>
      </c>
      <c r="K762" s="55">
        <f t="shared" si="163"/>
        <v>0</v>
      </c>
      <c r="L762" s="57" t="s">
        <v>124</v>
      </c>
      <c r="Z762" s="55">
        <f t="shared" si="164"/>
        <v>0</v>
      </c>
      <c r="AB762" s="55">
        <f t="shared" si="165"/>
        <v>0</v>
      </c>
      <c r="AC762" s="55">
        <f t="shared" si="166"/>
        <v>0</v>
      </c>
      <c r="AD762" s="55">
        <f t="shared" si="167"/>
        <v>0</v>
      </c>
      <c r="AE762" s="55">
        <f t="shared" si="168"/>
        <v>0</v>
      </c>
      <c r="AF762" s="55">
        <f t="shared" si="169"/>
        <v>0</v>
      </c>
      <c r="AG762" s="55">
        <f t="shared" si="170"/>
        <v>0</v>
      </c>
      <c r="AH762" s="55">
        <f t="shared" si="171"/>
        <v>0</v>
      </c>
      <c r="AI762" s="34" t="s">
        <v>116</v>
      </c>
      <c r="AJ762" s="55">
        <f t="shared" si="172"/>
        <v>0</v>
      </c>
      <c r="AK762" s="55">
        <f t="shared" si="173"/>
        <v>0</v>
      </c>
      <c r="AL762" s="55">
        <f t="shared" si="174"/>
        <v>0</v>
      </c>
      <c r="AN762" s="55">
        <v>21</v>
      </c>
      <c r="AO762" s="55">
        <f t="shared" si="184"/>
        <v>0</v>
      </c>
      <c r="AP762" s="55">
        <f t="shared" si="185"/>
        <v>0</v>
      </c>
      <c r="AQ762" s="58" t="s">
        <v>125</v>
      </c>
      <c r="AV762" s="55">
        <f t="shared" si="175"/>
        <v>0</v>
      </c>
      <c r="AW762" s="55">
        <f t="shared" si="176"/>
        <v>0</v>
      </c>
      <c r="AX762" s="55">
        <f t="shared" si="177"/>
        <v>0</v>
      </c>
      <c r="AY762" s="58" t="s">
        <v>1537</v>
      </c>
      <c r="AZ762" s="58" t="s">
        <v>1527</v>
      </c>
      <c r="BA762" s="34" t="s">
        <v>128</v>
      </c>
      <c r="BC762" s="55">
        <f t="shared" si="178"/>
        <v>0</v>
      </c>
      <c r="BD762" s="55">
        <f t="shared" si="179"/>
        <v>0</v>
      </c>
      <c r="BE762" s="55">
        <v>0</v>
      </c>
      <c r="BF762" s="55">
        <f t="shared" si="180"/>
        <v>0</v>
      </c>
      <c r="BH762" s="55">
        <f t="shared" si="181"/>
        <v>0</v>
      </c>
      <c r="BI762" s="55">
        <f t="shared" si="182"/>
        <v>0</v>
      </c>
      <c r="BJ762" s="55">
        <f t="shared" si="183"/>
        <v>0</v>
      </c>
      <c r="BK762" s="55"/>
      <c r="BL762" s="55">
        <v>732</v>
      </c>
      <c r="BW762" s="55">
        <v>21</v>
      </c>
    </row>
    <row r="763" spans="1:75" ht="27" customHeight="1">
      <c r="A763" s="1" t="s">
        <v>1550</v>
      </c>
      <c r="B763" s="2" t="s">
        <v>116</v>
      </c>
      <c r="C763" s="2" t="s">
        <v>1551</v>
      </c>
      <c r="D763" s="147" t="s">
        <v>1552</v>
      </c>
      <c r="E763" s="148"/>
      <c r="F763" s="2" t="s">
        <v>1403</v>
      </c>
      <c r="G763" s="55">
        <f>'Stavební rozpočet-vyplnit'!G763</f>
        <v>2</v>
      </c>
      <c r="H763" s="55">
        <f>'Stavební rozpočet-vyplnit'!H763</f>
        <v>0</v>
      </c>
      <c r="I763" s="55">
        <f t="shared" si="162"/>
        <v>0</v>
      </c>
      <c r="J763" s="55">
        <f>'Stavební rozpočet-vyplnit'!J763</f>
        <v>0</v>
      </c>
      <c r="K763" s="55">
        <f t="shared" si="163"/>
        <v>0</v>
      </c>
      <c r="L763" s="57" t="s">
        <v>124</v>
      </c>
      <c r="Z763" s="55">
        <f t="shared" si="164"/>
        <v>0</v>
      </c>
      <c r="AB763" s="55">
        <f t="shared" si="165"/>
        <v>0</v>
      </c>
      <c r="AC763" s="55">
        <f t="shared" si="166"/>
        <v>0</v>
      </c>
      <c r="AD763" s="55">
        <f t="shared" si="167"/>
        <v>0</v>
      </c>
      <c r="AE763" s="55">
        <f t="shared" si="168"/>
        <v>0</v>
      </c>
      <c r="AF763" s="55">
        <f t="shared" si="169"/>
        <v>0</v>
      </c>
      <c r="AG763" s="55">
        <f t="shared" si="170"/>
        <v>0</v>
      </c>
      <c r="AH763" s="55">
        <f t="shared" si="171"/>
        <v>0</v>
      </c>
      <c r="AI763" s="34" t="s">
        <v>116</v>
      </c>
      <c r="AJ763" s="55">
        <f t="shared" si="172"/>
        <v>0</v>
      </c>
      <c r="AK763" s="55">
        <f t="shared" si="173"/>
        <v>0</v>
      </c>
      <c r="AL763" s="55">
        <f t="shared" si="174"/>
        <v>0</v>
      </c>
      <c r="AN763" s="55">
        <v>21</v>
      </c>
      <c r="AO763" s="55">
        <f t="shared" si="184"/>
        <v>0</v>
      </c>
      <c r="AP763" s="55">
        <f t="shared" si="185"/>
        <v>0</v>
      </c>
      <c r="AQ763" s="58" t="s">
        <v>125</v>
      </c>
      <c r="AV763" s="55">
        <f t="shared" si="175"/>
        <v>0</v>
      </c>
      <c r="AW763" s="55">
        <f t="shared" si="176"/>
        <v>0</v>
      </c>
      <c r="AX763" s="55">
        <f t="shared" si="177"/>
        <v>0</v>
      </c>
      <c r="AY763" s="58" t="s">
        <v>1537</v>
      </c>
      <c r="AZ763" s="58" t="s">
        <v>1527</v>
      </c>
      <c r="BA763" s="34" t="s">
        <v>128</v>
      </c>
      <c r="BC763" s="55">
        <f t="shared" si="178"/>
        <v>0</v>
      </c>
      <c r="BD763" s="55">
        <f t="shared" si="179"/>
        <v>0</v>
      </c>
      <c r="BE763" s="55">
        <v>0</v>
      </c>
      <c r="BF763" s="55">
        <f t="shared" si="180"/>
        <v>0</v>
      </c>
      <c r="BH763" s="55">
        <f t="shared" si="181"/>
        <v>0</v>
      </c>
      <c r="BI763" s="55">
        <f t="shared" si="182"/>
        <v>0</v>
      </c>
      <c r="BJ763" s="55">
        <f t="shared" si="183"/>
        <v>0</v>
      </c>
      <c r="BK763" s="55"/>
      <c r="BL763" s="55">
        <v>732</v>
      </c>
      <c r="BW763" s="55">
        <v>21</v>
      </c>
    </row>
    <row r="764" spans="1:75" ht="27" customHeight="1">
      <c r="A764" s="1" t="s">
        <v>1553</v>
      </c>
      <c r="B764" s="2" t="s">
        <v>116</v>
      </c>
      <c r="C764" s="2" t="s">
        <v>1554</v>
      </c>
      <c r="D764" s="147" t="s">
        <v>1555</v>
      </c>
      <c r="E764" s="148"/>
      <c r="F764" s="2" t="s">
        <v>1403</v>
      </c>
      <c r="G764" s="55">
        <f>'Stavební rozpočet-vyplnit'!G764</f>
        <v>1</v>
      </c>
      <c r="H764" s="55">
        <f>'Stavební rozpočet-vyplnit'!H764</f>
        <v>0</v>
      </c>
      <c r="I764" s="55">
        <f t="shared" si="162"/>
        <v>0</v>
      </c>
      <c r="J764" s="55">
        <f>'Stavební rozpočet-vyplnit'!J764</f>
        <v>0</v>
      </c>
      <c r="K764" s="55">
        <f t="shared" si="163"/>
        <v>0</v>
      </c>
      <c r="L764" s="57" t="s">
        <v>124</v>
      </c>
      <c r="Z764" s="55">
        <f t="shared" si="164"/>
        <v>0</v>
      </c>
      <c r="AB764" s="55">
        <f t="shared" si="165"/>
        <v>0</v>
      </c>
      <c r="AC764" s="55">
        <f t="shared" si="166"/>
        <v>0</v>
      </c>
      <c r="AD764" s="55">
        <f t="shared" si="167"/>
        <v>0</v>
      </c>
      <c r="AE764" s="55">
        <f t="shared" si="168"/>
        <v>0</v>
      </c>
      <c r="AF764" s="55">
        <f t="shared" si="169"/>
        <v>0</v>
      </c>
      <c r="AG764" s="55">
        <f t="shared" si="170"/>
        <v>0</v>
      </c>
      <c r="AH764" s="55">
        <f t="shared" si="171"/>
        <v>0</v>
      </c>
      <c r="AI764" s="34" t="s">
        <v>116</v>
      </c>
      <c r="AJ764" s="55">
        <f t="shared" si="172"/>
        <v>0</v>
      </c>
      <c r="AK764" s="55">
        <f t="shared" si="173"/>
        <v>0</v>
      </c>
      <c r="AL764" s="55">
        <f t="shared" si="174"/>
        <v>0</v>
      </c>
      <c r="AN764" s="55">
        <v>21</v>
      </c>
      <c r="AO764" s="55">
        <f t="shared" si="184"/>
        <v>0</v>
      </c>
      <c r="AP764" s="55">
        <f t="shared" si="185"/>
        <v>0</v>
      </c>
      <c r="AQ764" s="58" t="s">
        <v>125</v>
      </c>
      <c r="AV764" s="55">
        <f t="shared" si="175"/>
        <v>0</v>
      </c>
      <c r="AW764" s="55">
        <f t="shared" si="176"/>
        <v>0</v>
      </c>
      <c r="AX764" s="55">
        <f t="shared" si="177"/>
        <v>0</v>
      </c>
      <c r="AY764" s="58" t="s">
        <v>1537</v>
      </c>
      <c r="AZ764" s="58" t="s">
        <v>1527</v>
      </c>
      <c r="BA764" s="34" t="s">
        <v>128</v>
      </c>
      <c r="BC764" s="55">
        <f t="shared" si="178"/>
        <v>0</v>
      </c>
      <c r="BD764" s="55">
        <f t="shared" si="179"/>
        <v>0</v>
      </c>
      <c r="BE764" s="55">
        <v>0</v>
      </c>
      <c r="BF764" s="55">
        <f t="shared" si="180"/>
        <v>0</v>
      </c>
      <c r="BH764" s="55">
        <f t="shared" si="181"/>
        <v>0</v>
      </c>
      <c r="BI764" s="55">
        <f t="shared" si="182"/>
        <v>0</v>
      </c>
      <c r="BJ764" s="55">
        <f t="shared" si="183"/>
        <v>0</v>
      </c>
      <c r="BK764" s="55"/>
      <c r="BL764" s="55">
        <v>732</v>
      </c>
      <c r="BW764" s="55">
        <v>21</v>
      </c>
    </row>
    <row r="765" spans="1:75" ht="13.5" customHeight="1">
      <c r="A765" s="1" t="s">
        <v>1556</v>
      </c>
      <c r="B765" s="2" t="s">
        <v>116</v>
      </c>
      <c r="C765" s="2" t="s">
        <v>1557</v>
      </c>
      <c r="D765" s="147" t="s">
        <v>1558</v>
      </c>
      <c r="E765" s="148"/>
      <c r="F765" s="2" t="s">
        <v>939</v>
      </c>
      <c r="G765" s="55">
        <f>'Stavební rozpočet-vyplnit'!G765</f>
        <v>0.03</v>
      </c>
      <c r="H765" s="55">
        <f>'Stavební rozpočet-vyplnit'!H765</f>
        <v>0</v>
      </c>
      <c r="I765" s="55">
        <f t="shared" si="162"/>
        <v>0</v>
      </c>
      <c r="J765" s="55">
        <f>'Stavební rozpočet-vyplnit'!J765</f>
        <v>0</v>
      </c>
      <c r="K765" s="55">
        <f t="shared" si="163"/>
        <v>0</v>
      </c>
      <c r="L765" s="57" t="s">
        <v>124</v>
      </c>
      <c r="Z765" s="55">
        <f t="shared" si="164"/>
        <v>0</v>
      </c>
      <c r="AB765" s="55">
        <f t="shared" si="165"/>
        <v>0</v>
      </c>
      <c r="AC765" s="55">
        <f t="shared" si="166"/>
        <v>0</v>
      </c>
      <c r="AD765" s="55">
        <f t="shared" si="167"/>
        <v>0</v>
      </c>
      <c r="AE765" s="55">
        <f t="shared" si="168"/>
        <v>0</v>
      </c>
      <c r="AF765" s="55">
        <f t="shared" si="169"/>
        <v>0</v>
      </c>
      <c r="AG765" s="55">
        <f t="shared" si="170"/>
        <v>0</v>
      </c>
      <c r="AH765" s="55">
        <f t="shared" si="171"/>
        <v>0</v>
      </c>
      <c r="AI765" s="34" t="s">
        <v>116</v>
      </c>
      <c r="AJ765" s="55">
        <f t="shared" si="172"/>
        <v>0</v>
      </c>
      <c r="AK765" s="55">
        <f t="shared" si="173"/>
        <v>0</v>
      </c>
      <c r="AL765" s="55">
        <f t="shared" si="174"/>
        <v>0</v>
      </c>
      <c r="AN765" s="55">
        <v>21</v>
      </c>
      <c r="AO765" s="55">
        <f t="shared" si="184"/>
        <v>0</v>
      </c>
      <c r="AP765" s="55">
        <f t="shared" si="185"/>
        <v>0</v>
      </c>
      <c r="AQ765" s="58" t="s">
        <v>139</v>
      </c>
      <c r="AV765" s="55">
        <f t="shared" si="175"/>
        <v>0</v>
      </c>
      <c r="AW765" s="55">
        <f t="shared" si="176"/>
        <v>0</v>
      </c>
      <c r="AX765" s="55">
        <f t="shared" si="177"/>
        <v>0</v>
      </c>
      <c r="AY765" s="58" t="s">
        <v>1537</v>
      </c>
      <c r="AZ765" s="58" t="s">
        <v>1527</v>
      </c>
      <c r="BA765" s="34" t="s">
        <v>128</v>
      </c>
      <c r="BC765" s="55">
        <f t="shared" si="178"/>
        <v>0</v>
      </c>
      <c r="BD765" s="55">
        <f t="shared" si="179"/>
        <v>0</v>
      </c>
      <c r="BE765" s="55">
        <v>0</v>
      </c>
      <c r="BF765" s="55">
        <f t="shared" si="180"/>
        <v>0</v>
      </c>
      <c r="BH765" s="55">
        <f t="shared" si="181"/>
        <v>0</v>
      </c>
      <c r="BI765" s="55">
        <f t="shared" si="182"/>
        <v>0</v>
      </c>
      <c r="BJ765" s="55">
        <f t="shared" si="183"/>
        <v>0</v>
      </c>
      <c r="BK765" s="55"/>
      <c r="BL765" s="55">
        <v>732</v>
      </c>
      <c r="BW765" s="55">
        <v>21</v>
      </c>
    </row>
    <row r="766" spans="1:47" ht="14.4">
      <c r="A766" s="50" t="s">
        <v>4</v>
      </c>
      <c r="B766" s="51" t="s">
        <v>116</v>
      </c>
      <c r="C766" s="51" t="s">
        <v>1559</v>
      </c>
      <c r="D766" s="222" t="s">
        <v>1560</v>
      </c>
      <c r="E766" s="223"/>
      <c r="F766" s="52" t="s">
        <v>79</v>
      </c>
      <c r="G766" s="52" t="s">
        <v>79</v>
      </c>
      <c r="H766" s="52" t="s">
        <v>79</v>
      </c>
      <c r="I766" s="27">
        <f>SUM(I767:I775)</f>
        <v>0</v>
      </c>
      <c r="J766" s="34" t="s">
        <v>4</v>
      </c>
      <c r="K766" s="27">
        <f>SUM(K767:K775)</f>
        <v>0</v>
      </c>
      <c r="L766" s="54" t="s">
        <v>4</v>
      </c>
      <c r="AI766" s="34" t="s">
        <v>116</v>
      </c>
      <c r="AS766" s="27">
        <f>SUM(AJ767:AJ775)</f>
        <v>0</v>
      </c>
      <c r="AT766" s="27">
        <f>SUM(AK767:AK775)</f>
        <v>0</v>
      </c>
      <c r="AU766" s="27">
        <f>SUM(AL767:AL775)</f>
        <v>0</v>
      </c>
    </row>
    <row r="767" spans="1:75" ht="13.5" customHeight="1">
      <c r="A767" s="1" t="s">
        <v>1561</v>
      </c>
      <c r="B767" s="2" t="s">
        <v>116</v>
      </c>
      <c r="C767" s="2" t="s">
        <v>1562</v>
      </c>
      <c r="D767" s="147" t="s">
        <v>1563</v>
      </c>
      <c r="E767" s="148"/>
      <c r="F767" s="2" t="s">
        <v>174</v>
      </c>
      <c r="G767" s="55">
        <f>'Stavební rozpočet-vyplnit'!G767</f>
        <v>100</v>
      </c>
      <c r="H767" s="55">
        <f>'Stavební rozpočet-vyplnit'!H767</f>
        <v>0</v>
      </c>
      <c r="I767" s="55">
        <f aca="true" t="shared" si="186" ref="I767:I775">G767*H767</f>
        <v>0</v>
      </c>
      <c r="J767" s="55">
        <f>'Stavební rozpočet-vyplnit'!J767</f>
        <v>0</v>
      </c>
      <c r="K767" s="55">
        <f aca="true" t="shared" si="187" ref="K767:K775">G767*J767</f>
        <v>0</v>
      </c>
      <c r="L767" s="57" t="s">
        <v>124</v>
      </c>
      <c r="Z767" s="55">
        <f aca="true" t="shared" si="188" ref="Z767:Z775">IF(AQ767="5",BJ767,0)</f>
        <v>0</v>
      </c>
      <c r="AB767" s="55">
        <f aca="true" t="shared" si="189" ref="AB767:AB775">IF(AQ767="1",BH767,0)</f>
        <v>0</v>
      </c>
      <c r="AC767" s="55">
        <f aca="true" t="shared" si="190" ref="AC767:AC775">IF(AQ767="1",BI767,0)</f>
        <v>0</v>
      </c>
      <c r="AD767" s="55">
        <f aca="true" t="shared" si="191" ref="AD767:AD775">IF(AQ767="7",BH767,0)</f>
        <v>0</v>
      </c>
      <c r="AE767" s="55">
        <f aca="true" t="shared" si="192" ref="AE767:AE775">IF(AQ767="7",BI767,0)</f>
        <v>0</v>
      </c>
      <c r="AF767" s="55">
        <f aca="true" t="shared" si="193" ref="AF767:AF775">IF(AQ767="2",BH767,0)</f>
        <v>0</v>
      </c>
      <c r="AG767" s="55">
        <f aca="true" t="shared" si="194" ref="AG767:AG775">IF(AQ767="2",BI767,0)</f>
        <v>0</v>
      </c>
      <c r="AH767" s="55">
        <f aca="true" t="shared" si="195" ref="AH767:AH775">IF(AQ767="0",BJ767,0)</f>
        <v>0</v>
      </c>
      <c r="AI767" s="34" t="s">
        <v>116</v>
      </c>
      <c r="AJ767" s="55">
        <f aca="true" t="shared" si="196" ref="AJ767:AJ775">IF(AN767=0,I767,0)</f>
        <v>0</v>
      </c>
      <c r="AK767" s="55">
        <f aca="true" t="shared" si="197" ref="AK767:AK775">IF(AN767=12,I767,0)</f>
        <v>0</v>
      </c>
      <c r="AL767" s="55">
        <f aca="true" t="shared" si="198" ref="AL767:AL775">IF(AN767=21,I767,0)</f>
        <v>0</v>
      </c>
      <c r="AN767" s="55">
        <v>21</v>
      </c>
      <c r="AO767" s="55">
        <f aca="true" t="shared" si="199" ref="AO767:AO775">H767*0</f>
        <v>0</v>
      </c>
      <c r="AP767" s="55">
        <f aca="true" t="shared" si="200" ref="AP767:AP775">H767*(1-0)</f>
        <v>0</v>
      </c>
      <c r="AQ767" s="58" t="s">
        <v>125</v>
      </c>
      <c r="AV767" s="55">
        <f aca="true" t="shared" si="201" ref="AV767:AV775">AW767+AX767</f>
        <v>0</v>
      </c>
      <c r="AW767" s="55">
        <f aca="true" t="shared" si="202" ref="AW767:AW775">G767*AO767</f>
        <v>0</v>
      </c>
      <c r="AX767" s="55">
        <f aca="true" t="shared" si="203" ref="AX767:AX775">G767*AP767</f>
        <v>0</v>
      </c>
      <c r="AY767" s="58" t="s">
        <v>1564</v>
      </c>
      <c r="AZ767" s="58" t="s">
        <v>1527</v>
      </c>
      <c r="BA767" s="34" t="s">
        <v>128</v>
      </c>
      <c r="BC767" s="55">
        <f aca="true" t="shared" si="204" ref="BC767:BC775">AW767+AX767</f>
        <v>0</v>
      </c>
      <c r="BD767" s="55">
        <f aca="true" t="shared" si="205" ref="BD767:BD775">H767/(100-BE767)*100</f>
        <v>0</v>
      </c>
      <c r="BE767" s="55">
        <v>0</v>
      </c>
      <c r="BF767" s="55">
        <f aca="true" t="shared" si="206" ref="BF767:BF775">K767</f>
        <v>0</v>
      </c>
      <c r="BH767" s="55">
        <f aca="true" t="shared" si="207" ref="BH767:BH775">G767*AO767</f>
        <v>0</v>
      </c>
      <c r="BI767" s="55">
        <f aca="true" t="shared" si="208" ref="BI767:BI775">G767*AP767</f>
        <v>0</v>
      </c>
      <c r="BJ767" s="55">
        <f aca="true" t="shared" si="209" ref="BJ767:BJ775">G767*H767</f>
        <v>0</v>
      </c>
      <c r="BK767" s="55"/>
      <c r="BL767" s="55">
        <v>733</v>
      </c>
      <c r="BW767" s="55">
        <v>21</v>
      </c>
    </row>
    <row r="768" spans="1:75" ht="13.5" customHeight="1">
      <c r="A768" s="1" t="s">
        <v>1565</v>
      </c>
      <c r="B768" s="2" t="s">
        <v>116</v>
      </c>
      <c r="C768" s="2" t="s">
        <v>1566</v>
      </c>
      <c r="D768" s="147" t="s">
        <v>1567</v>
      </c>
      <c r="E768" s="148"/>
      <c r="F768" s="2" t="s">
        <v>174</v>
      </c>
      <c r="G768" s="55">
        <f>'Stavební rozpočet-vyplnit'!G768</f>
        <v>40</v>
      </c>
      <c r="H768" s="55">
        <f>'Stavební rozpočet-vyplnit'!H768</f>
        <v>0</v>
      </c>
      <c r="I768" s="55">
        <f t="shared" si="186"/>
        <v>0</v>
      </c>
      <c r="J768" s="55">
        <f>'Stavební rozpočet-vyplnit'!J768</f>
        <v>0</v>
      </c>
      <c r="K768" s="55">
        <f t="shared" si="187"/>
        <v>0</v>
      </c>
      <c r="L768" s="57" t="s">
        <v>124</v>
      </c>
      <c r="Z768" s="55">
        <f t="shared" si="188"/>
        <v>0</v>
      </c>
      <c r="AB768" s="55">
        <f t="shared" si="189"/>
        <v>0</v>
      </c>
      <c r="AC768" s="55">
        <f t="shared" si="190"/>
        <v>0</v>
      </c>
      <c r="AD768" s="55">
        <f t="shared" si="191"/>
        <v>0</v>
      </c>
      <c r="AE768" s="55">
        <f t="shared" si="192"/>
        <v>0</v>
      </c>
      <c r="AF768" s="55">
        <f t="shared" si="193"/>
        <v>0</v>
      </c>
      <c r="AG768" s="55">
        <f t="shared" si="194"/>
        <v>0</v>
      </c>
      <c r="AH768" s="55">
        <f t="shared" si="195"/>
        <v>0</v>
      </c>
      <c r="AI768" s="34" t="s">
        <v>116</v>
      </c>
      <c r="AJ768" s="55">
        <f t="shared" si="196"/>
        <v>0</v>
      </c>
      <c r="AK768" s="55">
        <f t="shared" si="197"/>
        <v>0</v>
      </c>
      <c r="AL768" s="55">
        <f t="shared" si="198"/>
        <v>0</v>
      </c>
      <c r="AN768" s="55">
        <v>21</v>
      </c>
      <c r="AO768" s="55">
        <f t="shared" si="199"/>
        <v>0</v>
      </c>
      <c r="AP768" s="55">
        <f t="shared" si="200"/>
        <v>0</v>
      </c>
      <c r="AQ768" s="58" t="s">
        <v>125</v>
      </c>
      <c r="AV768" s="55">
        <f t="shared" si="201"/>
        <v>0</v>
      </c>
      <c r="AW768" s="55">
        <f t="shared" si="202"/>
        <v>0</v>
      </c>
      <c r="AX768" s="55">
        <f t="shared" si="203"/>
        <v>0</v>
      </c>
      <c r="AY768" s="58" t="s">
        <v>1564</v>
      </c>
      <c r="AZ768" s="58" t="s">
        <v>1527</v>
      </c>
      <c r="BA768" s="34" t="s">
        <v>128</v>
      </c>
      <c r="BC768" s="55">
        <f t="shared" si="204"/>
        <v>0</v>
      </c>
      <c r="BD768" s="55">
        <f t="shared" si="205"/>
        <v>0</v>
      </c>
      <c r="BE768" s="55">
        <v>0</v>
      </c>
      <c r="BF768" s="55">
        <f t="shared" si="206"/>
        <v>0</v>
      </c>
      <c r="BH768" s="55">
        <f t="shared" si="207"/>
        <v>0</v>
      </c>
      <c r="BI768" s="55">
        <f t="shared" si="208"/>
        <v>0</v>
      </c>
      <c r="BJ768" s="55">
        <f t="shared" si="209"/>
        <v>0</v>
      </c>
      <c r="BK768" s="55"/>
      <c r="BL768" s="55">
        <v>733</v>
      </c>
      <c r="BW768" s="55">
        <v>21</v>
      </c>
    </row>
    <row r="769" spans="1:75" ht="13.5" customHeight="1">
      <c r="A769" s="1" t="s">
        <v>1568</v>
      </c>
      <c r="B769" s="2" t="s">
        <v>116</v>
      </c>
      <c r="C769" s="2" t="s">
        <v>1569</v>
      </c>
      <c r="D769" s="147" t="s">
        <v>1570</v>
      </c>
      <c r="E769" s="148"/>
      <c r="F769" s="2" t="s">
        <v>174</v>
      </c>
      <c r="G769" s="55">
        <f>'Stavební rozpočet-vyplnit'!G769</f>
        <v>60</v>
      </c>
      <c r="H769" s="55">
        <f>'Stavební rozpočet-vyplnit'!H769</f>
        <v>0</v>
      </c>
      <c r="I769" s="55">
        <f t="shared" si="186"/>
        <v>0</v>
      </c>
      <c r="J769" s="55">
        <f>'Stavební rozpočet-vyplnit'!J769</f>
        <v>0</v>
      </c>
      <c r="K769" s="55">
        <f t="shared" si="187"/>
        <v>0</v>
      </c>
      <c r="L769" s="57" t="s">
        <v>124</v>
      </c>
      <c r="Z769" s="55">
        <f t="shared" si="188"/>
        <v>0</v>
      </c>
      <c r="AB769" s="55">
        <f t="shared" si="189"/>
        <v>0</v>
      </c>
      <c r="AC769" s="55">
        <f t="shared" si="190"/>
        <v>0</v>
      </c>
      <c r="AD769" s="55">
        <f t="shared" si="191"/>
        <v>0</v>
      </c>
      <c r="AE769" s="55">
        <f t="shared" si="192"/>
        <v>0</v>
      </c>
      <c r="AF769" s="55">
        <f t="shared" si="193"/>
        <v>0</v>
      </c>
      <c r="AG769" s="55">
        <f t="shared" si="194"/>
        <v>0</v>
      </c>
      <c r="AH769" s="55">
        <f t="shared" si="195"/>
        <v>0</v>
      </c>
      <c r="AI769" s="34" t="s">
        <v>116</v>
      </c>
      <c r="AJ769" s="55">
        <f t="shared" si="196"/>
        <v>0</v>
      </c>
      <c r="AK769" s="55">
        <f t="shared" si="197"/>
        <v>0</v>
      </c>
      <c r="AL769" s="55">
        <f t="shared" si="198"/>
        <v>0</v>
      </c>
      <c r="AN769" s="55">
        <v>21</v>
      </c>
      <c r="AO769" s="55">
        <f t="shared" si="199"/>
        <v>0</v>
      </c>
      <c r="AP769" s="55">
        <f t="shared" si="200"/>
        <v>0</v>
      </c>
      <c r="AQ769" s="58" t="s">
        <v>125</v>
      </c>
      <c r="AV769" s="55">
        <f t="shared" si="201"/>
        <v>0</v>
      </c>
      <c r="AW769" s="55">
        <f t="shared" si="202"/>
        <v>0</v>
      </c>
      <c r="AX769" s="55">
        <f t="shared" si="203"/>
        <v>0</v>
      </c>
      <c r="AY769" s="58" t="s">
        <v>1564</v>
      </c>
      <c r="AZ769" s="58" t="s">
        <v>1527</v>
      </c>
      <c r="BA769" s="34" t="s">
        <v>128</v>
      </c>
      <c r="BC769" s="55">
        <f t="shared" si="204"/>
        <v>0</v>
      </c>
      <c r="BD769" s="55">
        <f t="shared" si="205"/>
        <v>0</v>
      </c>
      <c r="BE769" s="55">
        <v>0</v>
      </c>
      <c r="BF769" s="55">
        <f t="shared" si="206"/>
        <v>0</v>
      </c>
      <c r="BH769" s="55">
        <f t="shared" si="207"/>
        <v>0</v>
      </c>
      <c r="BI769" s="55">
        <f t="shared" si="208"/>
        <v>0</v>
      </c>
      <c r="BJ769" s="55">
        <f t="shared" si="209"/>
        <v>0</v>
      </c>
      <c r="BK769" s="55"/>
      <c r="BL769" s="55">
        <v>733</v>
      </c>
      <c r="BW769" s="55">
        <v>21</v>
      </c>
    </row>
    <row r="770" spans="1:75" ht="13.5" customHeight="1">
      <c r="A770" s="1" t="s">
        <v>1571</v>
      </c>
      <c r="B770" s="2" t="s">
        <v>116</v>
      </c>
      <c r="C770" s="2" t="s">
        <v>1572</v>
      </c>
      <c r="D770" s="147" t="s">
        <v>1573</v>
      </c>
      <c r="E770" s="148"/>
      <c r="F770" s="2" t="s">
        <v>174</v>
      </c>
      <c r="G770" s="55">
        <f>'Stavební rozpočet-vyplnit'!G770</f>
        <v>40</v>
      </c>
      <c r="H770" s="55">
        <f>'Stavební rozpočet-vyplnit'!H770</f>
        <v>0</v>
      </c>
      <c r="I770" s="55">
        <f t="shared" si="186"/>
        <v>0</v>
      </c>
      <c r="J770" s="55">
        <f>'Stavební rozpočet-vyplnit'!J770</f>
        <v>0</v>
      </c>
      <c r="K770" s="55">
        <f t="shared" si="187"/>
        <v>0</v>
      </c>
      <c r="L770" s="57" t="s">
        <v>124</v>
      </c>
      <c r="Z770" s="55">
        <f t="shared" si="188"/>
        <v>0</v>
      </c>
      <c r="AB770" s="55">
        <f t="shared" si="189"/>
        <v>0</v>
      </c>
      <c r="AC770" s="55">
        <f t="shared" si="190"/>
        <v>0</v>
      </c>
      <c r="AD770" s="55">
        <f t="shared" si="191"/>
        <v>0</v>
      </c>
      <c r="AE770" s="55">
        <f t="shared" si="192"/>
        <v>0</v>
      </c>
      <c r="AF770" s="55">
        <f t="shared" si="193"/>
        <v>0</v>
      </c>
      <c r="AG770" s="55">
        <f t="shared" si="194"/>
        <v>0</v>
      </c>
      <c r="AH770" s="55">
        <f t="shared" si="195"/>
        <v>0</v>
      </c>
      <c r="AI770" s="34" t="s">
        <v>116</v>
      </c>
      <c r="AJ770" s="55">
        <f t="shared" si="196"/>
        <v>0</v>
      </c>
      <c r="AK770" s="55">
        <f t="shared" si="197"/>
        <v>0</v>
      </c>
      <c r="AL770" s="55">
        <f t="shared" si="198"/>
        <v>0</v>
      </c>
      <c r="AN770" s="55">
        <v>21</v>
      </c>
      <c r="AO770" s="55">
        <f t="shared" si="199"/>
        <v>0</v>
      </c>
      <c r="AP770" s="55">
        <f t="shared" si="200"/>
        <v>0</v>
      </c>
      <c r="AQ770" s="58" t="s">
        <v>125</v>
      </c>
      <c r="AV770" s="55">
        <f t="shared" si="201"/>
        <v>0</v>
      </c>
      <c r="AW770" s="55">
        <f t="shared" si="202"/>
        <v>0</v>
      </c>
      <c r="AX770" s="55">
        <f t="shared" si="203"/>
        <v>0</v>
      </c>
      <c r="AY770" s="58" t="s">
        <v>1564</v>
      </c>
      <c r="AZ770" s="58" t="s">
        <v>1527</v>
      </c>
      <c r="BA770" s="34" t="s">
        <v>128</v>
      </c>
      <c r="BC770" s="55">
        <f t="shared" si="204"/>
        <v>0</v>
      </c>
      <c r="BD770" s="55">
        <f t="shared" si="205"/>
        <v>0</v>
      </c>
      <c r="BE770" s="55">
        <v>0</v>
      </c>
      <c r="BF770" s="55">
        <f t="shared" si="206"/>
        <v>0</v>
      </c>
      <c r="BH770" s="55">
        <f t="shared" si="207"/>
        <v>0</v>
      </c>
      <c r="BI770" s="55">
        <f t="shared" si="208"/>
        <v>0</v>
      </c>
      <c r="BJ770" s="55">
        <f t="shared" si="209"/>
        <v>0</v>
      </c>
      <c r="BK770" s="55"/>
      <c r="BL770" s="55">
        <v>733</v>
      </c>
      <c r="BW770" s="55">
        <v>21</v>
      </c>
    </row>
    <row r="771" spans="1:75" ht="13.5" customHeight="1">
      <c r="A771" s="1" t="s">
        <v>1574</v>
      </c>
      <c r="B771" s="2" t="s">
        <v>116</v>
      </c>
      <c r="C771" s="2" t="s">
        <v>1575</v>
      </c>
      <c r="D771" s="147" t="s">
        <v>1576</v>
      </c>
      <c r="E771" s="148"/>
      <c r="F771" s="2" t="s">
        <v>174</v>
      </c>
      <c r="G771" s="55">
        <f>'Stavební rozpočet-vyplnit'!G771</f>
        <v>50</v>
      </c>
      <c r="H771" s="55">
        <f>'Stavební rozpočet-vyplnit'!H771</f>
        <v>0</v>
      </c>
      <c r="I771" s="55">
        <f t="shared" si="186"/>
        <v>0</v>
      </c>
      <c r="J771" s="55">
        <f>'Stavební rozpočet-vyplnit'!J771</f>
        <v>0</v>
      </c>
      <c r="K771" s="55">
        <f t="shared" si="187"/>
        <v>0</v>
      </c>
      <c r="L771" s="57" t="s">
        <v>124</v>
      </c>
      <c r="Z771" s="55">
        <f t="shared" si="188"/>
        <v>0</v>
      </c>
      <c r="AB771" s="55">
        <f t="shared" si="189"/>
        <v>0</v>
      </c>
      <c r="AC771" s="55">
        <f t="shared" si="190"/>
        <v>0</v>
      </c>
      <c r="AD771" s="55">
        <f t="shared" si="191"/>
        <v>0</v>
      </c>
      <c r="AE771" s="55">
        <f t="shared" si="192"/>
        <v>0</v>
      </c>
      <c r="AF771" s="55">
        <f t="shared" si="193"/>
        <v>0</v>
      </c>
      <c r="AG771" s="55">
        <f t="shared" si="194"/>
        <v>0</v>
      </c>
      <c r="AH771" s="55">
        <f t="shared" si="195"/>
        <v>0</v>
      </c>
      <c r="AI771" s="34" t="s">
        <v>116</v>
      </c>
      <c r="AJ771" s="55">
        <f t="shared" si="196"/>
        <v>0</v>
      </c>
      <c r="AK771" s="55">
        <f t="shared" si="197"/>
        <v>0</v>
      </c>
      <c r="AL771" s="55">
        <f t="shared" si="198"/>
        <v>0</v>
      </c>
      <c r="AN771" s="55">
        <v>21</v>
      </c>
      <c r="AO771" s="55">
        <f t="shared" si="199"/>
        <v>0</v>
      </c>
      <c r="AP771" s="55">
        <f t="shared" si="200"/>
        <v>0</v>
      </c>
      <c r="AQ771" s="58" t="s">
        <v>125</v>
      </c>
      <c r="AV771" s="55">
        <f t="shared" si="201"/>
        <v>0</v>
      </c>
      <c r="AW771" s="55">
        <f t="shared" si="202"/>
        <v>0</v>
      </c>
      <c r="AX771" s="55">
        <f t="shared" si="203"/>
        <v>0</v>
      </c>
      <c r="AY771" s="58" t="s">
        <v>1564</v>
      </c>
      <c r="AZ771" s="58" t="s">
        <v>1527</v>
      </c>
      <c r="BA771" s="34" t="s">
        <v>128</v>
      </c>
      <c r="BC771" s="55">
        <f t="shared" si="204"/>
        <v>0</v>
      </c>
      <c r="BD771" s="55">
        <f t="shared" si="205"/>
        <v>0</v>
      </c>
      <c r="BE771" s="55">
        <v>0</v>
      </c>
      <c r="BF771" s="55">
        <f t="shared" si="206"/>
        <v>0</v>
      </c>
      <c r="BH771" s="55">
        <f t="shared" si="207"/>
        <v>0</v>
      </c>
      <c r="BI771" s="55">
        <f t="shared" si="208"/>
        <v>0</v>
      </c>
      <c r="BJ771" s="55">
        <f t="shared" si="209"/>
        <v>0</v>
      </c>
      <c r="BK771" s="55"/>
      <c r="BL771" s="55">
        <v>733</v>
      </c>
      <c r="BW771" s="55">
        <v>21</v>
      </c>
    </row>
    <row r="772" spans="1:75" ht="13.5" customHeight="1">
      <c r="A772" s="1" t="s">
        <v>1577</v>
      </c>
      <c r="B772" s="2" t="s">
        <v>116</v>
      </c>
      <c r="C772" s="2" t="s">
        <v>1578</v>
      </c>
      <c r="D772" s="147" t="s">
        <v>1579</v>
      </c>
      <c r="E772" s="148"/>
      <c r="F772" s="2" t="s">
        <v>174</v>
      </c>
      <c r="G772" s="55">
        <f>'Stavební rozpočet-vyplnit'!G772</f>
        <v>20</v>
      </c>
      <c r="H772" s="55">
        <f>'Stavební rozpočet-vyplnit'!H772</f>
        <v>0</v>
      </c>
      <c r="I772" s="55">
        <f t="shared" si="186"/>
        <v>0</v>
      </c>
      <c r="J772" s="55">
        <f>'Stavební rozpočet-vyplnit'!J772</f>
        <v>0</v>
      </c>
      <c r="K772" s="55">
        <f t="shared" si="187"/>
        <v>0</v>
      </c>
      <c r="L772" s="57" t="s">
        <v>124</v>
      </c>
      <c r="Z772" s="55">
        <f t="shared" si="188"/>
        <v>0</v>
      </c>
      <c r="AB772" s="55">
        <f t="shared" si="189"/>
        <v>0</v>
      </c>
      <c r="AC772" s="55">
        <f t="shared" si="190"/>
        <v>0</v>
      </c>
      <c r="AD772" s="55">
        <f t="shared" si="191"/>
        <v>0</v>
      </c>
      <c r="AE772" s="55">
        <f t="shared" si="192"/>
        <v>0</v>
      </c>
      <c r="AF772" s="55">
        <f t="shared" si="193"/>
        <v>0</v>
      </c>
      <c r="AG772" s="55">
        <f t="shared" si="194"/>
        <v>0</v>
      </c>
      <c r="AH772" s="55">
        <f t="shared" si="195"/>
        <v>0</v>
      </c>
      <c r="AI772" s="34" t="s">
        <v>116</v>
      </c>
      <c r="AJ772" s="55">
        <f t="shared" si="196"/>
        <v>0</v>
      </c>
      <c r="AK772" s="55">
        <f t="shared" si="197"/>
        <v>0</v>
      </c>
      <c r="AL772" s="55">
        <f t="shared" si="198"/>
        <v>0</v>
      </c>
      <c r="AN772" s="55">
        <v>21</v>
      </c>
      <c r="AO772" s="55">
        <f t="shared" si="199"/>
        <v>0</v>
      </c>
      <c r="AP772" s="55">
        <f t="shared" si="200"/>
        <v>0</v>
      </c>
      <c r="AQ772" s="58" t="s">
        <v>125</v>
      </c>
      <c r="AV772" s="55">
        <f t="shared" si="201"/>
        <v>0</v>
      </c>
      <c r="AW772" s="55">
        <f t="shared" si="202"/>
        <v>0</v>
      </c>
      <c r="AX772" s="55">
        <f t="shared" si="203"/>
        <v>0</v>
      </c>
      <c r="AY772" s="58" t="s">
        <v>1564</v>
      </c>
      <c r="AZ772" s="58" t="s">
        <v>1527</v>
      </c>
      <c r="BA772" s="34" t="s">
        <v>128</v>
      </c>
      <c r="BC772" s="55">
        <f t="shared" si="204"/>
        <v>0</v>
      </c>
      <c r="BD772" s="55">
        <f t="shared" si="205"/>
        <v>0</v>
      </c>
      <c r="BE772" s="55">
        <v>0</v>
      </c>
      <c r="BF772" s="55">
        <f t="shared" si="206"/>
        <v>0</v>
      </c>
      <c r="BH772" s="55">
        <f t="shared" si="207"/>
        <v>0</v>
      </c>
      <c r="BI772" s="55">
        <f t="shared" si="208"/>
        <v>0</v>
      </c>
      <c r="BJ772" s="55">
        <f t="shared" si="209"/>
        <v>0</v>
      </c>
      <c r="BK772" s="55"/>
      <c r="BL772" s="55">
        <v>733</v>
      </c>
      <c r="BW772" s="55">
        <v>21</v>
      </c>
    </row>
    <row r="773" spans="1:75" ht="13.5" customHeight="1">
      <c r="A773" s="1" t="s">
        <v>1580</v>
      </c>
      <c r="B773" s="2" t="s">
        <v>116</v>
      </c>
      <c r="C773" s="2" t="s">
        <v>1581</v>
      </c>
      <c r="D773" s="147" t="s">
        <v>1582</v>
      </c>
      <c r="E773" s="148"/>
      <c r="F773" s="2" t="s">
        <v>174</v>
      </c>
      <c r="G773" s="55">
        <f>'Stavební rozpočet-vyplnit'!G773</f>
        <v>20</v>
      </c>
      <c r="H773" s="55">
        <f>'Stavební rozpočet-vyplnit'!H773</f>
        <v>0</v>
      </c>
      <c r="I773" s="55">
        <f t="shared" si="186"/>
        <v>0</v>
      </c>
      <c r="J773" s="55">
        <f>'Stavební rozpočet-vyplnit'!J773</f>
        <v>0</v>
      </c>
      <c r="K773" s="55">
        <f t="shared" si="187"/>
        <v>0</v>
      </c>
      <c r="L773" s="57" t="s">
        <v>124</v>
      </c>
      <c r="Z773" s="55">
        <f t="shared" si="188"/>
        <v>0</v>
      </c>
      <c r="AB773" s="55">
        <f t="shared" si="189"/>
        <v>0</v>
      </c>
      <c r="AC773" s="55">
        <f t="shared" si="190"/>
        <v>0</v>
      </c>
      <c r="AD773" s="55">
        <f t="shared" si="191"/>
        <v>0</v>
      </c>
      <c r="AE773" s="55">
        <f t="shared" si="192"/>
        <v>0</v>
      </c>
      <c r="AF773" s="55">
        <f t="shared" si="193"/>
        <v>0</v>
      </c>
      <c r="AG773" s="55">
        <f t="shared" si="194"/>
        <v>0</v>
      </c>
      <c r="AH773" s="55">
        <f t="shared" si="195"/>
        <v>0</v>
      </c>
      <c r="AI773" s="34" t="s">
        <v>116</v>
      </c>
      <c r="AJ773" s="55">
        <f t="shared" si="196"/>
        <v>0</v>
      </c>
      <c r="AK773" s="55">
        <f t="shared" si="197"/>
        <v>0</v>
      </c>
      <c r="AL773" s="55">
        <f t="shared" si="198"/>
        <v>0</v>
      </c>
      <c r="AN773" s="55">
        <v>21</v>
      </c>
      <c r="AO773" s="55">
        <f t="shared" si="199"/>
        <v>0</v>
      </c>
      <c r="AP773" s="55">
        <f t="shared" si="200"/>
        <v>0</v>
      </c>
      <c r="AQ773" s="58" t="s">
        <v>125</v>
      </c>
      <c r="AV773" s="55">
        <f t="shared" si="201"/>
        <v>0</v>
      </c>
      <c r="AW773" s="55">
        <f t="shared" si="202"/>
        <v>0</v>
      </c>
      <c r="AX773" s="55">
        <f t="shared" si="203"/>
        <v>0</v>
      </c>
      <c r="AY773" s="58" t="s">
        <v>1564</v>
      </c>
      <c r="AZ773" s="58" t="s">
        <v>1527</v>
      </c>
      <c r="BA773" s="34" t="s">
        <v>128</v>
      </c>
      <c r="BC773" s="55">
        <f t="shared" si="204"/>
        <v>0</v>
      </c>
      <c r="BD773" s="55">
        <f t="shared" si="205"/>
        <v>0</v>
      </c>
      <c r="BE773" s="55">
        <v>0</v>
      </c>
      <c r="BF773" s="55">
        <f t="shared" si="206"/>
        <v>0</v>
      </c>
      <c r="BH773" s="55">
        <f t="shared" si="207"/>
        <v>0</v>
      </c>
      <c r="BI773" s="55">
        <f t="shared" si="208"/>
        <v>0</v>
      </c>
      <c r="BJ773" s="55">
        <f t="shared" si="209"/>
        <v>0</v>
      </c>
      <c r="BK773" s="55"/>
      <c r="BL773" s="55">
        <v>733</v>
      </c>
      <c r="BW773" s="55">
        <v>21</v>
      </c>
    </row>
    <row r="774" spans="1:75" ht="13.5" customHeight="1">
      <c r="A774" s="1" t="s">
        <v>1583</v>
      </c>
      <c r="B774" s="2" t="s">
        <v>116</v>
      </c>
      <c r="C774" s="2" t="s">
        <v>1584</v>
      </c>
      <c r="D774" s="147" t="s">
        <v>1585</v>
      </c>
      <c r="E774" s="148"/>
      <c r="F774" s="2" t="s">
        <v>174</v>
      </c>
      <c r="G774" s="55">
        <f>'Stavební rozpočet-vyplnit'!G774</f>
        <v>290</v>
      </c>
      <c r="H774" s="55">
        <f>'Stavební rozpočet-vyplnit'!H774</f>
        <v>0</v>
      </c>
      <c r="I774" s="55">
        <f t="shared" si="186"/>
        <v>0</v>
      </c>
      <c r="J774" s="55">
        <f>'Stavební rozpočet-vyplnit'!J774</f>
        <v>0</v>
      </c>
      <c r="K774" s="55">
        <f t="shared" si="187"/>
        <v>0</v>
      </c>
      <c r="L774" s="57" t="s">
        <v>124</v>
      </c>
      <c r="Z774" s="55">
        <f t="shared" si="188"/>
        <v>0</v>
      </c>
      <c r="AB774" s="55">
        <f t="shared" si="189"/>
        <v>0</v>
      </c>
      <c r="AC774" s="55">
        <f t="shared" si="190"/>
        <v>0</v>
      </c>
      <c r="AD774" s="55">
        <f t="shared" si="191"/>
        <v>0</v>
      </c>
      <c r="AE774" s="55">
        <f t="shared" si="192"/>
        <v>0</v>
      </c>
      <c r="AF774" s="55">
        <f t="shared" si="193"/>
        <v>0</v>
      </c>
      <c r="AG774" s="55">
        <f t="shared" si="194"/>
        <v>0</v>
      </c>
      <c r="AH774" s="55">
        <f t="shared" si="195"/>
        <v>0</v>
      </c>
      <c r="AI774" s="34" t="s">
        <v>116</v>
      </c>
      <c r="AJ774" s="55">
        <f t="shared" si="196"/>
        <v>0</v>
      </c>
      <c r="AK774" s="55">
        <f t="shared" si="197"/>
        <v>0</v>
      </c>
      <c r="AL774" s="55">
        <f t="shared" si="198"/>
        <v>0</v>
      </c>
      <c r="AN774" s="55">
        <v>21</v>
      </c>
      <c r="AO774" s="55">
        <f t="shared" si="199"/>
        <v>0</v>
      </c>
      <c r="AP774" s="55">
        <f t="shared" si="200"/>
        <v>0</v>
      </c>
      <c r="AQ774" s="58" t="s">
        <v>125</v>
      </c>
      <c r="AV774" s="55">
        <f t="shared" si="201"/>
        <v>0</v>
      </c>
      <c r="AW774" s="55">
        <f t="shared" si="202"/>
        <v>0</v>
      </c>
      <c r="AX774" s="55">
        <f t="shared" si="203"/>
        <v>0</v>
      </c>
      <c r="AY774" s="58" t="s">
        <v>1564</v>
      </c>
      <c r="AZ774" s="58" t="s">
        <v>1527</v>
      </c>
      <c r="BA774" s="34" t="s">
        <v>128</v>
      </c>
      <c r="BC774" s="55">
        <f t="shared" si="204"/>
        <v>0</v>
      </c>
      <c r="BD774" s="55">
        <f t="shared" si="205"/>
        <v>0</v>
      </c>
      <c r="BE774" s="55">
        <v>0</v>
      </c>
      <c r="BF774" s="55">
        <f t="shared" si="206"/>
        <v>0</v>
      </c>
      <c r="BH774" s="55">
        <f t="shared" si="207"/>
        <v>0</v>
      </c>
      <c r="BI774" s="55">
        <f t="shared" si="208"/>
        <v>0</v>
      </c>
      <c r="BJ774" s="55">
        <f t="shared" si="209"/>
        <v>0</v>
      </c>
      <c r="BK774" s="55"/>
      <c r="BL774" s="55">
        <v>733</v>
      </c>
      <c r="BW774" s="55">
        <v>21</v>
      </c>
    </row>
    <row r="775" spans="1:75" ht="13.5" customHeight="1">
      <c r="A775" s="1" t="s">
        <v>1586</v>
      </c>
      <c r="B775" s="2" t="s">
        <v>116</v>
      </c>
      <c r="C775" s="2" t="s">
        <v>1587</v>
      </c>
      <c r="D775" s="147" t="s">
        <v>1588</v>
      </c>
      <c r="E775" s="148"/>
      <c r="F775" s="2" t="s">
        <v>939</v>
      </c>
      <c r="G775" s="55">
        <f>'Stavební rozpočet-vyplnit'!G775</f>
        <v>0.25</v>
      </c>
      <c r="H775" s="55">
        <f>'Stavební rozpočet-vyplnit'!H775</f>
        <v>0</v>
      </c>
      <c r="I775" s="55">
        <f t="shared" si="186"/>
        <v>0</v>
      </c>
      <c r="J775" s="55">
        <f>'Stavební rozpočet-vyplnit'!J775</f>
        <v>0</v>
      </c>
      <c r="K775" s="55">
        <f t="shared" si="187"/>
        <v>0</v>
      </c>
      <c r="L775" s="57" t="s">
        <v>124</v>
      </c>
      <c r="Z775" s="55">
        <f t="shared" si="188"/>
        <v>0</v>
      </c>
      <c r="AB775" s="55">
        <f t="shared" si="189"/>
        <v>0</v>
      </c>
      <c r="AC775" s="55">
        <f t="shared" si="190"/>
        <v>0</v>
      </c>
      <c r="AD775" s="55">
        <f t="shared" si="191"/>
        <v>0</v>
      </c>
      <c r="AE775" s="55">
        <f t="shared" si="192"/>
        <v>0</v>
      </c>
      <c r="AF775" s="55">
        <f t="shared" si="193"/>
        <v>0</v>
      </c>
      <c r="AG775" s="55">
        <f t="shared" si="194"/>
        <v>0</v>
      </c>
      <c r="AH775" s="55">
        <f t="shared" si="195"/>
        <v>0</v>
      </c>
      <c r="AI775" s="34" t="s">
        <v>116</v>
      </c>
      <c r="AJ775" s="55">
        <f t="shared" si="196"/>
        <v>0</v>
      </c>
      <c r="AK775" s="55">
        <f t="shared" si="197"/>
        <v>0</v>
      </c>
      <c r="AL775" s="55">
        <f t="shared" si="198"/>
        <v>0</v>
      </c>
      <c r="AN775" s="55">
        <v>21</v>
      </c>
      <c r="AO775" s="55">
        <f t="shared" si="199"/>
        <v>0</v>
      </c>
      <c r="AP775" s="55">
        <f t="shared" si="200"/>
        <v>0</v>
      </c>
      <c r="AQ775" s="58" t="s">
        <v>139</v>
      </c>
      <c r="AV775" s="55">
        <f t="shared" si="201"/>
        <v>0</v>
      </c>
      <c r="AW775" s="55">
        <f t="shared" si="202"/>
        <v>0</v>
      </c>
      <c r="AX775" s="55">
        <f t="shared" si="203"/>
        <v>0</v>
      </c>
      <c r="AY775" s="58" t="s">
        <v>1564</v>
      </c>
      <c r="AZ775" s="58" t="s">
        <v>1527</v>
      </c>
      <c r="BA775" s="34" t="s">
        <v>128</v>
      </c>
      <c r="BC775" s="55">
        <f t="shared" si="204"/>
        <v>0</v>
      </c>
      <c r="BD775" s="55">
        <f t="shared" si="205"/>
        <v>0</v>
      </c>
      <c r="BE775" s="55">
        <v>0</v>
      </c>
      <c r="BF775" s="55">
        <f t="shared" si="206"/>
        <v>0</v>
      </c>
      <c r="BH775" s="55">
        <f t="shared" si="207"/>
        <v>0</v>
      </c>
      <c r="BI775" s="55">
        <f t="shared" si="208"/>
        <v>0</v>
      </c>
      <c r="BJ775" s="55">
        <f t="shared" si="209"/>
        <v>0</v>
      </c>
      <c r="BK775" s="55"/>
      <c r="BL775" s="55">
        <v>733</v>
      </c>
      <c r="BW775" s="55">
        <v>21</v>
      </c>
    </row>
    <row r="776" spans="1:47" ht="14.4">
      <c r="A776" s="50" t="s">
        <v>4</v>
      </c>
      <c r="B776" s="51" t="s">
        <v>116</v>
      </c>
      <c r="C776" s="51" t="s">
        <v>1589</v>
      </c>
      <c r="D776" s="222" t="s">
        <v>1590</v>
      </c>
      <c r="E776" s="223"/>
      <c r="F776" s="52" t="s">
        <v>79</v>
      </c>
      <c r="G776" s="52" t="s">
        <v>79</v>
      </c>
      <c r="H776" s="52" t="s">
        <v>79</v>
      </c>
      <c r="I776" s="27">
        <f>SUM(I777:I790)</f>
        <v>0</v>
      </c>
      <c r="J776" s="34" t="s">
        <v>4</v>
      </c>
      <c r="K776" s="27">
        <f>SUM(K777:K790)</f>
        <v>0</v>
      </c>
      <c r="L776" s="54" t="s">
        <v>4</v>
      </c>
      <c r="AI776" s="34" t="s">
        <v>116</v>
      </c>
      <c r="AS776" s="27">
        <f>SUM(AJ777:AJ790)</f>
        <v>0</v>
      </c>
      <c r="AT776" s="27">
        <f>SUM(AK777:AK790)</f>
        <v>0</v>
      </c>
      <c r="AU776" s="27">
        <f>SUM(AL777:AL790)</f>
        <v>0</v>
      </c>
    </row>
    <row r="777" spans="1:75" ht="13.5" customHeight="1">
      <c r="A777" s="1" t="s">
        <v>1591</v>
      </c>
      <c r="B777" s="2" t="s">
        <v>116</v>
      </c>
      <c r="C777" s="2" t="s">
        <v>1592</v>
      </c>
      <c r="D777" s="147" t="s">
        <v>1593</v>
      </c>
      <c r="E777" s="148"/>
      <c r="F777" s="2" t="s">
        <v>374</v>
      </c>
      <c r="G777" s="55">
        <f>'Stavební rozpočet-vyplnit'!G777</f>
        <v>1</v>
      </c>
      <c r="H777" s="55">
        <f>'Stavební rozpočet-vyplnit'!H777</f>
        <v>0</v>
      </c>
      <c r="I777" s="55">
        <f aca="true" t="shared" si="210" ref="I777:I790">G777*H777</f>
        <v>0</v>
      </c>
      <c r="J777" s="55">
        <f>'Stavební rozpočet-vyplnit'!J777</f>
        <v>0</v>
      </c>
      <c r="K777" s="55">
        <f aca="true" t="shared" si="211" ref="K777:K790">G777*J777</f>
        <v>0</v>
      </c>
      <c r="L777" s="57" t="s">
        <v>124</v>
      </c>
      <c r="Z777" s="55">
        <f aca="true" t="shared" si="212" ref="Z777:Z790">IF(AQ777="5",BJ777,0)</f>
        <v>0</v>
      </c>
      <c r="AB777" s="55">
        <f aca="true" t="shared" si="213" ref="AB777:AB790">IF(AQ777="1",BH777,0)</f>
        <v>0</v>
      </c>
      <c r="AC777" s="55">
        <f aca="true" t="shared" si="214" ref="AC777:AC790">IF(AQ777="1",BI777,0)</f>
        <v>0</v>
      </c>
      <c r="AD777" s="55">
        <f aca="true" t="shared" si="215" ref="AD777:AD790">IF(AQ777="7",BH777,0)</f>
        <v>0</v>
      </c>
      <c r="AE777" s="55">
        <f aca="true" t="shared" si="216" ref="AE777:AE790">IF(AQ777="7",BI777,0)</f>
        <v>0</v>
      </c>
      <c r="AF777" s="55">
        <f aca="true" t="shared" si="217" ref="AF777:AF790">IF(AQ777="2",BH777,0)</f>
        <v>0</v>
      </c>
      <c r="AG777" s="55">
        <f aca="true" t="shared" si="218" ref="AG777:AG790">IF(AQ777="2",BI777,0)</f>
        <v>0</v>
      </c>
      <c r="AH777" s="55">
        <f aca="true" t="shared" si="219" ref="AH777:AH790">IF(AQ777="0",BJ777,0)</f>
        <v>0</v>
      </c>
      <c r="AI777" s="34" t="s">
        <v>116</v>
      </c>
      <c r="AJ777" s="55">
        <f aca="true" t="shared" si="220" ref="AJ777:AJ790">IF(AN777=0,I777,0)</f>
        <v>0</v>
      </c>
      <c r="AK777" s="55">
        <f aca="true" t="shared" si="221" ref="AK777:AK790">IF(AN777=12,I777,0)</f>
        <v>0</v>
      </c>
      <c r="AL777" s="55">
        <f aca="true" t="shared" si="222" ref="AL777:AL790">IF(AN777=21,I777,0)</f>
        <v>0</v>
      </c>
      <c r="AN777" s="55">
        <v>21</v>
      </c>
      <c r="AO777" s="55">
        <f aca="true" t="shared" si="223" ref="AO777:AO790">H777*0</f>
        <v>0</v>
      </c>
      <c r="AP777" s="55">
        <f aca="true" t="shared" si="224" ref="AP777:AP790">H777*(1-0)</f>
        <v>0</v>
      </c>
      <c r="AQ777" s="58" t="s">
        <v>125</v>
      </c>
      <c r="AV777" s="55">
        <f aca="true" t="shared" si="225" ref="AV777:AV790">AW777+AX777</f>
        <v>0</v>
      </c>
      <c r="AW777" s="55">
        <f aca="true" t="shared" si="226" ref="AW777:AW790">G777*AO777</f>
        <v>0</v>
      </c>
      <c r="AX777" s="55">
        <f aca="true" t="shared" si="227" ref="AX777:AX790">G777*AP777</f>
        <v>0</v>
      </c>
      <c r="AY777" s="58" t="s">
        <v>1594</v>
      </c>
      <c r="AZ777" s="58" t="s">
        <v>1527</v>
      </c>
      <c r="BA777" s="34" t="s">
        <v>128</v>
      </c>
      <c r="BC777" s="55">
        <f aca="true" t="shared" si="228" ref="BC777:BC790">AW777+AX777</f>
        <v>0</v>
      </c>
      <c r="BD777" s="55">
        <f aca="true" t="shared" si="229" ref="BD777:BD790">H777/(100-BE777)*100</f>
        <v>0</v>
      </c>
      <c r="BE777" s="55">
        <v>0</v>
      </c>
      <c r="BF777" s="55">
        <f aca="true" t="shared" si="230" ref="BF777:BF790">K777</f>
        <v>0</v>
      </c>
      <c r="BH777" s="55">
        <f aca="true" t="shared" si="231" ref="BH777:BH790">G777*AO777</f>
        <v>0</v>
      </c>
      <c r="BI777" s="55">
        <f aca="true" t="shared" si="232" ref="BI777:BI790">G777*AP777</f>
        <v>0</v>
      </c>
      <c r="BJ777" s="55">
        <f aca="true" t="shared" si="233" ref="BJ777:BJ790">G777*H777</f>
        <v>0</v>
      </c>
      <c r="BK777" s="55"/>
      <c r="BL777" s="55">
        <v>734</v>
      </c>
      <c r="BW777" s="55">
        <v>21</v>
      </c>
    </row>
    <row r="778" spans="1:75" ht="13.5" customHeight="1">
      <c r="A778" s="1" t="s">
        <v>1595</v>
      </c>
      <c r="B778" s="2" t="s">
        <v>116</v>
      </c>
      <c r="C778" s="2" t="s">
        <v>1596</v>
      </c>
      <c r="D778" s="147" t="s">
        <v>1597</v>
      </c>
      <c r="E778" s="148"/>
      <c r="F778" s="2" t="s">
        <v>374</v>
      </c>
      <c r="G778" s="55">
        <f>'Stavební rozpočet-vyplnit'!G778</f>
        <v>8</v>
      </c>
      <c r="H778" s="55">
        <f>'Stavební rozpočet-vyplnit'!H778</f>
        <v>0</v>
      </c>
      <c r="I778" s="55">
        <f t="shared" si="210"/>
        <v>0</v>
      </c>
      <c r="J778" s="55">
        <f>'Stavební rozpočet-vyplnit'!J778</f>
        <v>0</v>
      </c>
      <c r="K778" s="55">
        <f t="shared" si="211"/>
        <v>0</v>
      </c>
      <c r="L778" s="57" t="s">
        <v>124</v>
      </c>
      <c r="Z778" s="55">
        <f t="shared" si="212"/>
        <v>0</v>
      </c>
      <c r="AB778" s="55">
        <f t="shared" si="213"/>
        <v>0</v>
      </c>
      <c r="AC778" s="55">
        <f t="shared" si="214"/>
        <v>0</v>
      </c>
      <c r="AD778" s="55">
        <f t="shared" si="215"/>
        <v>0</v>
      </c>
      <c r="AE778" s="55">
        <f t="shared" si="216"/>
        <v>0</v>
      </c>
      <c r="AF778" s="55">
        <f t="shared" si="217"/>
        <v>0</v>
      </c>
      <c r="AG778" s="55">
        <f t="shared" si="218"/>
        <v>0</v>
      </c>
      <c r="AH778" s="55">
        <f t="shared" si="219"/>
        <v>0</v>
      </c>
      <c r="AI778" s="34" t="s">
        <v>116</v>
      </c>
      <c r="AJ778" s="55">
        <f t="shared" si="220"/>
        <v>0</v>
      </c>
      <c r="AK778" s="55">
        <f t="shared" si="221"/>
        <v>0</v>
      </c>
      <c r="AL778" s="55">
        <f t="shared" si="222"/>
        <v>0</v>
      </c>
      <c r="AN778" s="55">
        <v>21</v>
      </c>
      <c r="AO778" s="55">
        <f t="shared" si="223"/>
        <v>0</v>
      </c>
      <c r="AP778" s="55">
        <f t="shared" si="224"/>
        <v>0</v>
      </c>
      <c r="AQ778" s="58" t="s">
        <v>125</v>
      </c>
      <c r="AV778" s="55">
        <f t="shared" si="225"/>
        <v>0</v>
      </c>
      <c r="AW778" s="55">
        <f t="shared" si="226"/>
        <v>0</v>
      </c>
      <c r="AX778" s="55">
        <f t="shared" si="227"/>
        <v>0</v>
      </c>
      <c r="AY778" s="58" t="s">
        <v>1594</v>
      </c>
      <c r="AZ778" s="58" t="s">
        <v>1527</v>
      </c>
      <c r="BA778" s="34" t="s">
        <v>128</v>
      </c>
      <c r="BC778" s="55">
        <f t="shared" si="228"/>
        <v>0</v>
      </c>
      <c r="BD778" s="55">
        <f t="shared" si="229"/>
        <v>0</v>
      </c>
      <c r="BE778" s="55">
        <v>0</v>
      </c>
      <c r="BF778" s="55">
        <f t="shared" si="230"/>
        <v>0</v>
      </c>
      <c r="BH778" s="55">
        <f t="shared" si="231"/>
        <v>0</v>
      </c>
      <c r="BI778" s="55">
        <f t="shared" si="232"/>
        <v>0</v>
      </c>
      <c r="BJ778" s="55">
        <f t="shared" si="233"/>
        <v>0</v>
      </c>
      <c r="BK778" s="55"/>
      <c r="BL778" s="55">
        <v>734</v>
      </c>
      <c r="BW778" s="55">
        <v>21</v>
      </c>
    </row>
    <row r="779" spans="1:75" ht="13.5" customHeight="1">
      <c r="A779" s="1" t="s">
        <v>1598</v>
      </c>
      <c r="B779" s="2" t="s">
        <v>116</v>
      </c>
      <c r="C779" s="2" t="s">
        <v>1599</v>
      </c>
      <c r="D779" s="147" t="s">
        <v>1600</v>
      </c>
      <c r="E779" s="148"/>
      <c r="F779" s="2" t="s">
        <v>374</v>
      </c>
      <c r="G779" s="55">
        <f>'Stavební rozpočet-vyplnit'!G779</f>
        <v>20</v>
      </c>
      <c r="H779" s="55">
        <f>'Stavební rozpočet-vyplnit'!H779</f>
        <v>0</v>
      </c>
      <c r="I779" s="55">
        <f t="shared" si="210"/>
        <v>0</v>
      </c>
      <c r="J779" s="55">
        <f>'Stavební rozpočet-vyplnit'!J779</f>
        <v>0</v>
      </c>
      <c r="K779" s="55">
        <f t="shared" si="211"/>
        <v>0</v>
      </c>
      <c r="L779" s="57" t="s">
        <v>124</v>
      </c>
      <c r="Z779" s="55">
        <f t="shared" si="212"/>
        <v>0</v>
      </c>
      <c r="AB779" s="55">
        <f t="shared" si="213"/>
        <v>0</v>
      </c>
      <c r="AC779" s="55">
        <f t="shared" si="214"/>
        <v>0</v>
      </c>
      <c r="AD779" s="55">
        <f t="shared" si="215"/>
        <v>0</v>
      </c>
      <c r="AE779" s="55">
        <f t="shared" si="216"/>
        <v>0</v>
      </c>
      <c r="AF779" s="55">
        <f t="shared" si="217"/>
        <v>0</v>
      </c>
      <c r="AG779" s="55">
        <f t="shared" si="218"/>
        <v>0</v>
      </c>
      <c r="AH779" s="55">
        <f t="shared" si="219"/>
        <v>0</v>
      </c>
      <c r="AI779" s="34" t="s">
        <v>116</v>
      </c>
      <c r="AJ779" s="55">
        <f t="shared" si="220"/>
        <v>0</v>
      </c>
      <c r="AK779" s="55">
        <f t="shared" si="221"/>
        <v>0</v>
      </c>
      <c r="AL779" s="55">
        <f t="shared" si="222"/>
        <v>0</v>
      </c>
      <c r="AN779" s="55">
        <v>21</v>
      </c>
      <c r="AO779" s="55">
        <f t="shared" si="223"/>
        <v>0</v>
      </c>
      <c r="AP779" s="55">
        <f t="shared" si="224"/>
        <v>0</v>
      </c>
      <c r="AQ779" s="58" t="s">
        <v>125</v>
      </c>
      <c r="AV779" s="55">
        <f t="shared" si="225"/>
        <v>0</v>
      </c>
      <c r="AW779" s="55">
        <f t="shared" si="226"/>
        <v>0</v>
      </c>
      <c r="AX779" s="55">
        <f t="shared" si="227"/>
        <v>0</v>
      </c>
      <c r="AY779" s="58" t="s">
        <v>1594</v>
      </c>
      <c r="AZ779" s="58" t="s">
        <v>1527</v>
      </c>
      <c r="BA779" s="34" t="s">
        <v>128</v>
      </c>
      <c r="BC779" s="55">
        <f t="shared" si="228"/>
        <v>0</v>
      </c>
      <c r="BD779" s="55">
        <f t="shared" si="229"/>
        <v>0</v>
      </c>
      <c r="BE779" s="55">
        <v>0</v>
      </c>
      <c r="BF779" s="55">
        <f t="shared" si="230"/>
        <v>0</v>
      </c>
      <c r="BH779" s="55">
        <f t="shared" si="231"/>
        <v>0</v>
      </c>
      <c r="BI779" s="55">
        <f t="shared" si="232"/>
        <v>0</v>
      </c>
      <c r="BJ779" s="55">
        <f t="shared" si="233"/>
        <v>0</v>
      </c>
      <c r="BK779" s="55"/>
      <c r="BL779" s="55">
        <v>734</v>
      </c>
      <c r="BW779" s="55">
        <v>21</v>
      </c>
    </row>
    <row r="780" spans="1:75" ht="13.5" customHeight="1">
      <c r="A780" s="1" t="s">
        <v>1601</v>
      </c>
      <c r="B780" s="2" t="s">
        <v>116</v>
      </c>
      <c r="C780" s="2" t="s">
        <v>1602</v>
      </c>
      <c r="D780" s="147" t="s">
        <v>1603</v>
      </c>
      <c r="E780" s="148"/>
      <c r="F780" s="2" t="s">
        <v>374</v>
      </c>
      <c r="G780" s="55">
        <f>'Stavební rozpočet-vyplnit'!G780</f>
        <v>3</v>
      </c>
      <c r="H780" s="55">
        <f>'Stavební rozpočet-vyplnit'!H780</f>
        <v>0</v>
      </c>
      <c r="I780" s="55">
        <f t="shared" si="210"/>
        <v>0</v>
      </c>
      <c r="J780" s="55">
        <f>'Stavební rozpočet-vyplnit'!J780</f>
        <v>0</v>
      </c>
      <c r="K780" s="55">
        <f t="shared" si="211"/>
        <v>0</v>
      </c>
      <c r="L780" s="57" t="s">
        <v>124</v>
      </c>
      <c r="Z780" s="55">
        <f t="shared" si="212"/>
        <v>0</v>
      </c>
      <c r="AB780" s="55">
        <f t="shared" si="213"/>
        <v>0</v>
      </c>
      <c r="AC780" s="55">
        <f t="shared" si="214"/>
        <v>0</v>
      </c>
      <c r="AD780" s="55">
        <f t="shared" si="215"/>
        <v>0</v>
      </c>
      <c r="AE780" s="55">
        <f t="shared" si="216"/>
        <v>0</v>
      </c>
      <c r="AF780" s="55">
        <f t="shared" si="217"/>
        <v>0</v>
      </c>
      <c r="AG780" s="55">
        <f t="shared" si="218"/>
        <v>0</v>
      </c>
      <c r="AH780" s="55">
        <f t="shared" si="219"/>
        <v>0</v>
      </c>
      <c r="AI780" s="34" t="s">
        <v>116</v>
      </c>
      <c r="AJ780" s="55">
        <f t="shared" si="220"/>
        <v>0</v>
      </c>
      <c r="AK780" s="55">
        <f t="shared" si="221"/>
        <v>0</v>
      </c>
      <c r="AL780" s="55">
        <f t="shared" si="222"/>
        <v>0</v>
      </c>
      <c r="AN780" s="55">
        <v>21</v>
      </c>
      <c r="AO780" s="55">
        <f t="shared" si="223"/>
        <v>0</v>
      </c>
      <c r="AP780" s="55">
        <f t="shared" si="224"/>
        <v>0</v>
      </c>
      <c r="AQ780" s="58" t="s">
        <v>125</v>
      </c>
      <c r="AV780" s="55">
        <f t="shared" si="225"/>
        <v>0</v>
      </c>
      <c r="AW780" s="55">
        <f t="shared" si="226"/>
        <v>0</v>
      </c>
      <c r="AX780" s="55">
        <f t="shared" si="227"/>
        <v>0</v>
      </c>
      <c r="AY780" s="58" t="s">
        <v>1594</v>
      </c>
      <c r="AZ780" s="58" t="s">
        <v>1527</v>
      </c>
      <c r="BA780" s="34" t="s">
        <v>128</v>
      </c>
      <c r="BC780" s="55">
        <f t="shared" si="228"/>
        <v>0</v>
      </c>
      <c r="BD780" s="55">
        <f t="shared" si="229"/>
        <v>0</v>
      </c>
      <c r="BE780" s="55">
        <v>0</v>
      </c>
      <c r="BF780" s="55">
        <f t="shared" si="230"/>
        <v>0</v>
      </c>
      <c r="BH780" s="55">
        <f t="shared" si="231"/>
        <v>0</v>
      </c>
      <c r="BI780" s="55">
        <f t="shared" si="232"/>
        <v>0</v>
      </c>
      <c r="BJ780" s="55">
        <f t="shared" si="233"/>
        <v>0</v>
      </c>
      <c r="BK780" s="55"/>
      <c r="BL780" s="55">
        <v>734</v>
      </c>
      <c r="BW780" s="55">
        <v>21</v>
      </c>
    </row>
    <row r="781" spans="1:75" ht="13.5" customHeight="1">
      <c r="A781" s="1" t="s">
        <v>1070</v>
      </c>
      <c r="B781" s="2" t="s">
        <v>116</v>
      </c>
      <c r="C781" s="2" t="s">
        <v>1604</v>
      </c>
      <c r="D781" s="147" t="s">
        <v>1605</v>
      </c>
      <c r="E781" s="148"/>
      <c r="F781" s="2" t="s">
        <v>374</v>
      </c>
      <c r="G781" s="55">
        <f>'Stavební rozpočet-vyplnit'!G781</f>
        <v>1</v>
      </c>
      <c r="H781" s="55">
        <f>'Stavební rozpočet-vyplnit'!H781</f>
        <v>0</v>
      </c>
      <c r="I781" s="55">
        <f t="shared" si="210"/>
        <v>0</v>
      </c>
      <c r="J781" s="55">
        <f>'Stavební rozpočet-vyplnit'!J781</f>
        <v>0</v>
      </c>
      <c r="K781" s="55">
        <f t="shared" si="211"/>
        <v>0</v>
      </c>
      <c r="L781" s="57" t="s">
        <v>124</v>
      </c>
      <c r="Z781" s="55">
        <f t="shared" si="212"/>
        <v>0</v>
      </c>
      <c r="AB781" s="55">
        <f t="shared" si="213"/>
        <v>0</v>
      </c>
      <c r="AC781" s="55">
        <f t="shared" si="214"/>
        <v>0</v>
      </c>
      <c r="AD781" s="55">
        <f t="shared" si="215"/>
        <v>0</v>
      </c>
      <c r="AE781" s="55">
        <f t="shared" si="216"/>
        <v>0</v>
      </c>
      <c r="AF781" s="55">
        <f t="shared" si="217"/>
        <v>0</v>
      </c>
      <c r="AG781" s="55">
        <f t="shared" si="218"/>
        <v>0</v>
      </c>
      <c r="AH781" s="55">
        <f t="shared" si="219"/>
        <v>0</v>
      </c>
      <c r="AI781" s="34" t="s">
        <v>116</v>
      </c>
      <c r="AJ781" s="55">
        <f t="shared" si="220"/>
        <v>0</v>
      </c>
      <c r="AK781" s="55">
        <f t="shared" si="221"/>
        <v>0</v>
      </c>
      <c r="AL781" s="55">
        <f t="shared" si="222"/>
        <v>0</v>
      </c>
      <c r="AN781" s="55">
        <v>21</v>
      </c>
      <c r="AO781" s="55">
        <f t="shared" si="223"/>
        <v>0</v>
      </c>
      <c r="AP781" s="55">
        <f t="shared" si="224"/>
        <v>0</v>
      </c>
      <c r="AQ781" s="58" t="s">
        <v>125</v>
      </c>
      <c r="AV781" s="55">
        <f t="shared" si="225"/>
        <v>0</v>
      </c>
      <c r="AW781" s="55">
        <f t="shared" si="226"/>
        <v>0</v>
      </c>
      <c r="AX781" s="55">
        <f t="shared" si="227"/>
        <v>0</v>
      </c>
      <c r="AY781" s="58" t="s">
        <v>1594</v>
      </c>
      <c r="AZ781" s="58" t="s">
        <v>1527</v>
      </c>
      <c r="BA781" s="34" t="s">
        <v>128</v>
      </c>
      <c r="BC781" s="55">
        <f t="shared" si="228"/>
        <v>0</v>
      </c>
      <c r="BD781" s="55">
        <f t="shared" si="229"/>
        <v>0</v>
      </c>
      <c r="BE781" s="55">
        <v>0</v>
      </c>
      <c r="BF781" s="55">
        <f t="shared" si="230"/>
        <v>0</v>
      </c>
      <c r="BH781" s="55">
        <f t="shared" si="231"/>
        <v>0</v>
      </c>
      <c r="BI781" s="55">
        <f t="shared" si="232"/>
        <v>0</v>
      </c>
      <c r="BJ781" s="55">
        <f t="shared" si="233"/>
        <v>0</v>
      </c>
      <c r="BK781" s="55"/>
      <c r="BL781" s="55">
        <v>734</v>
      </c>
      <c r="BW781" s="55">
        <v>21</v>
      </c>
    </row>
    <row r="782" spans="1:75" ht="13.5" customHeight="1">
      <c r="A782" s="1" t="s">
        <v>1072</v>
      </c>
      <c r="B782" s="2" t="s">
        <v>116</v>
      </c>
      <c r="C782" s="2" t="s">
        <v>1606</v>
      </c>
      <c r="D782" s="147" t="s">
        <v>1607</v>
      </c>
      <c r="E782" s="148"/>
      <c r="F782" s="2" t="s">
        <v>374</v>
      </c>
      <c r="G782" s="55">
        <f>'Stavební rozpočet-vyplnit'!G782</f>
        <v>20</v>
      </c>
      <c r="H782" s="55">
        <f>'Stavební rozpočet-vyplnit'!H782</f>
        <v>0</v>
      </c>
      <c r="I782" s="55">
        <f t="shared" si="210"/>
        <v>0</v>
      </c>
      <c r="J782" s="55">
        <f>'Stavební rozpočet-vyplnit'!J782</f>
        <v>0</v>
      </c>
      <c r="K782" s="55">
        <f t="shared" si="211"/>
        <v>0</v>
      </c>
      <c r="L782" s="57" t="s">
        <v>124</v>
      </c>
      <c r="Z782" s="55">
        <f t="shared" si="212"/>
        <v>0</v>
      </c>
      <c r="AB782" s="55">
        <f t="shared" si="213"/>
        <v>0</v>
      </c>
      <c r="AC782" s="55">
        <f t="shared" si="214"/>
        <v>0</v>
      </c>
      <c r="AD782" s="55">
        <f t="shared" si="215"/>
        <v>0</v>
      </c>
      <c r="AE782" s="55">
        <f t="shared" si="216"/>
        <v>0</v>
      </c>
      <c r="AF782" s="55">
        <f t="shared" si="217"/>
        <v>0</v>
      </c>
      <c r="AG782" s="55">
        <f t="shared" si="218"/>
        <v>0</v>
      </c>
      <c r="AH782" s="55">
        <f t="shared" si="219"/>
        <v>0</v>
      </c>
      <c r="AI782" s="34" t="s">
        <v>116</v>
      </c>
      <c r="AJ782" s="55">
        <f t="shared" si="220"/>
        <v>0</v>
      </c>
      <c r="AK782" s="55">
        <f t="shared" si="221"/>
        <v>0</v>
      </c>
      <c r="AL782" s="55">
        <f t="shared" si="222"/>
        <v>0</v>
      </c>
      <c r="AN782" s="55">
        <v>21</v>
      </c>
      <c r="AO782" s="55">
        <f t="shared" si="223"/>
        <v>0</v>
      </c>
      <c r="AP782" s="55">
        <f t="shared" si="224"/>
        <v>0</v>
      </c>
      <c r="AQ782" s="58" t="s">
        <v>125</v>
      </c>
      <c r="AV782" s="55">
        <f t="shared" si="225"/>
        <v>0</v>
      </c>
      <c r="AW782" s="55">
        <f t="shared" si="226"/>
        <v>0</v>
      </c>
      <c r="AX782" s="55">
        <f t="shared" si="227"/>
        <v>0</v>
      </c>
      <c r="AY782" s="58" t="s">
        <v>1594</v>
      </c>
      <c r="AZ782" s="58" t="s">
        <v>1527</v>
      </c>
      <c r="BA782" s="34" t="s">
        <v>128</v>
      </c>
      <c r="BC782" s="55">
        <f t="shared" si="228"/>
        <v>0</v>
      </c>
      <c r="BD782" s="55">
        <f t="shared" si="229"/>
        <v>0</v>
      </c>
      <c r="BE782" s="55">
        <v>0</v>
      </c>
      <c r="BF782" s="55">
        <f t="shared" si="230"/>
        <v>0</v>
      </c>
      <c r="BH782" s="55">
        <f t="shared" si="231"/>
        <v>0</v>
      </c>
      <c r="BI782" s="55">
        <f t="shared" si="232"/>
        <v>0</v>
      </c>
      <c r="BJ782" s="55">
        <f t="shared" si="233"/>
        <v>0</v>
      </c>
      <c r="BK782" s="55"/>
      <c r="BL782" s="55">
        <v>734</v>
      </c>
      <c r="BW782" s="55">
        <v>21</v>
      </c>
    </row>
    <row r="783" spans="1:75" ht="13.5" customHeight="1">
      <c r="A783" s="1" t="s">
        <v>1608</v>
      </c>
      <c r="B783" s="2" t="s">
        <v>116</v>
      </c>
      <c r="C783" s="2" t="s">
        <v>1609</v>
      </c>
      <c r="D783" s="147" t="s">
        <v>1610</v>
      </c>
      <c r="E783" s="148"/>
      <c r="F783" s="2" t="s">
        <v>374</v>
      </c>
      <c r="G783" s="55">
        <f>'Stavební rozpočet-vyplnit'!G783</f>
        <v>8</v>
      </c>
      <c r="H783" s="55">
        <f>'Stavební rozpočet-vyplnit'!H783</f>
        <v>0</v>
      </c>
      <c r="I783" s="55">
        <f t="shared" si="210"/>
        <v>0</v>
      </c>
      <c r="J783" s="55">
        <f>'Stavební rozpočet-vyplnit'!J783</f>
        <v>0</v>
      </c>
      <c r="K783" s="55">
        <f t="shared" si="211"/>
        <v>0</v>
      </c>
      <c r="L783" s="57" t="s">
        <v>124</v>
      </c>
      <c r="Z783" s="55">
        <f t="shared" si="212"/>
        <v>0</v>
      </c>
      <c r="AB783" s="55">
        <f t="shared" si="213"/>
        <v>0</v>
      </c>
      <c r="AC783" s="55">
        <f t="shared" si="214"/>
        <v>0</v>
      </c>
      <c r="AD783" s="55">
        <f t="shared" si="215"/>
        <v>0</v>
      </c>
      <c r="AE783" s="55">
        <f t="shared" si="216"/>
        <v>0</v>
      </c>
      <c r="AF783" s="55">
        <f t="shared" si="217"/>
        <v>0</v>
      </c>
      <c r="AG783" s="55">
        <f t="shared" si="218"/>
        <v>0</v>
      </c>
      <c r="AH783" s="55">
        <f t="shared" si="219"/>
        <v>0</v>
      </c>
      <c r="AI783" s="34" t="s">
        <v>116</v>
      </c>
      <c r="AJ783" s="55">
        <f t="shared" si="220"/>
        <v>0</v>
      </c>
      <c r="AK783" s="55">
        <f t="shared" si="221"/>
        <v>0</v>
      </c>
      <c r="AL783" s="55">
        <f t="shared" si="222"/>
        <v>0</v>
      </c>
      <c r="AN783" s="55">
        <v>21</v>
      </c>
      <c r="AO783" s="55">
        <f t="shared" si="223"/>
        <v>0</v>
      </c>
      <c r="AP783" s="55">
        <f t="shared" si="224"/>
        <v>0</v>
      </c>
      <c r="AQ783" s="58" t="s">
        <v>125</v>
      </c>
      <c r="AV783" s="55">
        <f t="shared" si="225"/>
        <v>0</v>
      </c>
      <c r="AW783" s="55">
        <f t="shared" si="226"/>
        <v>0</v>
      </c>
      <c r="AX783" s="55">
        <f t="shared" si="227"/>
        <v>0</v>
      </c>
      <c r="AY783" s="58" t="s">
        <v>1594</v>
      </c>
      <c r="AZ783" s="58" t="s">
        <v>1527</v>
      </c>
      <c r="BA783" s="34" t="s">
        <v>128</v>
      </c>
      <c r="BC783" s="55">
        <f t="shared" si="228"/>
        <v>0</v>
      </c>
      <c r="BD783" s="55">
        <f t="shared" si="229"/>
        <v>0</v>
      </c>
      <c r="BE783" s="55">
        <v>0</v>
      </c>
      <c r="BF783" s="55">
        <f t="shared" si="230"/>
        <v>0</v>
      </c>
      <c r="BH783" s="55">
        <f t="shared" si="231"/>
        <v>0</v>
      </c>
      <c r="BI783" s="55">
        <f t="shared" si="232"/>
        <v>0</v>
      </c>
      <c r="BJ783" s="55">
        <f t="shared" si="233"/>
        <v>0</v>
      </c>
      <c r="BK783" s="55"/>
      <c r="BL783" s="55">
        <v>734</v>
      </c>
      <c r="BW783" s="55">
        <v>21</v>
      </c>
    </row>
    <row r="784" spans="1:75" ht="13.5" customHeight="1">
      <c r="A784" s="1" t="s">
        <v>1611</v>
      </c>
      <c r="B784" s="2" t="s">
        <v>116</v>
      </c>
      <c r="C784" s="2" t="s">
        <v>1612</v>
      </c>
      <c r="D784" s="147" t="s">
        <v>1613</v>
      </c>
      <c r="E784" s="148"/>
      <c r="F784" s="2" t="s">
        <v>374</v>
      </c>
      <c r="G784" s="55">
        <f>'Stavební rozpočet-vyplnit'!G784</f>
        <v>2</v>
      </c>
      <c r="H784" s="55">
        <f>'Stavební rozpočet-vyplnit'!H784</f>
        <v>0</v>
      </c>
      <c r="I784" s="55">
        <f t="shared" si="210"/>
        <v>0</v>
      </c>
      <c r="J784" s="55">
        <f>'Stavební rozpočet-vyplnit'!J784</f>
        <v>0</v>
      </c>
      <c r="K784" s="55">
        <f t="shared" si="211"/>
        <v>0</v>
      </c>
      <c r="L784" s="57" t="s">
        <v>124</v>
      </c>
      <c r="Z784" s="55">
        <f t="shared" si="212"/>
        <v>0</v>
      </c>
      <c r="AB784" s="55">
        <f t="shared" si="213"/>
        <v>0</v>
      </c>
      <c r="AC784" s="55">
        <f t="shared" si="214"/>
        <v>0</v>
      </c>
      <c r="AD784" s="55">
        <f t="shared" si="215"/>
        <v>0</v>
      </c>
      <c r="AE784" s="55">
        <f t="shared" si="216"/>
        <v>0</v>
      </c>
      <c r="AF784" s="55">
        <f t="shared" si="217"/>
        <v>0</v>
      </c>
      <c r="AG784" s="55">
        <f t="shared" si="218"/>
        <v>0</v>
      </c>
      <c r="AH784" s="55">
        <f t="shared" si="219"/>
        <v>0</v>
      </c>
      <c r="AI784" s="34" t="s">
        <v>116</v>
      </c>
      <c r="AJ784" s="55">
        <f t="shared" si="220"/>
        <v>0</v>
      </c>
      <c r="AK784" s="55">
        <f t="shared" si="221"/>
        <v>0</v>
      </c>
      <c r="AL784" s="55">
        <f t="shared" si="222"/>
        <v>0</v>
      </c>
      <c r="AN784" s="55">
        <v>21</v>
      </c>
      <c r="AO784" s="55">
        <f t="shared" si="223"/>
        <v>0</v>
      </c>
      <c r="AP784" s="55">
        <f t="shared" si="224"/>
        <v>0</v>
      </c>
      <c r="AQ784" s="58" t="s">
        <v>125</v>
      </c>
      <c r="AV784" s="55">
        <f t="shared" si="225"/>
        <v>0</v>
      </c>
      <c r="AW784" s="55">
        <f t="shared" si="226"/>
        <v>0</v>
      </c>
      <c r="AX784" s="55">
        <f t="shared" si="227"/>
        <v>0</v>
      </c>
      <c r="AY784" s="58" t="s">
        <v>1594</v>
      </c>
      <c r="AZ784" s="58" t="s">
        <v>1527</v>
      </c>
      <c r="BA784" s="34" t="s">
        <v>128</v>
      </c>
      <c r="BC784" s="55">
        <f t="shared" si="228"/>
        <v>0</v>
      </c>
      <c r="BD784" s="55">
        <f t="shared" si="229"/>
        <v>0</v>
      </c>
      <c r="BE784" s="55">
        <v>0</v>
      </c>
      <c r="BF784" s="55">
        <f t="shared" si="230"/>
        <v>0</v>
      </c>
      <c r="BH784" s="55">
        <f t="shared" si="231"/>
        <v>0</v>
      </c>
      <c r="BI784" s="55">
        <f t="shared" si="232"/>
        <v>0</v>
      </c>
      <c r="BJ784" s="55">
        <f t="shared" si="233"/>
        <v>0</v>
      </c>
      <c r="BK784" s="55"/>
      <c r="BL784" s="55">
        <v>734</v>
      </c>
      <c r="BW784" s="55">
        <v>21</v>
      </c>
    </row>
    <row r="785" spans="1:75" ht="13.5" customHeight="1">
      <c r="A785" s="1" t="s">
        <v>1614</v>
      </c>
      <c r="B785" s="2" t="s">
        <v>116</v>
      </c>
      <c r="C785" s="2" t="s">
        <v>1615</v>
      </c>
      <c r="D785" s="147" t="s">
        <v>1616</v>
      </c>
      <c r="E785" s="148"/>
      <c r="F785" s="2" t="s">
        <v>374</v>
      </c>
      <c r="G785" s="55">
        <f>'Stavební rozpočet-vyplnit'!G785</f>
        <v>13</v>
      </c>
      <c r="H785" s="55">
        <f>'Stavební rozpočet-vyplnit'!H785</f>
        <v>0</v>
      </c>
      <c r="I785" s="55">
        <f t="shared" si="210"/>
        <v>0</v>
      </c>
      <c r="J785" s="55">
        <f>'Stavební rozpočet-vyplnit'!J785</f>
        <v>0</v>
      </c>
      <c r="K785" s="55">
        <f t="shared" si="211"/>
        <v>0</v>
      </c>
      <c r="L785" s="57" t="s">
        <v>124</v>
      </c>
      <c r="Z785" s="55">
        <f t="shared" si="212"/>
        <v>0</v>
      </c>
      <c r="AB785" s="55">
        <f t="shared" si="213"/>
        <v>0</v>
      </c>
      <c r="AC785" s="55">
        <f t="shared" si="214"/>
        <v>0</v>
      </c>
      <c r="AD785" s="55">
        <f t="shared" si="215"/>
        <v>0</v>
      </c>
      <c r="AE785" s="55">
        <f t="shared" si="216"/>
        <v>0</v>
      </c>
      <c r="AF785" s="55">
        <f t="shared" si="217"/>
        <v>0</v>
      </c>
      <c r="AG785" s="55">
        <f t="shared" si="218"/>
        <v>0</v>
      </c>
      <c r="AH785" s="55">
        <f t="shared" si="219"/>
        <v>0</v>
      </c>
      <c r="AI785" s="34" t="s">
        <v>116</v>
      </c>
      <c r="AJ785" s="55">
        <f t="shared" si="220"/>
        <v>0</v>
      </c>
      <c r="AK785" s="55">
        <f t="shared" si="221"/>
        <v>0</v>
      </c>
      <c r="AL785" s="55">
        <f t="shared" si="222"/>
        <v>0</v>
      </c>
      <c r="AN785" s="55">
        <v>21</v>
      </c>
      <c r="AO785" s="55">
        <f t="shared" si="223"/>
        <v>0</v>
      </c>
      <c r="AP785" s="55">
        <f t="shared" si="224"/>
        <v>0</v>
      </c>
      <c r="AQ785" s="58" t="s">
        <v>125</v>
      </c>
      <c r="AV785" s="55">
        <f t="shared" si="225"/>
        <v>0</v>
      </c>
      <c r="AW785" s="55">
        <f t="shared" si="226"/>
        <v>0</v>
      </c>
      <c r="AX785" s="55">
        <f t="shared" si="227"/>
        <v>0</v>
      </c>
      <c r="AY785" s="58" t="s">
        <v>1594</v>
      </c>
      <c r="AZ785" s="58" t="s">
        <v>1527</v>
      </c>
      <c r="BA785" s="34" t="s">
        <v>128</v>
      </c>
      <c r="BC785" s="55">
        <f t="shared" si="228"/>
        <v>0</v>
      </c>
      <c r="BD785" s="55">
        <f t="shared" si="229"/>
        <v>0</v>
      </c>
      <c r="BE785" s="55">
        <v>0</v>
      </c>
      <c r="BF785" s="55">
        <f t="shared" si="230"/>
        <v>0</v>
      </c>
      <c r="BH785" s="55">
        <f t="shared" si="231"/>
        <v>0</v>
      </c>
      <c r="BI785" s="55">
        <f t="shared" si="232"/>
        <v>0</v>
      </c>
      <c r="BJ785" s="55">
        <f t="shared" si="233"/>
        <v>0</v>
      </c>
      <c r="BK785" s="55"/>
      <c r="BL785" s="55">
        <v>734</v>
      </c>
      <c r="BW785" s="55">
        <v>21</v>
      </c>
    </row>
    <row r="786" spans="1:75" ht="13.5" customHeight="1">
      <c r="A786" s="1" t="s">
        <v>1617</v>
      </c>
      <c r="B786" s="2" t="s">
        <v>116</v>
      </c>
      <c r="C786" s="2" t="s">
        <v>1618</v>
      </c>
      <c r="D786" s="147" t="s">
        <v>1619</v>
      </c>
      <c r="E786" s="148"/>
      <c r="F786" s="2" t="s">
        <v>374</v>
      </c>
      <c r="G786" s="55">
        <f>'Stavební rozpočet-vyplnit'!G786</f>
        <v>1</v>
      </c>
      <c r="H786" s="55">
        <f>'Stavební rozpočet-vyplnit'!H786</f>
        <v>0</v>
      </c>
      <c r="I786" s="55">
        <f t="shared" si="210"/>
        <v>0</v>
      </c>
      <c r="J786" s="55">
        <f>'Stavební rozpočet-vyplnit'!J786</f>
        <v>0</v>
      </c>
      <c r="K786" s="55">
        <f t="shared" si="211"/>
        <v>0</v>
      </c>
      <c r="L786" s="57" t="s">
        <v>124</v>
      </c>
      <c r="Z786" s="55">
        <f t="shared" si="212"/>
        <v>0</v>
      </c>
      <c r="AB786" s="55">
        <f t="shared" si="213"/>
        <v>0</v>
      </c>
      <c r="AC786" s="55">
        <f t="shared" si="214"/>
        <v>0</v>
      </c>
      <c r="AD786" s="55">
        <f t="shared" si="215"/>
        <v>0</v>
      </c>
      <c r="AE786" s="55">
        <f t="shared" si="216"/>
        <v>0</v>
      </c>
      <c r="AF786" s="55">
        <f t="shared" si="217"/>
        <v>0</v>
      </c>
      <c r="AG786" s="55">
        <f t="shared" si="218"/>
        <v>0</v>
      </c>
      <c r="AH786" s="55">
        <f t="shared" si="219"/>
        <v>0</v>
      </c>
      <c r="AI786" s="34" t="s">
        <v>116</v>
      </c>
      <c r="AJ786" s="55">
        <f t="shared" si="220"/>
        <v>0</v>
      </c>
      <c r="AK786" s="55">
        <f t="shared" si="221"/>
        <v>0</v>
      </c>
      <c r="AL786" s="55">
        <f t="shared" si="222"/>
        <v>0</v>
      </c>
      <c r="AN786" s="55">
        <v>21</v>
      </c>
      <c r="AO786" s="55">
        <f t="shared" si="223"/>
        <v>0</v>
      </c>
      <c r="AP786" s="55">
        <f t="shared" si="224"/>
        <v>0</v>
      </c>
      <c r="AQ786" s="58" t="s">
        <v>125</v>
      </c>
      <c r="AV786" s="55">
        <f t="shared" si="225"/>
        <v>0</v>
      </c>
      <c r="AW786" s="55">
        <f t="shared" si="226"/>
        <v>0</v>
      </c>
      <c r="AX786" s="55">
        <f t="shared" si="227"/>
        <v>0</v>
      </c>
      <c r="AY786" s="58" t="s">
        <v>1594</v>
      </c>
      <c r="AZ786" s="58" t="s">
        <v>1527</v>
      </c>
      <c r="BA786" s="34" t="s">
        <v>128</v>
      </c>
      <c r="BC786" s="55">
        <f t="shared" si="228"/>
        <v>0</v>
      </c>
      <c r="BD786" s="55">
        <f t="shared" si="229"/>
        <v>0</v>
      </c>
      <c r="BE786" s="55">
        <v>0</v>
      </c>
      <c r="BF786" s="55">
        <f t="shared" si="230"/>
        <v>0</v>
      </c>
      <c r="BH786" s="55">
        <f t="shared" si="231"/>
        <v>0</v>
      </c>
      <c r="BI786" s="55">
        <f t="shared" si="232"/>
        <v>0</v>
      </c>
      <c r="BJ786" s="55">
        <f t="shared" si="233"/>
        <v>0</v>
      </c>
      <c r="BK786" s="55"/>
      <c r="BL786" s="55">
        <v>734</v>
      </c>
      <c r="BW786" s="55">
        <v>21</v>
      </c>
    </row>
    <row r="787" spans="1:75" ht="13.5" customHeight="1">
      <c r="A787" s="1" t="s">
        <v>1620</v>
      </c>
      <c r="B787" s="2" t="s">
        <v>116</v>
      </c>
      <c r="C787" s="2" t="s">
        <v>1621</v>
      </c>
      <c r="D787" s="147" t="s">
        <v>1622</v>
      </c>
      <c r="E787" s="148"/>
      <c r="F787" s="2" t="s">
        <v>374</v>
      </c>
      <c r="G787" s="55">
        <f>'Stavební rozpočet-vyplnit'!G787</f>
        <v>10</v>
      </c>
      <c r="H787" s="55">
        <f>'Stavební rozpočet-vyplnit'!H787</f>
        <v>0</v>
      </c>
      <c r="I787" s="55">
        <f t="shared" si="210"/>
        <v>0</v>
      </c>
      <c r="J787" s="55">
        <f>'Stavební rozpočet-vyplnit'!J787</f>
        <v>0</v>
      </c>
      <c r="K787" s="55">
        <f t="shared" si="211"/>
        <v>0</v>
      </c>
      <c r="L787" s="57" t="s">
        <v>124</v>
      </c>
      <c r="Z787" s="55">
        <f t="shared" si="212"/>
        <v>0</v>
      </c>
      <c r="AB787" s="55">
        <f t="shared" si="213"/>
        <v>0</v>
      </c>
      <c r="AC787" s="55">
        <f t="shared" si="214"/>
        <v>0</v>
      </c>
      <c r="AD787" s="55">
        <f t="shared" si="215"/>
        <v>0</v>
      </c>
      <c r="AE787" s="55">
        <f t="shared" si="216"/>
        <v>0</v>
      </c>
      <c r="AF787" s="55">
        <f t="shared" si="217"/>
        <v>0</v>
      </c>
      <c r="AG787" s="55">
        <f t="shared" si="218"/>
        <v>0</v>
      </c>
      <c r="AH787" s="55">
        <f t="shared" si="219"/>
        <v>0</v>
      </c>
      <c r="AI787" s="34" t="s">
        <v>116</v>
      </c>
      <c r="AJ787" s="55">
        <f t="shared" si="220"/>
        <v>0</v>
      </c>
      <c r="AK787" s="55">
        <f t="shared" si="221"/>
        <v>0</v>
      </c>
      <c r="AL787" s="55">
        <f t="shared" si="222"/>
        <v>0</v>
      </c>
      <c r="AN787" s="55">
        <v>21</v>
      </c>
      <c r="AO787" s="55">
        <f t="shared" si="223"/>
        <v>0</v>
      </c>
      <c r="AP787" s="55">
        <f t="shared" si="224"/>
        <v>0</v>
      </c>
      <c r="AQ787" s="58" t="s">
        <v>125</v>
      </c>
      <c r="AV787" s="55">
        <f t="shared" si="225"/>
        <v>0</v>
      </c>
      <c r="AW787" s="55">
        <f t="shared" si="226"/>
        <v>0</v>
      </c>
      <c r="AX787" s="55">
        <f t="shared" si="227"/>
        <v>0</v>
      </c>
      <c r="AY787" s="58" t="s">
        <v>1594</v>
      </c>
      <c r="AZ787" s="58" t="s">
        <v>1527</v>
      </c>
      <c r="BA787" s="34" t="s">
        <v>128</v>
      </c>
      <c r="BC787" s="55">
        <f t="shared" si="228"/>
        <v>0</v>
      </c>
      <c r="BD787" s="55">
        <f t="shared" si="229"/>
        <v>0</v>
      </c>
      <c r="BE787" s="55">
        <v>0</v>
      </c>
      <c r="BF787" s="55">
        <f t="shared" si="230"/>
        <v>0</v>
      </c>
      <c r="BH787" s="55">
        <f t="shared" si="231"/>
        <v>0</v>
      </c>
      <c r="BI787" s="55">
        <f t="shared" si="232"/>
        <v>0</v>
      </c>
      <c r="BJ787" s="55">
        <f t="shared" si="233"/>
        <v>0</v>
      </c>
      <c r="BK787" s="55"/>
      <c r="BL787" s="55">
        <v>734</v>
      </c>
      <c r="BW787" s="55">
        <v>21</v>
      </c>
    </row>
    <row r="788" spans="1:75" ht="13.5" customHeight="1">
      <c r="A788" s="1" t="s">
        <v>1074</v>
      </c>
      <c r="B788" s="2" t="s">
        <v>116</v>
      </c>
      <c r="C788" s="2" t="s">
        <v>1623</v>
      </c>
      <c r="D788" s="147" t="s">
        <v>1624</v>
      </c>
      <c r="E788" s="148"/>
      <c r="F788" s="2" t="s">
        <v>374</v>
      </c>
      <c r="G788" s="55">
        <f>'Stavební rozpočet-vyplnit'!G788</f>
        <v>1</v>
      </c>
      <c r="H788" s="55">
        <f>'Stavební rozpočet-vyplnit'!H788</f>
        <v>0</v>
      </c>
      <c r="I788" s="55">
        <f t="shared" si="210"/>
        <v>0</v>
      </c>
      <c r="J788" s="55">
        <f>'Stavební rozpočet-vyplnit'!J788</f>
        <v>0</v>
      </c>
      <c r="K788" s="55">
        <f t="shared" si="211"/>
        <v>0</v>
      </c>
      <c r="L788" s="57" t="s">
        <v>124</v>
      </c>
      <c r="Z788" s="55">
        <f t="shared" si="212"/>
        <v>0</v>
      </c>
      <c r="AB788" s="55">
        <f t="shared" si="213"/>
        <v>0</v>
      </c>
      <c r="AC788" s="55">
        <f t="shared" si="214"/>
        <v>0</v>
      </c>
      <c r="AD788" s="55">
        <f t="shared" si="215"/>
        <v>0</v>
      </c>
      <c r="AE788" s="55">
        <f t="shared" si="216"/>
        <v>0</v>
      </c>
      <c r="AF788" s="55">
        <f t="shared" si="217"/>
        <v>0</v>
      </c>
      <c r="AG788" s="55">
        <f t="shared" si="218"/>
        <v>0</v>
      </c>
      <c r="AH788" s="55">
        <f t="shared" si="219"/>
        <v>0</v>
      </c>
      <c r="AI788" s="34" t="s">
        <v>116</v>
      </c>
      <c r="AJ788" s="55">
        <f t="shared" si="220"/>
        <v>0</v>
      </c>
      <c r="AK788" s="55">
        <f t="shared" si="221"/>
        <v>0</v>
      </c>
      <c r="AL788" s="55">
        <f t="shared" si="222"/>
        <v>0</v>
      </c>
      <c r="AN788" s="55">
        <v>21</v>
      </c>
      <c r="AO788" s="55">
        <f t="shared" si="223"/>
        <v>0</v>
      </c>
      <c r="AP788" s="55">
        <f t="shared" si="224"/>
        <v>0</v>
      </c>
      <c r="AQ788" s="58" t="s">
        <v>125</v>
      </c>
      <c r="AV788" s="55">
        <f t="shared" si="225"/>
        <v>0</v>
      </c>
      <c r="AW788" s="55">
        <f t="shared" si="226"/>
        <v>0</v>
      </c>
      <c r="AX788" s="55">
        <f t="shared" si="227"/>
        <v>0</v>
      </c>
      <c r="AY788" s="58" t="s">
        <v>1594</v>
      </c>
      <c r="AZ788" s="58" t="s">
        <v>1527</v>
      </c>
      <c r="BA788" s="34" t="s">
        <v>128</v>
      </c>
      <c r="BC788" s="55">
        <f t="shared" si="228"/>
        <v>0</v>
      </c>
      <c r="BD788" s="55">
        <f t="shared" si="229"/>
        <v>0</v>
      </c>
      <c r="BE788" s="55">
        <v>0</v>
      </c>
      <c r="BF788" s="55">
        <f t="shared" si="230"/>
        <v>0</v>
      </c>
      <c r="BH788" s="55">
        <f t="shared" si="231"/>
        <v>0</v>
      </c>
      <c r="BI788" s="55">
        <f t="shared" si="232"/>
        <v>0</v>
      </c>
      <c r="BJ788" s="55">
        <f t="shared" si="233"/>
        <v>0</v>
      </c>
      <c r="BK788" s="55"/>
      <c r="BL788" s="55">
        <v>734</v>
      </c>
      <c r="BW788" s="55">
        <v>21</v>
      </c>
    </row>
    <row r="789" spans="1:75" ht="13.5" customHeight="1">
      <c r="A789" s="1" t="s">
        <v>1625</v>
      </c>
      <c r="B789" s="2" t="s">
        <v>116</v>
      </c>
      <c r="C789" s="2" t="s">
        <v>1626</v>
      </c>
      <c r="D789" s="147" t="s">
        <v>1627</v>
      </c>
      <c r="E789" s="148"/>
      <c r="F789" s="2" t="s">
        <v>374</v>
      </c>
      <c r="G789" s="55">
        <f>'Stavební rozpočet-vyplnit'!G789</f>
        <v>1</v>
      </c>
      <c r="H789" s="55">
        <f>'Stavební rozpočet-vyplnit'!H789</f>
        <v>0</v>
      </c>
      <c r="I789" s="55">
        <f t="shared" si="210"/>
        <v>0</v>
      </c>
      <c r="J789" s="55">
        <f>'Stavební rozpočet-vyplnit'!J789</f>
        <v>0</v>
      </c>
      <c r="K789" s="55">
        <f t="shared" si="211"/>
        <v>0</v>
      </c>
      <c r="L789" s="57" t="s">
        <v>124</v>
      </c>
      <c r="Z789" s="55">
        <f t="shared" si="212"/>
        <v>0</v>
      </c>
      <c r="AB789" s="55">
        <f t="shared" si="213"/>
        <v>0</v>
      </c>
      <c r="AC789" s="55">
        <f t="shared" si="214"/>
        <v>0</v>
      </c>
      <c r="AD789" s="55">
        <f t="shared" si="215"/>
        <v>0</v>
      </c>
      <c r="AE789" s="55">
        <f t="shared" si="216"/>
        <v>0</v>
      </c>
      <c r="AF789" s="55">
        <f t="shared" si="217"/>
        <v>0</v>
      </c>
      <c r="AG789" s="55">
        <f t="shared" si="218"/>
        <v>0</v>
      </c>
      <c r="AH789" s="55">
        <f t="shared" si="219"/>
        <v>0</v>
      </c>
      <c r="AI789" s="34" t="s">
        <v>116</v>
      </c>
      <c r="AJ789" s="55">
        <f t="shared" si="220"/>
        <v>0</v>
      </c>
      <c r="AK789" s="55">
        <f t="shared" si="221"/>
        <v>0</v>
      </c>
      <c r="AL789" s="55">
        <f t="shared" si="222"/>
        <v>0</v>
      </c>
      <c r="AN789" s="55">
        <v>21</v>
      </c>
      <c r="AO789" s="55">
        <f t="shared" si="223"/>
        <v>0</v>
      </c>
      <c r="AP789" s="55">
        <f t="shared" si="224"/>
        <v>0</v>
      </c>
      <c r="AQ789" s="58" t="s">
        <v>125</v>
      </c>
      <c r="AV789" s="55">
        <f t="shared" si="225"/>
        <v>0</v>
      </c>
      <c r="AW789" s="55">
        <f t="shared" si="226"/>
        <v>0</v>
      </c>
      <c r="AX789" s="55">
        <f t="shared" si="227"/>
        <v>0</v>
      </c>
      <c r="AY789" s="58" t="s">
        <v>1594</v>
      </c>
      <c r="AZ789" s="58" t="s">
        <v>1527</v>
      </c>
      <c r="BA789" s="34" t="s">
        <v>128</v>
      </c>
      <c r="BC789" s="55">
        <f t="shared" si="228"/>
        <v>0</v>
      </c>
      <c r="BD789" s="55">
        <f t="shared" si="229"/>
        <v>0</v>
      </c>
      <c r="BE789" s="55">
        <v>0</v>
      </c>
      <c r="BF789" s="55">
        <f t="shared" si="230"/>
        <v>0</v>
      </c>
      <c r="BH789" s="55">
        <f t="shared" si="231"/>
        <v>0</v>
      </c>
      <c r="BI789" s="55">
        <f t="shared" si="232"/>
        <v>0</v>
      </c>
      <c r="BJ789" s="55">
        <f t="shared" si="233"/>
        <v>0</v>
      </c>
      <c r="BK789" s="55"/>
      <c r="BL789" s="55">
        <v>734</v>
      </c>
      <c r="BW789" s="55">
        <v>21</v>
      </c>
    </row>
    <row r="790" spans="1:75" ht="13.5" customHeight="1">
      <c r="A790" s="1" t="s">
        <v>1628</v>
      </c>
      <c r="B790" s="2" t="s">
        <v>116</v>
      </c>
      <c r="C790" s="2" t="s">
        <v>1629</v>
      </c>
      <c r="D790" s="147" t="s">
        <v>1630</v>
      </c>
      <c r="E790" s="148"/>
      <c r="F790" s="2" t="s">
        <v>939</v>
      </c>
      <c r="G790" s="55">
        <f>'Stavební rozpočet-vyplnit'!G790</f>
        <v>0.04</v>
      </c>
      <c r="H790" s="55">
        <f>'Stavební rozpočet-vyplnit'!H790</f>
        <v>0</v>
      </c>
      <c r="I790" s="55">
        <f t="shared" si="210"/>
        <v>0</v>
      </c>
      <c r="J790" s="55">
        <f>'Stavební rozpočet-vyplnit'!J790</f>
        <v>0</v>
      </c>
      <c r="K790" s="55">
        <f t="shared" si="211"/>
        <v>0</v>
      </c>
      <c r="L790" s="57" t="s">
        <v>124</v>
      </c>
      <c r="Z790" s="55">
        <f t="shared" si="212"/>
        <v>0</v>
      </c>
      <c r="AB790" s="55">
        <f t="shared" si="213"/>
        <v>0</v>
      </c>
      <c r="AC790" s="55">
        <f t="shared" si="214"/>
        <v>0</v>
      </c>
      <c r="AD790" s="55">
        <f t="shared" si="215"/>
        <v>0</v>
      </c>
      <c r="AE790" s="55">
        <f t="shared" si="216"/>
        <v>0</v>
      </c>
      <c r="AF790" s="55">
        <f t="shared" si="217"/>
        <v>0</v>
      </c>
      <c r="AG790" s="55">
        <f t="shared" si="218"/>
        <v>0</v>
      </c>
      <c r="AH790" s="55">
        <f t="shared" si="219"/>
        <v>0</v>
      </c>
      <c r="AI790" s="34" t="s">
        <v>116</v>
      </c>
      <c r="AJ790" s="55">
        <f t="shared" si="220"/>
        <v>0</v>
      </c>
      <c r="AK790" s="55">
        <f t="shared" si="221"/>
        <v>0</v>
      </c>
      <c r="AL790" s="55">
        <f t="shared" si="222"/>
        <v>0</v>
      </c>
      <c r="AN790" s="55">
        <v>21</v>
      </c>
      <c r="AO790" s="55">
        <f t="shared" si="223"/>
        <v>0</v>
      </c>
      <c r="AP790" s="55">
        <f t="shared" si="224"/>
        <v>0</v>
      </c>
      <c r="AQ790" s="58" t="s">
        <v>139</v>
      </c>
      <c r="AV790" s="55">
        <f t="shared" si="225"/>
        <v>0</v>
      </c>
      <c r="AW790" s="55">
        <f t="shared" si="226"/>
        <v>0</v>
      </c>
      <c r="AX790" s="55">
        <f t="shared" si="227"/>
        <v>0</v>
      </c>
      <c r="AY790" s="58" t="s">
        <v>1594</v>
      </c>
      <c r="AZ790" s="58" t="s">
        <v>1527</v>
      </c>
      <c r="BA790" s="34" t="s">
        <v>128</v>
      </c>
      <c r="BC790" s="55">
        <f t="shared" si="228"/>
        <v>0</v>
      </c>
      <c r="BD790" s="55">
        <f t="shared" si="229"/>
        <v>0</v>
      </c>
      <c r="BE790" s="55">
        <v>0</v>
      </c>
      <c r="BF790" s="55">
        <f t="shared" si="230"/>
        <v>0</v>
      </c>
      <c r="BH790" s="55">
        <f t="shared" si="231"/>
        <v>0</v>
      </c>
      <c r="BI790" s="55">
        <f t="shared" si="232"/>
        <v>0</v>
      </c>
      <c r="BJ790" s="55">
        <f t="shared" si="233"/>
        <v>0</v>
      </c>
      <c r="BK790" s="55"/>
      <c r="BL790" s="55">
        <v>734</v>
      </c>
      <c r="BW790" s="55">
        <v>21</v>
      </c>
    </row>
    <row r="791" spans="1:47" ht="14.4">
      <c r="A791" s="50" t="s">
        <v>4</v>
      </c>
      <c r="B791" s="51" t="s">
        <v>116</v>
      </c>
      <c r="C791" s="51" t="s">
        <v>1631</v>
      </c>
      <c r="D791" s="222" t="s">
        <v>1632</v>
      </c>
      <c r="E791" s="223"/>
      <c r="F791" s="52" t="s">
        <v>79</v>
      </c>
      <c r="G791" s="52" t="s">
        <v>79</v>
      </c>
      <c r="H791" s="52" t="s">
        <v>79</v>
      </c>
      <c r="I791" s="27">
        <f>SUM(I792:I801)</f>
        <v>0</v>
      </c>
      <c r="J791" s="34" t="s">
        <v>4</v>
      </c>
      <c r="K791" s="27">
        <f>SUM(K792:K801)</f>
        <v>0</v>
      </c>
      <c r="L791" s="54" t="s">
        <v>4</v>
      </c>
      <c r="AI791" s="34" t="s">
        <v>116</v>
      </c>
      <c r="AS791" s="27">
        <f>SUM(AJ792:AJ801)</f>
        <v>0</v>
      </c>
      <c r="AT791" s="27">
        <f>SUM(AK792:AK801)</f>
        <v>0</v>
      </c>
      <c r="AU791" s="27">
        <f>SUM(AL792:AL801)</f>
        <v>0</v>
      </c>
    </row>
    <row r="792" spans="1:75" ht="27" customHeight="1">
      <c r="A792" s="1" t="s">
        <v>1633</v>
      </c>
      <c r="B792" s="2" t="s">
        <v>116</v>
      </c>
      <c r="C792" s="2" t="s">
        <v>1634</v>
      </c>
      <c r="D792" s="147" t="s">
        <v>1635</v>
      </c>
      <c r="E792" s="148"/>
      <c r="F792" s="2" t="s">
        <v>374</v>
      </c>
      <c r="G792" s="55">
        <f>'Stavební rozpočet-vyplnit'!G792</f>
        <v>1</v>
      </c>
      <c r="H792" s="55">
        <f>'Stavební rozpočet-vyplnit'!H792</f>
        <v>0</v>
      </c>
      <c r="I792" s="55">
        <f aca="true" t="shared" si="234" ref="I792:I801">G792*H792</f>
        <v>0</v>
      </c>
      <c r="J792" s="55">
        <f>'Stavební rozpočet-vyplnit'!J792</f>
        <v>0</v>
      </c>
      <c r="K792" s="55">
        <f aca="true" t="shared" si="235" ref="K792:K801">G792*J792</f>
        <v>0</v>
      </c>
      <c r="L792" s="57" t="s">
        <v>124</v>
      </c>
      <c r="Z792" s="55">
        <f aca="true" t="shared" si="236" ref="Z792:Z801">IF(AQ792="5",BJ792,0)</f>
        <v>0</v>
      </c>
      <c r="AB792" s="55">
        <f aca="true" t="shared" si="237" ref="AB792:AB801">IF(AQ792="1",BH792,0)</f>
        <v>0</v>
      </c>
      <c r="AC792" s="55">
        <f aca="true" t="shared" si="238" ref="AC792:AC801">IF(AQ792="1",BI792,0)</f>
        <v>0</v>
      </c>
      <c r="AD792" s="55">
        <f aca="true" t="shared" si="239" ref="AD792:AD801">IF(AQ792="7",BH792,0)</f>
        <v>0</v>
      </c>
      <c r="AE792" s="55">
        <f aca="true" t="shared" si="240" ref="AE792:AE801">IF(AQ792="7",BI792,0)</f>
        <v>0</v>
      </c>
      <c r="AF792" s="55">
        <f aca="true" t="shared" si="241" ref="AF792:AF801">IF(AQ792="2",BH792,0)</f>
        <v>0</v>
      </c>
      <c r="AG792" s="55">
        <f aca="true" t="shared" si="242" ref="AG792:AG801">IF(AQ792="2",BI792,0)</f>
        <v>0</v>
      </c>
      <c r="AH792" s="55">
        <f aca="true" t="shared" si="243" ref="AH792:AH801">IF(AQ792="0",BJ792,0)</f>
        <v>0</v>
      </c>
      <c r="AI792" s="34" t="s">
        <v>116</v>
      </c>
      <c r="AJ792" s="55">
        <f aca="true" t="shared" si="244" ref="AJ792:AJ801">IF(AN792=0,I792,0)</f>
        <v>0</v>
      </c>
      <c r="AK792" s="55">
        <f aca="true" t="shared" si="245" ref="AK792:AK801">IF(AN792=12,I792,0)</f>
        <v>0</v>
      </c>
      <c r="AL792" s="55">
        <f aca="true" t="shared" si="246" ref="AL792:AL801">IF(AN792=21,I792,0)</f>
        <v>0</v>
      </c>
      <c r="AN792" s="55">
        <v>21</v>
      </c>
      <c r="AO792" s="55">
        <f aca="true" t="shared" si="247" ref="AO792:AO799">H792*0</f>
        <v>0</v>
      </c>
      <c r="AP792" s="55">
        <f aca="true" t="shared" si="248" ref="AP792:AP799">H792*(1-0)</f>
        <v>0</v>
      </c>
      <c r="AQ792" s="58" t="s">
        <v>125</v>
      </c>
      <c r="AV792" s="55">
        <f aca="true" t="shared" si="249" ref="AV792:AV801">AW792+AX792</f>
        <v>0</v>
      </c>
      <c r="AW792" s="55">
        <f aca="true" t="shared" si="250" ref="AW792:AW801">G792*AO792</f>
        <v>0</v>
      </c>
      <c r="AX792" s="55">
        <f aca="true" t="shared" si="251" ref="AX792:AX801">G792*AP792</f>
        <v>0</v>
      </c>
      <c r="AY792" s="58" t="s">
        <v>1636</v>
      </c>
      <c r="AZ792" s="58" t="s">
        <v>1527</v>
      </c>
      <c r="BA792" s="34" t="s">
        <v>128</v>
      </c>
      <c r="BC792" s="55">
        <f aca="true" t="shared" si="252" ref="BC792:BC801">AW792+AX792</f>
        <v>0</v>
      </c>
      <c r="BD792" s="55">
        <f aca="true" t="shared" si="253" ref="BD792:BD801">H792/(100-BE792)*100</f>
        <v>0</v>
      </c>
      <c r="BE792" s="55">
        <v>0</v>
      </c>
      <c r="BF792" s="55">
        <f aca="true" t="shared" si="254" ref="BF792:BF801">K792</f>
        <v>0</v>
      </c>
      <c r="BH792" s="55">
        <f aca="true" t="shared" si="255" ref="BH792:BH801">G792*AO792</f>
        <v>0</v>
      </c>
      <c r="BI792" s="55">
        <f aca="true" t="shared" si="256" ref="BI792:BI801">G792*AP792</f>
        <v>0</v>
      </c>
      <c r="BJ792" s="55">
        <f aca="true" t="shared" si="257" ref="BJ792:BJ801">G792*H792</f>
        <v>0</v>
      </c>
      <c r="BK792" s="55"/>
      <c r="BL792" s="55">
        <v>735</v>
      </c>
      <c r="BW792" s="55">
        <v>21</v>
      </c>
    </row>
    <row r="793" spans="1:75" ht="27" customHeight="1">
      <c r="A793" s="1" t="s">
        <v>1637</v>
      </c>
      <c r="B793" s="2" t="s">
        <v>116</v>
      </c>
      <c r="C793" s="2" t="s">
        <v>1638</v>
      </c>
      <c r="D793" s="147" t="s">
        <v>1639</v>
      </c>
      <c r="E793" s="148"/>
      <c r="F793" s="2" t="s">
        <v>374</v>
      </c>
      <c r="G793" s="55">
        <f>'Stavební rozpočet-vyplnit'!G793</f>
        <v>3</v>
      </c>
      <c r="H793" s="55">
        <f>'Stavební rozpočet-vyplnit'!H793</f>
        <v>0</v>
      </c>
      <c r="I793" s="55">
        <f t="shared" si="234"/>
        <v>0</v>
      </c>
      <c r="J793" s="55">
        <f>'Stavební rozpočet-vyplnit'!J793</f>
        <v>0</v>
      </c>
      <c r="K793" s="55">
        <f t="shared" si="235"/>
        <v>0</v>
      </c>
      <c r="L793" s="57" t="s">
        <v>124</v>
      </c>
      <c r="Z793" s="55">
        <f t="shared" si="236"/>
        <v>0</v>
      </c>
      <c r="AB793" s="55">
        <f t="shared" si="237"/>
        <v>0</v>
      </c>
      <c r="AC793" s="55">
        <f t="shared" si="238"/>
        <v>0</v>
      </c>
      <c r="AD793" s="55">
        <f t="shared" si="239"/>
        <v>0</v>
      </c>
      <c r="AE793" s="55">
        <f t="shared" si="240"/>
        <v>0</v>
      </c>
      <c r="AF793" s="55">
        <f t="shared" si="241"/>
        <v>0</v>
      </c>
      <c r="AG793" s="55">
        <f t="shared" si="242"/>
        <v>0</v>
      </c>
      <c r="AH793" s="55">
        <f t="shared" si="243"/>
        <v>0</v>
      </c>
      <c r="AI793" s="34" t="s">
        <v>116</v>
      </c>
      <c r="AJ793" s="55">
        <f t="shared" si="244"/>
        <v>0</v>
      </c>
      <c r="AK793" s="55">
        <f t="shared" si="245"/>
        <v>0</v>
      </c>
      <c r="AL793" s="55">
        <f t="shared" si="246"/>
        <v>0</v>
      </c>
      <c r="AN793" s="55">
        <v>21</v>
      </c>
      <c r="AO793" s="55">
        <f t="shared" si="247"/>
        <v>0</v>
      </c>
      <c r="AP793" s="55">
        <f t="shared" si="248"/>
        <v>0</v>
      </c>
      <c r="AQ793" s="58" t="s">
        <v>125</v>
      </c>
      <c r="AV793" s="55">
        <f t="shared" si="249"/>
        <v>0</v>
      </c>
      <c r="AW793" s="55">
        <f t="shared" si="250"/>
        <v>0</v>
      </c>
      <c r="AX793" s="55">
        <f t="shared" si="251"/>
        <v>0</v>
      </c>
      <c r="AY793" s="58" t="s">
        <v>1636</v>
      </c>
      <c r="AZ793" s="58" t="s">
        <v>1527</v>
      </c>
      <c r="BA793" s="34" t="s">
        <v>128</v>
      </c>
      <c r="BC793" s="55">
        <f t="shared" si="252"/>
        <v>0</v>
      </c>
      <c r="BD793" s="55">
        <f t="shared" si="253"/>
        <v>0</v>
      </c>
      <c r="BE793" s="55">
        <v>0</v>
      </c>
      <c r="BF793" s="55">
        <f t="shared" si="254"/>
        <v>0</v>
      </c>
      <c r="BH793" s="55">
        <f t="shared" si="255"/>
        <v>0</v>
      </c>
      <c r="BI793" s="55">
        <f t="shared" si="256"/>
        <v>0</v>
      </c>
      <c r="BJ793" s="55">
        <f t="shared" si="257"/>
        <v>0</v>
      </c>
      <c r="BK793" s="55"/>
      <c r="BL793" s="55">
        <v>735</v>
      </c>
      <c r="BW793" s="55">
        <v>21</v>
      </c>
    </row>
    <row r="794" spans="1:75" ht="27" customHeight="1">
      <c r="A794" s="1" t="s">
        <v>1640</v>
      </c>
      <c r="B794" s="2" t="s">
        <v>116</v>
      </c>
      <c r="C794" s="2" t="s">
        <v>1641</v>
      </c>
      <c r="D794" s="147" t="s">
        <v>1642</v>
      </c>
      <c r="E794" s="148"/>
      <c r="F794" s="2" t="s">
        <v>374</v>
      </c>
      <c r="G794" s="55">
        <f>'Stavební rozpočet-vyplnit'!G794</f>
        <v>1</v>
      </c>
      <c r="H794" s="55">
        <f>'Stavební rozpočet-vyplnit'!H794</f>
        <v>0</v>
      </c>
      <c r="I794" s="55">
        <f t="shared" si="234"/>
        <v>0</v>
      </c>
      <c r="J794" s="55">
        <f>'Stavební rozpočet-vyplnit'!J794</f>
        <v>0</v>
      </c>
      <c r="K794" s="55">
        <f t="shared" si="235"/>
        <v>0</v>
      </c>
      <c r="L794" s="57" t="s">
        <v>124</v>
      </c>
      <c r="Z794" s="55">
        <f t="shared" si="236"/>
        <v>0</v>
      </c>
      <c r="AB794" s="55">
        <f t="shared" si="237"/>
        <v>0</v>
      </c>
      <c r="AC794" s="55">
        <f t="shared" si="238"/>
        <v>0</v>
      </c>
      <c r="AD794" s="55">
        <f t="shared" si="239"/>
        <v>0</v>
      </c>
      <c r="AE794" s="55">
        <f t="shared" si="240"/>
        <v>0</v>
      </c>
      <c r="AF794" s="55">
        <f t="shared" si="241"/>
        <v>0</v>
      </c>
      <c r="AG794" s="55">
        <f t="shared" si="242"/>
        <v>0</v>
      </c>
      <c r="AH794" s="55">
        <f t="shared" si="243"/>
        <v>0</v>
      </c>
      <c r="AI794" s="34" t="s">
        <v>116</v>
      </c>
      <c r="AJ794" s="55">
        <f t="shared" si="244"/>
        <v>0</v>
      </c>
      <c r="AK794" s="55">
        <f t="shared" si="245"/>
        <v>0</v>
      </c>
      <c r="AL794" s="55">
        <f t="shared" si="246"/>
        <v>0</v>
      </c>
      <c r="AN794" s="55">
        <v>21</v>
      </c>
      <c r="AO794" s="55">
        <f t="shared" si="247"/>
        <v>0</v>
      </c>
      <c r="AP794" s="55">
        <f t="shared" si="248"/>
        <v>0</v>
      </c>
      <c r="AQ794" s="58" t="s">
        <v>125</v>
      </c>
      <c r="AV794" s="55">
        <f t="shared" si="249"/>
        <v>0</v>
      </c>
      <c r="AW794" s="55">
        <f t="shared" si="250"/>
        <v>0</v>
      </c>
      <c r="AX794" s="55">
        <f t="shared" si="251"/>
        <v>0</v>
      </c>
      <c r="AY794" s="58" t="s">
        <v>1636</v>
      </c>
      <c r="AZ794" s="58" t="s">
        <v>1527</v>
      </c>
      <c r="BA794" s="34" t="s">
        <v>128</v>
      </c>
      <c r="BC794" s="55">
        <f t="shared" si="252"/>
        <v>0</v>
      </c>
      <c r="BD794" s="55">
        <f t="shared" si="253"/>
        <v>0</v>
      </c>
      <c r="BE794" s="55">
        <v>0</v>
      </c>
      <c r="BF794" s="55">
        <f t="shared" si="254"/>
        <v>0</v>
      </c>
      <c r="BH794" s="55">
        <f t="shared" si="255"/>
        <v>0</v>
      </c>
      <c r="BI794" s="55">
        <f t="shared" si="256"/>
        <v>0</v>
      </c>
      <c r="BJ794" s="55">
        <f t="shared" si="257"/>
        <v>0</v>
      </c>
      <c r="BK794" s="55"/>
      <c r="BL794" s="55">
        <v>735</v>
      </c>
      <c r="BW794" s="55">
        <v>21</v>
      </c>
    </row>
    <row r="795" spans="1:75" ht="27" customHeight="1">
      <c r="A795" s="1" t="s">
        <v>1643</v>
      </c>
      <c r="B795" s="2" t="s">
        <v>116</v>
      </c>
      <c r="C795" s="2" t="s">
        <v>1644</v>
      </c>
      <c r="D795" s="147" t="s">
        <v>1645</v>
      </c>
      <c r="E795" s="148"/>
      <c r="F795" s="2" t="s">
        <v>374</v>
      </c>
      <c r="G795" s="55">
        <f>'Stavební rozpočet-vyplnit'!G795</f>
        <v>10</v>
      </c>
      <c r="H795" s="55">
        <f>'Stavební rozpočet-vyplnit'!H795</f>
        <v>0</v>
      </c>
      <c r="I795" s="55">
        <f t="shared" si="234"/>
        <v>0</v>
      </c>
      <c r="J795" s="55">
        <f>'Stavební rozpočet-vyplnit'!J795</f>
        <v>0</v>
      </c>
      <c r="K795" s="55">
        <f t="shared" si="235"/>
        <v>0</v>
      </c>
      <c r="L795" s="57" t="s">
        <v>124</v>
      </c>
      <c r="Z795" s="55">
        <f t="shared" si="236"/>
        <v>0</v>
      </c>
      <c r="AB795" s="55">
        <f t="shared" si="237"/>
        <v>0</v>
      </c>
      <c r="AC795" s="55">
        <f t="shared" si="238"/>
        <v>0</v>
      </c>
      <c r="AD795" s="55">
        <f t="shared" si="239"/>
        <v>0</v>
      </c>
      <c r="AE795" s="55">
        <f t="shared" si="240"/>
        <v>0</v>
      </c>
      <c r="AF795" s="55">
        <f t="shared" si="241"/>
        <v>0</v>
      </c>
      <c r="AG795" s="55">
        <f t="shared" si="242"/>
        <v>0</v>
      </c>
      <c r="AH795" s="55">
        <f t="shared" si="243"/>
        <v>0</v>
      </c>
      <c r="AI795" s="34" t="s">
        <v>116</v>
      </c>
      <c r="AJ795" s="55">
        <f t="shared" si="244"/>
        <v>0</v>
      </c>
      <c r="AK795" s="55">
        <f t="shared" si="245"/>
        <v>0</v>
      </c>
      <c r="AL795" s="55">
        <f t="shared" si="246"/>
        <v>0</v>
      </c>
      <c r="AN795" s="55">
        <v>21</v>
      </c>
      <c r="AO795" s="55">
        <f t="shared" si="247"/>
        <v>0</v>
      </c>
      <c r="AP795" s="55">
        <f t="shared" si="248"/>
        <v>0</v>
      </c>
      <c r="AQ795" s="58" t="s">
        <v>125</v>
      </c>
      <c r="AV795" s="55">
        <f t="shared" si="249"/>
        <v>0</v>
      </c>
      <c r="AW795" s="55">
        <f t="shared" si="250"/>
        <v>0</v>
      </c>
      <c r="AX795" s="55">
        <f t="shared" si="251"/>
        <v>0</v>
      </c>
      <c r="AY795" s="58" t="s">
        <v>1636</v>
      </c>
      <c r="AZ795" s="58" t="s">
        <v>1527</v>
      </c>
      <c r="BA795" s="34" t="s">
        <v>128</v>
      </c>
      <c r="BC795" s="55">
        <f t="shared" si="252"/>
        <v>0</v>
      </c>
      <c r="BD795" s="55">
        <f t="shared" si="253"/>
        <v>0</v>
      </c>
      <c r="BE795" s="55">
        <v>0</v>
      </c>
      <c r="BF795" s="55">
        <f t="shared" si="254"/>
        <v>0</v>
      </c>
      <c r="BH795" s="55">
        <f t="shared" si="255"/>
        <v>0</v>
      </c>
      <c r="BI795" s="55">
        <f t="shared" si="256"/>
        <v>0</v>
      </c>
      <c r="BJ795" s="55">
        <f t="shared" si="257"/>
        <v>0</v>
      </c>
      <c r="BK795" s="55"/>
      <c r="BL795" s="55">
        <v>735</v>
      </c>
      <c r="BW795" s="55">
        <v>21</v>
      </c>
    </row>
    <row r="796" spans="1:75" ht="27" customHeight="1">
      <c r="A796" s="1" t="s">
        <v>1646</v>
      </c>
      <c r="B796" s="2" t="s">
        <v>116</v>
      </c>
      <c r="C796" s="2" t="s">
        <v>1647</v>
      </c>
      <c r="D796" s="147" t="s">
        <v>1648</v>
      </c>
      <c r="E796" s="148"/>
      <c r="F796" s="2" t="s">
        <v>374</v>
      </c>
      <c r="G796" s="55">
        <f>'Stavební rozpočet-vyplnit'!G796</f>
        <v>2</v>
      </c>
      <c r="H796" s="55">
        <f>'Stavební rozpočet-vyplnit'!H796</f>
        <v>0</v>
      </c>
      <c r="I796" s="55">
        <f t="shared" si="234"/>
        <v>0</v>
      </c>
      <c r="J796" s="55">
        <f>'Stavební rozpočet-vyplnit'!J796</f>
        <v>0</v>
      </c>
      <c r="K796" s="55">
        <f t="shared" si="235"/>
        <v>0</v>
      </c>
      <c r="L796" s="57" t="s">
        <v>124</v>
      </c>
      <c r="Z796" s="55">
        <f t="shared" si="236"/>
        <v>0</v>
      </c>
      <c r="AB796" s="55">
        <f t="shared" si="237"/>
        <v>0</v>
      </c>
      <c r="AC796" s="55">
        <f t="shared" si="238"/>
        <v>0</v>
      </c>
      <c r="AD796" s="55">
        <f t="shared" si="239"/>
        <v>0</v>
      </c>
      <c r="AE796" s="55">
        <f t="shared" si="240"/>
        <v>0</v>
      </c>
      <c r="AF796" s="55">
        <f t="shared" si="241"/>
        <v>0</v>
      </c>
      <c r="AG796" s="55">
        <f t="shared" si="242"/>
        <v>0</v>
      </c>
      <c r="AH796" s="55">
        <f t="shared" si="243"/>
        <v>0</v>
      </c>
      <c r="AI796" s="34" t="s">
        <v>116</v>
      </c>
      <c r="AJ796" s="55">
        <f t="shared" si="244"/>
        <v>0</v>
      </c>
      <c r="AK796" s="55">
        <f t="shared" si="245"/>
        <v>0</v>
      </c>
      <c r="AL796" s="55">
        <f t="shared" si="246"/>
        <v>0</v>
      </c>
      <c r="AN796" s="55">
        <v>21</v>
      </c>
      <c r="AO796" s="55">
        <f t="shared" si="247"/>
        <v>0</v>
      </c>
      <c r="AP796" s="55">
        <f t="shared" si="248"/>
        <v>0</v>
      </c>
      <c r="AQ796" s="58" t="s">
        <v>125</v>
      </c>
      <c r="AV796" s="55">
        <f t="shared" si="249"/>
        <v>0</v>
      </c>
      <c r="AW796" s="55">
        <f t="shared" si="250"/>
        <v>0</v>
      </c>
      <c r="AX796" s="55">
        <f t="shared" si="251"/>
        <v>0</v>
      </c>
      <c r="AY796" s="58" t="s">
        <v>1636</v>
      </c>
      <c r="AZ796" s="58" t="s">
        <v>1527</v>
      </c>
      <c r="BA796" s="34" t="s">
        <v>128</v>
      </c>
      <c r="BC796" s="55">
        <f t="shared" si="252"/>
        <v>0</v>
      </c>
      <c r="BD796" s="55">
        <f t="shared" si="253"/>
        <v>0</v>
      </c>
      <c r="BE796" s="55">
        <v>0</v>
      </c>
      <c r="BF796" s="55">
        <f t="shared" si="254"/>
        <v>0</v>
      </c>
      <c r="BH796" s="55">
        <f t="shared" si="255"/>
        <v>0</v>
      </c>
      <c r="BI796" s="55">
        <f t="shared" si="256"/>
        <v>0</v>
      </c>
      <c r="BJ796" s="55">
        <f t="shared" si="257"/>
        <v>0</v>
      </c>
      <c r="BK796" s="55"/>
      <c r="BL796" s="55">
        <v>735</v>
      </c>
      <c r="BW796" s="55">
        <v>21</v>
      </c>
    </row>
    <row r="797" spans="1:75" ht="27" customHeight="1">
      <c r="A797" s="1" t="s">
        <v>1649</v>
      </c>
      <c r="B797" s="2" t="s">
        <v>116</v>
      </c>
      <c r="C797" s="2" t="s">
        <v>1650</v>
      </c>
      <c r="D797" s="147" t="s">
        <v>1651</v>
      </c>
      <c r="E797" s="148"/>
      <c r="F797" s="2" t="s">
        <v>374</v>
      </c>
      <c r="G797" s="55">
        <f>'Stavební rozpočet-vyplnit'!G797</f>
        <v>1</v>
      </c>
      <c r="H797" s="55">
        <f>'Stavební rozpočet-vyplnit'!H797</f>
        <v>0</v>
      </c>
      <c r="I797" s="55">
        <f t="shared" si="234"/>
        <v>0</v>
      </c>
      <c r="J797" s="55">
        <f>'Stavební rozpočet-vyplnit'!J797</f>
        <v>0</v>
      </c>
      <c r="K797" s="55">
        <f t="shared" si="235"/>
        <v>0</v>
      </c>
      <c r="L797" s="57" t="s">
        <v>124</v>
      </c>
      <c r="Z797" s="55">
        <f t="shared" si="236"/>
        <v>0</v>
      </c>
      <c r="AB797" s="55">
        <f t="shared" si="237"/>
        <v>0</v>
      </c>
      <c r="AC797" s="55">
        <f t="shared" si="238"/>
        <v>0</v>
      </c>
      <c r="AD797" s="55">
        <f t="shared" si="239"/>
        <v>0</v>
      </c>
      <c r="AE797" s="55">
        <f t="shared" si="240"/>
        <v>0</v>
      </c>
      <c r="AF797" s="55">
        <f t="shared" si="241"/>
        <v>0</v>
      </c>
      <c r="AG797" s="55">
        <f t="shared" si="242"/>
        <v>0</v>
      </c>
      <c r="AH797" s="55">
        <f t="shared" si="243"/>
        <v>0</v>
      </c>
      <c r="AI797" s="34" t="s">
        <v>116</v>
      </c>
      <c r="AJ797" s="55">
        <f t="shared" si="244"/>
        <v>0</v>
      </c>
      <c r="AK797" s="55">
        <f t="shared" si="245"/>
        <v>0</v>
      </c>
      <c r="AL797" s="55">
        <f t="shared" si="246"/>
        <v>0</v>
      </c>
      <c r="AN797" s="55">
        <v>21</v>
      </c>
      <c r="AO797" s="55">
        <f t="shared" si="247"/>
        <v>0</v>
      </c>
      <c r="AP797" s="55">
        <f t="shared" si="248"/>
        <v>0</v>
      </c>
      <c r="AQ797" s="58" t="s">
        <v>125</v>
      </c>
      <c r="AV797" s="55">
        <f t="shared" si="249"/>
        <v>0</v>
      </c>
      <c r="AW797" s="55">
        <f t="shared" si="250"/>
        <v>0</v>
      </c>
      <c r="AX797" s="55">
        <f t="shared" si="251"/>
        <v>0</v>
      </c>
      <c r="AY797" s="58" t="s">
        <v>1636</v>
      </c>
      <c r="AZ797" s="58" t="s">
        <v>1527</v>
      </c>
      <c r="BA797" s="34" t="s">
        <v>128</v>
      </c>
      <c r="BC797" s="55">
        <f t="shared" si="252"/>
        <v>0</v>
      </c>
      <c r="BD797" s="55">
        <f t="shared" si="253"/>
        <v>0</v>
      </c>
      <c r="BE797" s="55">
        <v>0</v>
      </c>
      <c r="BF797" s="55">
        <f t="shared" si="254"/>
        <v>0</v>
      </c>
      <c r="BH797" s="55">
        <f t="shared" si="255"/>
        <v>0</v>
      </c>
      <c r="BI797" s="55">
        <f t="shared" si="256"/>
        <v>0</v>
      </c>
      <c r="BJ797" s="55">
        <f t="shared" si="257"/>
        <v>0</v>
      </c>
      <c r="BK797" s="55"/>
      <c r="BL797" s="55">
        <v>735</v>
      </c>
      <c r="BW797" s="55">
        <v>21</v>
      </c>
    </row>
    <row r="798" spans="1:75" ht="27" customHeight="1">
      <c r="A798" s="1" t="s">
        <v>1652</v>
      </c>
      <c r="B798" s="2" t="s">
        <v>116</v>
      </c>
      <c r="C798" s="2" t="s">
        <v>1653</v>
      </c>
      <c r="D798" s="147" t="s">
        <v>1654</v>
      </c>
      <c r="E798" s="148"/>
      <c r="F798" s="2" t="s">
        <v>374</v>
      </c>
      <c r="G798" s="55">
        <f>'Stavební rozpočet-vyplnit'!G798</f>
        <v>1</v>
      </c>
      <c r="H798" s="55">
        <f>'Stavební rozpočet-vyplnit'!H798</f>
        <v>0</v>
      </c>
      <c r="I798" s="55">
        <f t="shared" si="234"/>
        <v>0</v>
      </c>
      <c r="J798" s="55">
        <f>'Stavební rozpočet-vyplnit'!J798</f>
        <v>0</v>
      </c>
      <c r="K798" s="55">
        <f t="shared" si="235"/>
        <v>0</v>
      </c>
      <c r="L798" s="57" t="s">
        <v>124</v>
      </c>
      <c r="Z798" s="55">
        <f t="shared" si="236"/>
        <v>0</v>
      </c>
      <c r="AB798" s="55">
        <f t="shared" si="237"/>
        <v>0</v>
      </c>
      <c r="AC798" s="55">
        <f t="shared" si="238"/>
        <v>0</v>
      </c>
      <c r="AD798" s="55">
        <f t="shared" si="239"/>
        <v>0</v>
      </c>
      <c r="AE798" s="55">
        <f t="shared" si="240"/>
        <v>0</v>
      </c>
      <c r="AF798" s="55">
        <f t="shared" si="241"/>
        <v>0</v>
      </c>
      <c r="AG798" s="55">
        <f t="shared" si="242"/>
        <v>0</v>
      </c>
      <c r="AH798" s="55">
        <f t="shared" si="243"/>
        <v>0</v>
      </c>
      <c r="AI798" s="34" t="s">
        <v>116</v>
      </c>
      <c r="AJ798" s="55">
        <f t="shared" si="244"/>
        <v>0</v>
      </c>
      <c r="AK798" s="55">
        <f t="shared" si="245"/>
        <v>0</v>
      </c>
      <c r="AL798" s="55">
        <f t="shared" si="246"/>
        <v>0</v>
      </c>
      <c r="AN798" s="55">
        <v>21</v>
      </c>
      <c r="AO798" s="55">
        <f t="shared" si="247"/>
        <v>0</v>
      </c>
      <c r="AP798" s="55">
        <f t="shared" si="248"/>
        <v>0</v>
      </c>
      <c r="AQ798" s="58" t="s">
        <v>125</v>
      </c>
      <c r="AV798" s="55">
        <f t="shared" si="249"/>
        <v>0</v>
      </c>
      <c r="AW798" s="55">
        <f t="shared" si="250"/>
        <v>0</v>
      </c>
      <c r="AX798" s="55">
        <f t="shared" si="251"/>
        <v>0</v>
      </c>
      <c r="AY798" s="58" t="s">
        <v>1636</v>
      </c>
      <c r="AZ798" s="58" t="s">
        <v>1527</v>
      </c>
      <c r="BA798" s="34" t="s">
        <v>128</v>
      </c>
      <c r="BC798" s="55">
        <f t="shared" si="252"/>
        <v>0</v>
      </c>
      <c r="BD798" s="55">
        <f t="shared" si="253"/>
        <v>0</v>
      </c>
      <c r="BE798" s="55">
        <v>0</v>
      </c>
      <c r="BF798" s="55">
        <f t="shared" si="254"/>
        <v>0</v>
      </c>
      <c r="BH798" s="55">
        <f t="shared" si="255"/>
        <v>0</v>
      </c>
      <c r="BI798" s="55">
        <f t="shared" si="256"/>
        <v>0</v>
      </c>
      <c r="BJ798" s="55">
        <f t="shared" si="257"/>
        <v>0</v>
      </c>
      <c r="BK798" s="55"/>
      <c r="BL798" s="55">
        <v>735</v>
      </c>
      <c r="BW798" s="55">
        <v>21</v>
      </c>
    </row>
    <row r="799" spans="1:75" ht="13.5" customHeight="1">
      <c r="A799" s="1" t="s">
        <v>1655</v>
      </c>
      <c r="B799" s="2" t="s">
        <v>116</v>
      </c>
      <c r="C799" s="2" t="s">
        <v>1656</v>
      </c>
      <c r="D799" s="147" t="s">
        <v>1657</v>
      </c>
      <c r="E799" s="148"/>
      <c r="F799" s="2" t="s">
        <v>374</v>
      </c>
      <c r="G799" s="55">
        <f>'Stavební rozpočet-vyplnit'!G799</f>
        <v>1</v>
      </c>
      <c r="H799" s="55">
        <f>'Stavební rozpočet-vyplnit'!H799</f>
        <v>0</v>
      </c>
      <c r="I799" s="55">
        <f t="shared" si="234"/>
        <v>0</v>
      </c>
      <c r="J799" s="55">
        <f>'Stavební rozpočet-vyplnit'!J799</f>
        <v>0</v>
      </c>
      <c r="K799" s="55">
        <f t="shared" si="235"/>
        <v>0</v>
      </c>
      <c r="L799" s="57" t="s">
        <v>124</v>
      </c>
      <c r="Z799" s="55">
        <f t="shared" si="236"/>
        <v>0</v>
      </c>
      <c r="AB799" s="55">
        <f t="shared" si="237"/>
        <v>0</v>
      </c>
      <c r="AC799" s="55">
        <f t="shared" si="238"/>
        <v>0</v>
      </c>
      <c r="AD799" s="55">
        <f t="shared" si="239"/>
        <v>0</v>
      </c>
      <c r="AE799" s="55">
        <f t="shared" si="240"/>
        <v>0</v>
      </c>
      <c r="AF799" s="55">
        <f t="shared" si="241"/>
        <v>0</v>
      </c>
      <c r="AG799" s="55">
        <f t="shared" si="242"/>
        <v>0</v>
      </c>
      <c r="AH799" s="55">
        <f t="shared" si="243"/>
        <v>0</v>
      </c>
      <c r="AI799" s="34" t="s">
        <v>116</v>
      </c>
      <c r="AJ799" s="55">
        <f t="shared" si="244"/>
        <v>0</v>
      </c>
      <c r="AK799" s="55">
        <f t="shared" si="245"/>
        <v>0</v>
      </c>
      <c r="AL799" s="55">
        <f t="shared" si="246"/>
        <v>0</v>
      </c>
      <c r="AN799" s="55">
        <v>21</v>
      </c>
      <c r="AO799" s="55">
        <f t="shared" si="247"/>
        <v>0</v>
      </c>
      <c r="AP799" s="55">
        <f t="shared" si="248"/>
        <v>0</v>
      </c>
      <c r="AQ799" s="58" t="s">
        <v>125</v>
      </c>
      <c r="AV799" s="55">
        <f t="shared" si="249"/>
        <v>0</v>
      </c>
      <c r="AW799" s="55">
        <f t="shared" si="250"/>
        <v>0</v>
      </c>
      <c r="AX799" s="55">
        <f t="shared" si="251"/>
        <v>0</v>
      </c>
      <c r="AY799" s="58" t="s">
        <v>1636</v>
      </c>
      <c r="AZ799" s="58" t="s">
        <v>1527</v>
      </c>
      <c r="BA799" s="34" t="s">
        <v>128</v>
      </c>
      <c r="BC799" s="55">
        <f t="shared" si="252"/>
        <v>0</v>
      </c>
      <c r="BD799" s="55">
        <f t="shared" si="253"/>
        <v>0</v>
      </c>
      <c r="BE799" s="55">
        <v>0</v>
      </c>
      <c r="BF799" s="55">
        <f t="shared" si="254"/>
        <v>0</v>
      </c>
      <c r="BH799" s="55">
        <f t="shared" si="255"/>
        <v>0</v>
      </c>
      <c r="BI799" s="55">
        <f t="shared" si="256"/>
        <v>0</v>
      </c>
      <c r="BJ799" s="55">
        <f t="shared" si="257"/>
        <v>0</v>
      </c>
      <c r="BK799" s="55"/>
      <c r="BL799" s="55">
        <v>735</v>
      </c>
      <c r="BW799" s="55">
        <v>21</v>
      </c>
    </row>
    <row r="800" spans="1:75" ht="13.5" customHeight="1">
      <c r="A800" s="61" t="s">
        <v>1658</v>
      </c>
      <c r="B800" s="62" t="s">
        <v>116</v>
      </c>
      <c r="C800" s="62" t="s">
        <v>1659</v>
      </c>
      <c r="D800" s="224" t="s">
        <v>1660</v>
      </c>
      <c r="E800" s="225"/>
      <c r="F800" s="62" t="s">
        <v>374</v>
      </c>
      <c r="G800" s="63">
        <f>'Stavební rozpočet-vyplnit'!G800</f>
        <v>1</v>
      </c>
      <c r="H800" s="63">
        <f>'Stavební rozpočet-vyplnit'!H800</f>
        <v>0</v>
      </c>
      <c r="I800" s="63">
        <f t="shared" si="234"/>
        <v>0</v>
      </c>
      <c r="J800" s="63">
        <f>'Stavební rozpočet-vyplnit'!J800</f>
        <v>0</v>
      </c>
      <c r="K800" s="63">
        <f t="shared" si="235"/>
        <v>0</v>
      </c>
      <c r="L800" s="65" t="s">
        <v>124</v>
      </c>
      <c r="Z800" s="55">
        <f t="shared" si="236"/>
        <v>0</v>
      </c>
      <c r="AB800" s="55">
        <f t="shared" si="237"/>
        <v>0</v>
      </c>
      <c r="AC800" s="55">
        <f t="shared" si="238"/>
        <v>0</v>
      </c>
      <c r="AD800" s="55">
        <f t="shared" si="239"/>
        <v>0</v>
      </c>
      <c r="AE800" s="55">
        <f t="shared" si="240"/>
        <v>0</v>
      </c>
      <c r="AF800" s="55">
        <f t="shared" si="241"/>
        <v>0</v>
      </c>
      <c r="AG800" s="55">
        <f t="shared" si="242"/>
        <v>0</v>
      </c>
      <c r="AH800" s="55">
        <f t="shared" si="243"/>
        <v>0</v>
      </c>
      <c r="AI800" s="34" t="s">
        <v>116</v>
      </c>
      <c r="AJ800" s="63">
        <f t="shared" si="244"/>
        <v>0</v>
      </c>
      <c r="AK800" s="63">
        <f t="shared" si="245"/>
        <v>0</v>
      </c>
      <c r="AL800" s="63">
        <f t="shared" si="246"/>
        <v>0</v>
      </c>
      <c r="AN800" s="55">
        <v>21</v>
      </c>
      <c r="AO800" s="55">
        <f>H800*1</f>
        <v>0</v>
      </c>
      <c r="AP800" s="55">
        <f>H800*(1-1)</f>
        <v>0</v>
      </c>
      <c r="AQ800" s="66" t="s">
        <v>125</v>
      </c>
      <c r="AV800" s="55">
        <f t="shared" si="249"/>
        <v>0</v>
      </c>
      <c r="AW800" s="55">
        <f t="shared" si="250"/>
        <v>0</v>
      </c>
      <c r="AX800" s="55">
        <f t="shared" si="251"/>
        <v>0</v>
      </c>
      <c r="AY800" s="58" t="s">
        <v>1636</v>
      </c>
      <c r="AZ800" s="58" t="s">
        <v>1527</v>
      </c>
      <c r="BA800" s="34" t="s">
        <v>128</v>
      </c>
      <c r="BC800" s="55">
        <f t="shared" si="252"/>
        <v>0</v>
      </c>
      <c r="BD800" s="55">
        <f t="shared" si="253"/>
        <v>0</v>
      </c>
      <c r="BE800" s="55">
        <v>0</v>
      </c>
      <c r="BF800" s="55">
        <f t="shared" si="254"/>
        <v>0</v>
      </c>
      <c r="BH800" s="63">
        <f t="shared" si="255"/>
        <v>0</v>
      </c>
      <c r="BI800" s="63">
        <f t="shared" si="256"/>
        <v>0</v>
      </c>
      <c r="BJ800" s="63">
        <f t="shared" si="257"/>
        <v>0</v>
      </c>
      <c r="BK800" s="63"/>
      <c r="BL800" s="55">
        <v>735</v>
      </c>
      <c r="BW800" s="55">
        <v>21</v>
      </c>
    </row>
    <row r="801" spans="1:75" ht="13.5" customHeight="1">
      <c r="A801" s="1" t="s">
        <v>1661</v>
      </c>
      <c r="B801" s="2" t="s">
        <v>116</v>
      </c>
      <c r="C801" s="2" t="s">
        <v>1662</v>
      </c>
      <c r="D801" s="147" t="s">
        <v>1663</v>
      </c>
      <c r="E801" s="148"/>
      <c r="F801" s="2" t="s">
        <v>939</v>
      </c>
      <c r="G801" s="55">
        <f>'Stavební rozpočet-vyplnit'!G801</f>
        <v>0.6</v>
      </c>
      <c r="H801" s="55">
        <f>'Stavební rozpočet-vyplnit'!H801</f>
        <v>0</v>
      </c>
      <c r="I801" s="55">
        <f t="shared" si="234"/>
        <v>0</v>
      </c>
      <c r="J801" s="55">
        <f>'Stavební rozpočet-vyplnit'!J801</f>
        <v>0</v>
      </c>
      <c r="K801" s="55">
        <f t="shared" si="235"/>
        <v>0</v>
      </c>
      <c r="L801" s="57" t="s">
        <v>124</v>
      </c>
      <c r="Z801" s="55">
        <f t="shared" si="236"/>
        <v>0</v>
      </c>
      <c r="AB801" s="55">
        <f t="shared" si="237"/>
        <v>0</v>
      </c>
      <c r="AC801" s="55">
        <f t="shared" si="238"/>
        <v>0</v>
      </c>
      <c r="AD801" s="55">
        <f t="shared" si="239"/>
        <v>0</v>
      </c>
      <c r="AE801" s="55">
        <f t="shared" si="240"/>
        <v>0</v>
      </c>
      <c r="AF801" s="55">
        <f t="shared" si="241"/>
        <v>0</v>
      </c>
      <c r="AG801" s="55">
        <f t="shared" si="242"/>
        <v>0</v>
      </c>
      <c r="AH801" s="55">
        <f t="shared" si="243"/>
        <v>0</v>
      </c>
      <c r="AI801" s="34" t="s">
        <v>116</v>
      </c>
      <c r="AJ801" s="55">
        <f t="shared" si="244"/>
        <v>0</v>
      </c>
      <c r="AK801" s="55">
        <f t="shared" si="245"/>
        <v>0</v>
      </c>
      <c r="AL801" s="55">
        <f t="shared" si="246"/>
        <v>0</v>
      </c>
      <c r="AN801" s="55">
        <v>21</v>
      </c>
      <c r="AO801" s="55">
        <f>H801*0</f>
        <v>0</v>
      </c>
      <c r="AP801" s="55">
        <f>H801*(1-0)</f>
        <v>0</v>
      </c>
      <c r="AQ801" s="58" t="s">
        <v>139</v>
      </c>
      <c r="AV801" s="55">
        <f t="shared" si="249"/>
        <v>0</v>
      </c>
      <c r="AW801" s="55">
        <f t="shared" si="250"/>
        <v>0</v>
      </c>
      <c r="AX801" s="55">
        <f t="shared" si="251"/>
        <v>0</v>
      </c>
      <c r="AY801" s="58" t="s">
        <v>1636</v>
      </c>
      <c r="AZ801" s="58" t="s">
        <v>1527</v>
      </c>
      <c r="BA801" s="34" t="s">
        <v>128</v>
      </c>
      <c r="BC801" s="55">
        <f t="shared" si="252"/>
        <v>0</v>
      </c>
      <c r="BD801" s="55">
        <f t="shared" si="253"/>
        <v>0</v>
      </c>
      <c r="BE801" s="55">
        <v>0</v>
      </c>
      <c r="BF801" s="55">
        <f t="shared" si="254"/>
        <v>0</v>
      </c>
      <c r="BH801" s="55">
        <f t="shared" si="255"/>
        <v>0</v>
      </c>
      <c r="BI801" s="55">
        <f t="shared" si="256"/>
        <v>0</v>
      </c>
      <c r="BJ801" s="55">
        <f t="shared" si="257"/>
        <v>0</v>
      </c>
      <c r="BK801" s="55"/>
      <c r="BL801" s="55">
        <v>735</v>
      </c>
      <c r="BW801" s="55">
        <v>21</v>
      </c>
    </row>
    <row r="802" spans="1:47" ht="14.4">
      <c r="A802" s="50" t="s">
        <v>4</v>
      </c>
      <c r="B802" s="51" t="s">
        <v>116</v>
      </c>
      <c r="C802" s="51" t="s">
        <v>1664</v>
      </c>
      <c r="D802" s="222" t="s">
        <v>1665</v>
      </c>
      <c r="E802" s="223"/>
      <c r="F802" s="52" t="s">
        <v>79</v>
      </c>
      <c r="G802" s="52" t="s">
        <v>79</v>
      </c>
      <c r="H802" s="52" t="s">
        <v>79</v>
      </c>
      <c r="I802" s="27">
        <f>SUM(I803:I897)</f>
        <v>0</v>
      </c>
      <c r="J802" s="34" t="s">
        <v>4</v>
      </c>
      <c r="K802" s="27">
        <f>SUM(K803:K897)</f>
        <v>18.980345100000005</v>
      </c>
      <c r="L802" s="54" t="s">
        <v>4</v>
      </c>
      <c r="AI802" s="34" t="s">
        <v>116</v>
      </c>
      <c r="AS802" s="27">
        <f>SUM(AJ803:AJ897)</f>
        <v>0</v>
      </c>
      <c r="AT802" s="27">
        <f>SUM(AK803:AK897)</f>
        <v>0</v>
      </c>
      <c r="AU802" s="27">
        <f>SUM(AL803:AL897)</f>
        <v>0</v>
      </c>
    </row>
    <row r="803" spans="1:75" ht="13.5" customHeight="1">
      <c r="A803" s="1" t="s">
        <v>1076</v>
      </c>
      <c r="B803" s="2" t="s">
        <v>116</v>
      </c>
      <c r="C803" s="2" t="s">
        <v>1666</v>
      </c>
      <c r="D803" s="147" t="s">
        <v>1667</v>
      </c>
      <c r="E803" s="148"/>
      <c r="F803" s="2" t="s">
        <v>729</v>
      </c>
      <c r="G803" s="55">
        <f>'Stavební rozpočet-vyplnit'!G803</f>
        <v>118.83</v>
      </c>
      <c r="H803" s="55">
        <f>'Stavební rozpočet-vyplnit'!H803</f>
        <v>0</v>
      </c>
      <c r="I803" s="55">
        <f>G803*H803</f>
        <v>0</v>
      </c>
      <c r="J803" s="55">
        <f>'Stavební rozpočet-vyplnit'!J803</f>
        <v>0</v>
      </c>
      <c r="K803" s="55">
        <f>G803*J803</f>
        <v>0</v>
      </c>
      <c r="L803" s="57" t="s">
        <v>124</v>
      </c>
      <c r="Z803" s="55">
        <f>IF(AQ803="5",BJ803,0)</f>
        <v>0</v>
      </c>
      <c r="AB803" s="55">
        <f>IF(AQ803="1",BH803,0)</f>
        <v>0</v>
      </c>
      <c r="AC803" s="55">
        <f>IF(AQ803="1",BI803,0)</f>
        <v>0</v>
      </c>
      <c r="AD803" s="55">
        <f>IF(AQ803="7",BH803,0)</f>
        <v>0</v>
      </c>
      <c r="AE803" s="55">
        <f>IF(AQ803="7",BI803,0)</f>
        <v>0</v>
      </c>
      <c r="AF803" s="55">
        <f>IF(AQ803="2",BH803,0)</f>
        <v>0</v>
      </c>
      <c r="AG803" s="55">
        <f>IF(AQ803="2",BI803,0)</f>
        <v>0</v>
      </c>
      <c r="AH803" s="55">
        <f>IF(AQ803="0",BJ803,0)</f>
        <v>0</v>
      </c>
      <c r="AI803" s="34" t="s">
        <v>116</v>
      </c>
      <c r="AJ803" s="55">
        <f>IF(AN803=0,I803,0)</f>
        <v>0</v>
      </c>
      <c r="AK803" s="55">
        <f>IF(AN803=12,I803,0)</f>
        <v>0</v>
      </c>
      <c r="AL803" s="55">
        <f>IF(AN803=21,I803,0)</f>
        <v>0</v>
      </c>
      <c r="AN803" s="55">
        <v>21</v>
      </c>
      <c r="AO803" s="55">
        <f>H803*0</f>
        <v>0</v>
      </c>
      <c r="AP803" s="55">
        <f>H803*(1-0)</f>
        <v>0</v>
      </c>
      <c r="AQ803" s="58" t="s">
        <v>125</v>
      </c>
      <c r="AV803" s="55">
        <f>AW803+AX803</f>
        <v>0</v>
      </c>
      <c r="AW803" s="55">
        <f>G803*AO803</f>
        <v>0</v>
      </c>
      <c r="AX803" s="55">
        <f>G803*AP803</f>
        <v>0</v>
      </c>
      <c r="AY803" s="58" t="s">
        <v>1668</v>
      </c>
      <c r="AZ803" s="58" t="s">
        <v>1669</v>
      </c>
      <c r="BA803" s="34" t="s">
        <v>128</v>
      </c>
      <c r="BB803" s="67">
        <v>100014</v>
      </c>
      <c r="BC803" s="55">
        <f>AW803+AX803</f>
        <v>0</v>
      </c>
      <c r="BD803" s="55">
        <f>H803/(100-BE803)*100</f>
        <v>0</v>
      </c>
      <c r="BE803" s="55">
        <v>0</v>
      </c>
      <c r="BF803" s="55">
        <f>K803</f>
        <v>0</v>
      </c>
      <c r="BH803" s="55">
        <f>G803*AO803</f>
        <v>0</v>
      </c>
      <c r="BI803" s="55">
        <f>G803*AP803</f>
        <v>0</v>
      </c>
      <c r="BJ803" s="55">
        <f>G803*H803</f>
        <v>0</v>
      </c>
      <c r="BK803" s="55"/>
      <c r="BL803" s="55">
        <v>762</v>
      </c>
      <c r="BW803" s="55">
        <v>21</v>
      </c>
    </row>
    <row r="804" spans="1:12" ht="13.5" customHeight="1">
      <c r="A804" s="59"/>
      <c r="D804" s="218" t="s">
        <v>1670</v>
      </c>
      <c r="E804" s="219"/>
      <c r="F804" s="219"/>
      <c r="G804" s="219"/>
      <c r="H804" s="219"/>
      <c r="I804" s="219"/>
      <c r="J804" s="219"/>
      <c r="K804" s="219"/>
      <c r="L804" s="221"/>
    </row>
    <row r="805" spans="1:12" ht="14.4">
      <c r="A805" s="59"/>
      <c r="D805" s="60" t="s">
        <v>1236</v>
      </c>
      <c r="E805" s="60" t="s">
        <v>1237</v>
      </c>
      <c r="G805" s="68">
        <v>45.25</v>
      </c>
      <c r="L805" s="69"/>
    </row>
    <row r="806" spans="1:12" ht="14.4">
      <c r="A806" s="59"/>
      <c r="D806" s="60" t="s">
        <v>1238</v>
      </c>
      <c r="E806" s="60" t="s">
        <v>1239</v>
      </c>
      <c r="G806" s="68">
        <v>29.69</v>
      </c>
      <c r="L806" s="69"/>
    </row>
    <row r="807" spans="1:12" ht="14.4">
      <c r="A807" s="59"/>
      <c r="D807" s="60" t="s">
        <v>1240</v>
      </c>
      <c r="E807" s="60" t="s">
        <v>1241</v>
      </c>
      <c r="G807" s="68">
        <v>18.72</v>
      </c>
      <c r="L807" s="69"/>
    </row>
    <row r="808" spans="1:12" ht="14.4">
      <c r="A808" s="59"/>
      <c r="D808" s="60" t="s">
        <v>1242</v>
      </c>
      <c r="E808" s="60" t="s">
        <v>1243</v>
      </c>
      <c r="G808" s="68">
        <v>25.17</v>
      </c>
      <c r="L808" s="69"/>
    </row>
    <row r="809" spans="1:75" ht="13.5" customHeight="1">
      <c r="A809" s="1" t="s">
        <v>1671</v>
      </c>
      <c r="B809" s="2" t="s">
        <v>116</v>
      </c>
      <c r="C809" s="2" t="s">
        <v>1672</v>
      </c>
      <c r="D809" s="147" t="s">
        <v>1673</v>
      </c>
      <c r="E809" s="148"/>
      <c r="F809" s="2" t="s">
        <v>174</v>
      </c>
      <c r="G809" s="55">
        <f>'Stavební rozpočet-vyplnit'!G809</f>
        <v>156.1</v>
      </c>
      <c r="H809" s="55">
        <f>'Stavební rozpočet-vyplnit'!H809</f>
        <v>0</v>
      </c>
      <c r="I809" s="55">
        <f>G809*H809</f>
        <v>0</v>
      </c>
      <c r="J809" s="55">
        <f>'Stavební rozpočet-vyplnit'!J809</f>
        <v>0.00676</v>
      </c>
      <c r="K809" s="55">
        <f>G809*J809</f>
        <v>1.055236</v>
      </c>
      <c r="L809" s="57" t="s">
        <v>785</v>
      </c>
      <c r="Z809" s="55">
        <f>IF(AQ809="5",BJ809,0)</f>
        <v>0</v>
      </c>
      <c r="AB809" s="55">
        <f>IF(AQ809="1",BH809,0)</f>
        <v>0</v>
      </c>
      <c r="AC809" s="55">
        <f>IF(AQ809="1",BI809,0)</f>
        <v>0</v>
      </c>
      <c r="AD809" s="55">
        <f>IF(AQ809="7",BH809,0)</f>
        <v>0</v>
      </c>
      <c r="AE809" s="55">
        <f>IF(AQ809="7",BI809,0)</f>
        <v>0</v>
      </c>
      <c r="AF809" s="55">
        <f>IF(AQ809="2",BH809,0)</f>
        <v>0</v>
      </c>
      <c r="AG809" s="55">
        <f>IF(AQ809="2",BI809,0)</f>
        <v>0</v>
      </c>
      <c r="AH809" s="55">
        <f>IF(AQ809="0",BJ809,0)</f>
        <v>0</v>
      </c>
      <c r="AI809" s="34" t="s">
        <v>116</v>
      </c>
      <c r="AJ809" s="55">
        <f>IF(AN809=0,I809,0)</f>
        <v>0</v>
      </c>
      <c r="AK809" s="55">
        <f>IF(AN809=12,I809,0)</f>
        <v>0</v>
      </c>
      <c r="AL809" s="55">
        <f>IF(AN809=21,I809,0)</f>
        <v>0</v>
      </c>
      <c r="AN809" s="55">
        <v>21</v>
      </c>
      <c r="AO809" s="55">
        <f>H809*0.030064103</f>
        <v>0</v>
      </c>
      <c r="AP809" s="55">
        <f>H809*(1-0.030064103)</f>
        <v>0</v>
      </c>
      <c r="AQ809" s="58" t="s">
        <v>125</v>
      </c>
      <c r="AV809" s="55">
        <f>AW809+AX809</f>
        <v>0</v>
      </c>
      <c r="AW809" s="55">
        <f>G809*AO809</f>
        <v>0</v>
      </c>
      <c r="AX809" s="55">
        <f>G809*AP809</f>
        <v>0</v>
      </c>
      <c r="AY809" s="58" t="s">
        <v>1668</v>
      </c>
      <c r="AZ809" s="58" t="s">
        <v>1669</v>
      </c>
      <c r="BA809" s="34" t="s">
        <v>128</v>
      </c>
      <c r="BB809" s="67">
        <v>100014</v>
      </c>
      <c r="BC809" s="55">
        <f>AW809+AX809</f>
        <v>0</v>
      </c>
      <c r="BD809" s="55">
        <f>H809/(100-BE809)*100</f>
        <v>0</v>
      </c>
      <c r="BE809" s="55">
        <v>0</v>
      </c>
      <c r="BF809" s="55">
        <f>K809</f>
        <v>1.055236</v>
      </c>
      <c r="BH809" s="55">
        <f>G809*AO809</f>
        <v>0</v>
      </c>
      <c r="BI809" s="55">
        <f>G809*AP809</f>
        <v>0</v>
      </c>
      <c r="BJ809" s="55">
        <f>G809*H809</f>
        <v>0</v>
      </c>
      <c r="BK809" s="55"/>
      <c r="BL809" s="55">
        <v>762</v>
      </c>
      <c r="BW809" s="55">
        <v>21</v>
      </c>
    </row>
    <row r="810" spans="1:12" ht="14.4">
      <c r="A810" s="59"/>
      <c r="D810" s="60" t="s">
        <v>1674</v>
      </c>
      <c r="E810" s="60" t="s">
        <v>4</v>
      </c>
      <c r="G810" s="68">
        <v>156.1</v>
      </c>
      <c r="L810" s="69"/>
    </row>
    <row r="811" spans="1:75" ht="13.5" customHeight="1">
      <c r="A811" s="1" t="s">
        <v>1675</v>
      </c>
      <c r="B811" s="2" t="s">
        <v>116</v>
      </c>
      <c r="C811" s="2" t="s">
        <v>1676</v>
      </c>
      <c r="D811" s="147" t="s">
        <v>1677</v>
      </c>
      <c r="E811" s="148"/>
      <c r="F811" s="2" t="s">
        <v>174</v>
      </c>
      <c r="G811" s="55">
        <f>'Stavební rozpočet-vyplnit'!G811</f>
        <v>354.56</v>
      </c>
      <c r="H811" s="55">
        <f>'Stavební rozpočet-vyplnit'!H811</f>
        <v>0</v>
      </c>
      <c r="I811" s="55">
        <f>G811*H811</f>
        <v>0</v>
      </c>
      <c r="J811" s="55">
        <f>'Stavební rozpočet-vyplnit'!J811</f>
        <v>0.01248</v>
      </c>
      <c r="K811" s="55">
        <f>G811*J811</f>
        <v>4.4249088</v>
      </c>
      <c r="L811" s="57" t="s">
        <v>785</v>
      </c>
      <c r="Z811" s="55">
        <f>IF(AQ811="5",BJ811,0)</f>
        <v>0</v>
      </c>
      <c r="AB811" s="55">
        <f>IF(AQ811="1",BH811,0)</f>
        <v>0</v>
      </c>
      <c r="AC811" s="55">
        <f>IF(AQ811="1",BI811,0)</f>
        <v>0</v>
      </c>
      <c r="AD811" s="55">
        <f>IF(AQ811="7",BH811,0)</f>
        <v>0</v>
      </c>
      <c r="AE811" s="55">
        <f>IF(AQ811="7",BI811,0)</f>
        <v>0</v>
      </c>
      <c r="AF811" s="55">
        <f>IF(AQ811="2",BH811,0)</f>
        <v>0</v>
      </c>
      <c r="AG811" s="55">
        <f>IF(AQ811="2",BI811,0)</f>
        <v>0</v>
      </c>
      <c r="AH811" s="55">
        <f>IF(AQ811="0",BJ811,0)</f>
        <v>0</v>
      </c>
      <c r="AI811" s="34" t="s">
        <v>116</v>
      </c>
      <c r="AJ811" s="55">
        <f>IF(AN811=0,I811,0)</f>
        <v>0</v>
      </c>
      <c r="AK811" s="55">
        <f>IF(AN811=12,I811,0)</f>
        <v>0</v>
      </c>
      <c r="AL811" s="55">
        <f>IF(AN811=21,I811,0)</f>
        <v>0</v>
      </c>
      <c r="AN811" s="55">
        <v>21</v>
      </c>
      <c r="AO811" s="55">
        <f>H811*0.025080221</f>
        <v>0</v>
      </c>
      <c r="AP811" s="55">
        <f>H811*(1-0.025080221)</f>
        <v>0</v>
      </c>
      <c r="AQ811" s="58" t="s">
        <v>125</v>
      </c>
      <c r="AV811" s="55">
        <f>AW811+AX811</f>
        <v>0</v>
      </c>
      <c r="AW811" s="55">
        <f>G811*AO811</f>
        <v>0</v>
      </c>
      <c r="AX811" s="55">
        <f>G811*AP811</f>
        <v>0</v>
      </c>
      <c r="AY811" s="58" t="s">
        <v>1668</v>
      </c>
      <c r="AZ811" s="58" t="s">
        <v>1669</v>
      </c>
      <c r="BA811" s="34" t="s">
        <v>128</v>
      </c>
      <c r="BB811" s="67">
        <v>100014</v>
      </c>
      <c r="BC811" s="55">
        <f>AW811+AX811</f>
        <v>0</v>
      </c>
      <c r="BD811" s="55">
        <f>H811/(100-BE811)*100</f>
        <v>0</v>
      </c>
      <c r="BE811" s="55">
        <v>0</v>
      </c>
      <c r="BF811" s="55">
        <f>K811</f>
        <v>4.4249088</v>
      </c>
      <c r="BH811" s="55">
        <f>G811*AO811</f>
        <v>0</v>
      </c>
      <c r="BI811" s="55">
        <f>G811*AP811</f>
        <v>0</v>
      </c>
      <c r="BJ811" s="55">
        <f>G811*H811</f>
        <v>0</v>
      </c>
      <c r="BK811" s="55"/>
      <c r="BL811" s="55">
        <v>762</v>
      </c>
      <c r="BW811" s="55">
        <v>21</v>
      </c>
    </row>
    <row r="812" spans="1:12" ht="14.4">
      <c r="A812" s="59"/>
      <c r="D812" s="60" t="s">
        <v>1678</v>
      </c>
      <c r="E812" s="60" t="s">
        <v>1679</v>
      </c>
      <c r="G812" s="68">
        <v>223.5</v>
      </c>
      <c r="L812" s="69"/>
    </row>
    <row r="813" spans="1:12" ht="14.4">
      <c r="A813" s="59"/>
      <c r="D813" s="60" t="s">
        <v>1680</v>
      </c>
      <c r="E813" s="60" t="s">
        <v>1681</v>
      </c>
      <c r="G813" s="68">
        <v>131.06</v>
      </c>
      <c r="L813" s="69"/>
    </row>
    <row r="814" spans="1:75" ht="13.5" customHeight="1">
      <c r="A814" s="1" t="s">
        <v>1682</v>
      </c>
      <c r="B814" s="2" t="s">
        <v>116</v>
      </c>
      <c r="C814" s="2" t="s">
        <v>1683</v>
      </c>
      <c r="D814" s="147" t="s">
        <v>1684</v>
      </c>
      <c r="E814" s="148"/>
      <c r="F814" s="2" t="s">
        <v>174</v>
      </c>
      <c r="G814" s="55">
        <f>'Stavební rozpočet-vyplnit'!G814</f>
        <v>13.6</v>
      </c>
      <c r="H814" s="55">
        <f>'Stavební rozpočet-vyplnit'!H814</f>
        <v>0</v>
      </c>
      <c r="I814" s="55">
        <f>G814*H814</f>
        <v>0</v>
      </c>
      <c r="J814" s="55">
        <f>'Stavební rozpočet-vyplnit'!J814</f>
        <v>0.016</v>
      </c>
      <c r="K814" s="55">
        <f>G814*J814</f>
        <v>0.2176</v>
      </c>
      <c r="L814" s="57" t="s">
        <v>785</v>
      </c>
      <c r="Z814" s="55">
        <f>IF(AQ814="5",BJ814,0)</f>
        <v>0</v>
      </c>
      <c r="AB814" s="55">
        <f>IF(AQ814="1",BH814,0)</f>
        <v>0</v>
      </c>
      <c r="AC814" s="55">
        <f>IF(AQ814="1",BI814,0)</f>
        <v>0</v>
      </c>
      <c r="AD814" s="55">
        <f>IF(AQ814="7",BH814,0)</f>
        <v>0</v>
      </c>
      <c r="AE814" s="55">
        <f>IF(AQ814="7",BI814,0)</f>
        <v>0</v>
      </c>
      <c r="AF814" s="55">
        <f>IF(AQ814="2",BH814,0)</f>
        <v>0</v>
      </c>
      <c r="AG814" s="55">
        <f>IF(AQ814="2",BI814,0)</f>
        <v>0</v>
      </c>
      <c r="AH814" s="55">
        <f>IF(AQ814="0",BJ814,0)</f>
        <v>0</v>
      </c>
      <c r="AI814" s="34" t="s">
        <v>116</v>
      </c>
      <c r="AJ814" s="55">
        <f>IF(AN814=0,I814,0)</f>
        <v>0</v>
      </c>
      <c r="AK814" s="55">
        <f>IF(AN814=12,I814,0)</f>
        <v>0</v>
      </c>
      <c r="AL814" s="55">
        <f>IF(AN814=21,I814,0)</f>
        <v>0</v>
      </c>
      <c r="AN814" s="55">
        <v>21</v>
      </c>
      <c r="AO814" s="55">
        <f>H814*0.018950058</f>
        <v>0</v>
      </c>
      <c r="AP814" s="55">
        <f>H814*(1-0.018950058)</f>
        <v>0</v>
      </c>
      <c r="AQ814" s="58" t="s">
        <v>125</v>
      </c>
      <c r="AV814" s="55">
        <f>AW814+AX814</f>
        <v>0</v>
      </c>
      <c r="AW814" s="55">
        <f>G814*AO814</f>
        <v>0</v>
      </c>
      <c r="AX814" s="55">
        <f>G814*AP814</f>
        <v>0</v>
      </c>
      <c r="AY814" s="58" t="s">
        <v>1668</v>
      </c>
      <c r="AZ814" s="58" t="s">
        <v>1669</v>
      </c>
      <c r="BA814" s="34" t="s">
        <v>128</v>
      </c>
      <c r="BB814" s="67">
        <v>100014</v>
      </c>
      <c r="BC814" s="55">
        <f>AW814+AX814</f>
        <v>0</v>
      </c>
      <c r="BD814" s="55">
        <f>H814/(100-BE814)*100</f>
        <v>0</v>
      </c>
      <c r="BE814" s="55">
        <v>0</v>
      </c>
      <c r="BF814" s="55">
        <f>K814</f>
        <v>0.2176</v>
      </c>
      <c r="BH814" s="55">
        <f>G814*AO814</f>
        <v>0</v>
      </c>
      <c r="BI814" s="55">
        <f>G814*AP814</f>
        <v>0</v>
      </c>
      <c r="BJ814" s="55">
        <f>G814*H814</f>
        <v>0</v>
      </c>
      <c r="BK814" s="55"/>
      <c r="BL814" s="55">
        <v>762</v>
      </c>
      <c r="BW814" s="55">
        <v>21</v>
      </c>
    </row>
    <row r="815" spans="1:12" ht="14.4">
      <c r="A815" s="59"/>
      <c r="D815" s="60" t="s">
        <v>1685</v>
      </c>
      <c r="E815" s="60" t="s">
        <v>4</v>
      </c>
      <c r="G815" s="68">
        <v>13.6</v>
      </c>
      <c r="L815" s="69"/>
    </row>
    <row r="816" spans="1:75" ht="13.5" customHeight="1">
      <c r="A816" s="1" t="s">
        <v>1686</v>
      </c>
      <c r="B816" s="2" t="s">
        <v>116</v>
      </c>
      <c r="C816" s="2" t="s">
        <v>1687</v>
      </c>
      <c r="D816" s="147" t="s">
        <v>1688</v>
      </c>
      <c r="E816" s="148"/>
      <c r="F816" s="2" t="s">
        <v>174</v>
      </c>
      <c r="G816" s="55">
        <f>'Stavební rozpočet-vyplnit'!G816</f>
        <v>19</v>
      </c>
      <c r="H816" s="55">
        <f>'Stavební rozpočet-vyplnit'!H816</f>
        <v>0</v>
      </c>
      <c r="I816" s="55">
        <f>G816*H816</f>
        <v>0</v>
      </c>
      <c r="J816" s="55">
        <f>'Stavební rozpočet-vyplnit'!J816</f>
        <v>0.03591</v>
      </c>
      <c r="K816" s="55">
        <f>G816*J816</f>
        <v>0.68229</v>
      </c>
      <c r="L816" s="57" t="s">
        <v>785</v>
      </c>
      <c r="Z816" s="55">
        <f>IF(AQ816="5",BJ816,0)</f>
        <v>0</v>
      </c>
      <c r="AB816" s="55">
        <f>IF(AQ816="1",BH816,0)</f>
        <v>0</v>
      </c>
      <c r="AC816" s="55">
        <f>IF(AQ816="1",BI816,0)</f>
        <v>0</v>
      </c>
      <c r="AD816" s="55">
        <f>IF(AQ816="7",BH816,0)</f>
        <v>0</v>
      </c>
      <c r="AE816" s="55">
        <f>IF(AQ816="7",BI816,0)</f>
        <v>0</v>
      </c>
      <c r="AF816" s="55">
        <f>IF(AQ816="2",BH816,0)</f>
        <v>0</v>
      </c>
      <c r="AG816" s="55">
        <f>IF(AQ816="2",BI816,0)</f>
        <v>0</v>
      </c>
      <c r="AH816" s="55">
        <f>IF(AQ816="0",BJ816,0)</f>
        <v>0</v>
      </c>
      <c r="AI816" s="34" t="s">
        <v>116</v>
      </c>
      <c r="AJ816" s="55">
        <f>IF(AN816=0,I816,0)</f>
        <v>0</v>
      </c>
      <c r="AK816" s="55">
        <f>IF(AN816=12,I816,0)</f>
        <v>0</v>
      </c>
      <c r="AL816" s="55">
        <f>IF(AN816=21,I816,0)</f>
        <v>0</v>
      </c>
      <c r="AN816" s="55">
        <v>21</v>
      </c>
      <c r="AO816" s="55">
        <f>H816*0.016200345</f>
        <v>0</v>
      </c>
      <c r="AP816" s="55">
        <f>H816*(1-0.016200345)</f>
        <v>0</v>
      </c>
      <c r="AQ816" s="58" t="s">
        <v>125</v>
      </c>
      <c r="AV816" s="55">
        <f>AW816+AX816</f>
        <v>0</v>
      </c>
      <c r="AW816" s="55">
        <f>G816*AO816</f>
        <v>0</v>
      </c>
      <c r="AX816" s="55">
        <f>G816*AP816</f>
        <v>0</v>
      </c>
      <c r="AY816" s="58" t="s">
        <v>1668</v>
      </c>
      <c r="AZ816" s="58" t="s">
        <v>1669</v>
      </c>
      <c r="BA816" s="34" t="s">
        <v>128</v>
      </c>
      <c r="BB816" s="67">
        <v>100014</v>
      </c>
      <c r="BC816" s="55">
        <f>AW816+AX816</f>
        <v>0</v>
      </c>
      <c r="BD816" s="55">
        <f>H816/(100-BE816)*100</f>
        <v>0</v>
      </c>
      <c r="BE816" s="55">
        <v>0</v>
      </c>
      <c r="BF816" s="55">
        <f>K816</f>
        <v>0.68229</v>
      </c>
      <c r="BH816" s="55">
        <f>G816*AO816</f>
        <v>0</v>
      </c>
      <c r="BI816" s="55">
        <f>G816*AP816</f>
        <v>0</v>
      </c>
      <c r="BJ816" s="55">
        <f>G816*H816</f>
        <v>0</v>
      </c>
      <c r="BK816" s="55"/>
      <c r="BL816" s="55">
        <v>762</v>
      </c>
      <c r="BW816" s="55">
        <v>21</v>
      </c>
    </row>
    <row r="817" spans="1:12" ht="14.4">
      <c r="A817" s="59"/>
      <c r="D817" s="60" t="s">
        <v>181</v>
      </c>
      <c r="E817" s="60" t="s">
        <v>4</v>
      </c>
      <c r="G817" s="68">
        <v>19</v>
      </c>
      <c r="L817" s="69"/>
    </row>
    <row r="818" spans="1:75" ht="13.5" customHeight="1">
      <c r="A818" s="1" t="s">
        <v>1689</v>
      </c>
      <c r="B818" s="2" t="s">
        <v>116</v>
      </c>
      <c r="C818" s="2" t="s">
        <v>1690</v>
      </c>
      <c r="D818" s="147" t="s">
        <v>1691</v>
      </c>
      <c r="E818" s="148"/>
      <c r="F818" s="2" t="s">
        <v>174</v>
      </c>
      <c r="G818" s="55">
        <f>'Stavební rozpočet-vyplnit'!G818</f>
        <v>334.5</v>
      </c>
      <c r="H818" s="55">
        <f>'Stavební rozpočet-vyplnit'!H818</f>
        <v>0</v>
      </c>
      <c r="I818" s="55">
        <f>G818*H818</f>
        <v>0</v>
      </c>
      <c r="J818" s="55">
        <f>'Stavební rozpočet-vyplnit'!J818</f>
        <v>0.00099</v>
      </c>
      <c r="K818" s="55">
        <f>G818*J818</f>
        <v>0.331155</v>
      </c>
      <c r="L818" s="57" t="s">
        <v>785</v>
      </c>
      <c r="Z818" s="55">
        <f>IF(AQ818="5",BJ818,0)</f>
        <v>0</v>
      </c>
      <c r="AB818" s="55">
        <f>IF(AQ818="1",BH818,0)</f>
        <v>0</v>
      </c>
      <c r="AC818" s="55">
        <f>IF(AQ818="1",BI818,0)</f>
        <v>0</v>
      </c>
      <c r="AD818" s="55">
        <f>IF(AQ818="7",BH818,0)</f>
        <v>0</v>
      </c>
      <c r="AE818" s="55">
        <f>IF(AQ818="7",BI818,0)</f>
        <v>0</v>
      </c>
      <c r="AF818" s="55">
        <f>IF(AQ818="2",BH818,0)</f>
        <v>0</v>
      </c>
      <c r="AG818" s="55">
        <f>IF(AQ818="2",BI818,0)</f>
        <v>0</v>
      </c>
      <c r="AH818" s="55">
        <f>IF(AQ818="0",BJ818,0)</f>
        <v>0</v>
      </c>
      <c r="AI818" s="34" t="s">
        <v>116</v>
      </c>
      <c r="AJ818" s="55">
        <f>IF(AN818=0,I818,0)</f>
        <v>0</v>
      </c>
      <c r="AK818" s="55">
        <f>IF(AN818=12,I818,0)</f>
        <v>0</v>
      </c>
      <c r="AL818" s="55">
        <f>IF(AN818=21,I818,0)</f>
        <v>0</v>
      </c>
      <c r="AN818" s="55">
        <v>21</v>
      </c>
      <c r="AO818" s="55">
        <f>H818*0.051456752</f>
        <v>0</v>
      </c>
      <c r="AP818" s="55">
        <f>H818*(1-0.051456752)</f>
        <v>0</v>
      </c>
      <c r="AQ818" s="58" t="s">
        <v>125</v>
      </c>
      <c r="AV818" s="55">
        <f>AW818+AX818</f>
        <v>0</v>
      </c>
      <c r="AW818" s="55">
        <f>G818*AO818</f>
        <v>0</v>
      </c>
      <c r="AX818" s="55">
        <f>G818*AP818</f>
        <v>0</v>
      </c>
      <c r="AY818" s="58" t="s">
        <v>1668</v>
      </c>
      <c r="AZ818" s="58" t="s">
        <v>1669</v>
      </c>
      <c r="BA818" s="34" t="s">
        <v>128</v>
      </c>
      <c r="BB818" s="67">
        <v>100014</v>
      </c>
      <c r="BC818" s="55">
        <f>AW818+AX818</f>
        <v>0</v>
      </c>
      <c r="BD818" s="55">
        <f>H818/(100-BE818)*100</f>
        <v>0</v>
      </c>
      <c r="BE818" s="55">
        <v>0</v>
      </c>
      <c r="BF818" s="55">
        <f>K818</f>
        <v>0.331155</v>
      </c>
      <c r="BH818" s="55">
        <f>G818*AO818</f>
        <v>0</v>
      </c>
      <c r="BI818" s="55">
        <f>G818*AP818</f>
        <v>0</v>
      </c>
      <c r="BJ818" s="55">
        <f>G818*H818</f>
        <v>0</v>
      </c>
      <c r="BK818" s="55"/>
      <c r="BL818" s="55">
        <v>762</v>
      </c>
      <c r="BW818" s="55">
        <v>21</v>
      </c>
    </row>
    <row r="819" spans="1:12" ht="14.4">
      <c r="A819" s="59"/>
      <c r="D819" s="60" t="s">
        <v>1692</v>
      </c>
      <c r="E819" s="60" t="s">
        <v>1693</v>
      </c>
      <c r="G819" s="68">
        <v>334.5</v>
      </c>
      <c r="L819" s="69"/>
    </row>
    <row r="820" spans="1:75" ht="13.5" customHeight="1">
      <c r="A820" s="61" t="s">
        <v>1694</v>
      </c>
      <c r="B820" s="62" t="s">
        <v>116</v>
      </c>
      <c r="C820" s="62" t="s">
        <v>1695</v>
      </c>
      <c r="D820" s="224" t="s">
        <v>1696</v>
      </c>
      <c r="E820" s="225"/>
      <c r="F820" s="62" t="s">
        <v>792</v>
      </c>
      <c r="G820" s="63">
        <f>'Stavební rozpočet-vyplnit'!G820</f>
        <v>3.73</v>
      </c>
      <c r="H820" s="63">
        <f>'Stavební rozpočet-vyplnit'!H820</f>
        <v>0</v>
      </c>
      <c r="I820" s="63">
        <f>G820*H820</f>
        <v>0</v>
      </c>
      <c r="J820" s="63">
        <f>'Stavební rozpočet-vyplnit'!J820</f>
        <v>0.55</v>
      </c>
      <c r="K820" s="63">
        <f>G820*J820</f>
        <v>2.0515000000000003</v>
      </c>
      <c r="L820" s="65" t="s">
        <v>785</v>
      </c>
      <c r="Z820" s="55">
        <f>IF(AQ820="5",BJ820,0)</f>
        <v>0</v>
      </c>
      <c r="AB820" s="55">
        <f>IF(AQ820="1",BH820,0)</f>
        <v>0</v>
      </c>
      <c r="AC820" s="55">
        <f>IF(AQ820="1",BI820,0)</f>
        <v>0</v>
      </c>
      <c r="AD820" s="55">
        <f>IF(AQ820="7",BH820,0)</f>
        <v>0</v>
      </c>
      <c r="AE820" s="55">
        <f>IF(AQ820="7",BI820,0)</f>
        <v>0</v>
      </c>
      <c r="AF820" s="55">
        <f>IF(AQ820="2",BH820,0)</f>
        <v>0</v>
      </c>
      <c r="AG820" s="55">
        <f>IF(AQ820="2",BI820,0)</f>
        <v>0</v>
      </c>
      <c r="AH820" s="55">
        <f>IF(AQ820="0",BJ820,0)</f>
        <v>0</v>
      </c>
      <c r="AI820" s="34" t="s">
        <v>116</v>
      </c>
      <c r="AJ820" s="63">
        <f>IF(AN820=0,I820,0)</f>
        <v>0</v>
      </c>
      <c r="AK820" s="63">
        <f>IF(AN820=12,I820,0)</f>
        <v>0</v>
      </c>
      <c r="AL820" s="63">
        <f>IF(AN820=21,I820,0)</f>
        <v>0</v>
      </c>
      <c r="AN820" s="55">
        <v>21</v>
      </c>
      <c r="AO820" s="55">
        <f>H820*1</f>
        <v>0</v>
      </c>
      <c r="AP820" s="55">
        <f>H820*(1-1)</f>
        <v>0</v>
      </c>
      <c r="AQ820" s="66" t="s">
        <v>125</v>
      </c>
      <c r="AV820" s="55">
        <f>AW820+AX820</f>
        <v>0</v>
      </c>
      <c r="AW820" s="55">
        <f>G820*AO820</f>
        <v>0</v>
      </c>
      <c r="AX820" s="55">
        <f>G820*AP820</f>
        <v>0</v>
      </c>
      <c r="AY820" s="58" t="s">
        <v>1668</v>
      </c>
      <c r="AZ820" s="58" t="s">
        <v>1669</v>
      </c>
      <c r="BA820" s="34" t="s">
        <v>128</v>
      </c>
      <c r="BC820" s="55">
        <f>AW820+AX820</f>
        <v>0</v>
      </c>
      <c r="BD820" s="55">
        <f>H820/(100-BE820)*100</f>
        <v>0</v>
      </c>
      <c r="BE820" s="55">
        <v>0</v>
      </c>
      <c r="BF820" s="55">
        <f>K820</f>
        <v>2.0515000000000003</v>
      </c>
      <c r="BH820" s="63">
        <f>G820*AO820</f>
        <v>0</v>
      </c>
      <c r="BI820" s="63">
        <f>G820*AP820</f>
        <v>0</v>
      </c>
      <c r="BJ820" s="63">
        <f>G820*H820</f>
        <v>0</v>
      </c>
      <c r="BK820" s="63"/>
      <c r="BL820" s="55">
        <v>762</v>
      </c>
      <c r="BW820" s="55">
        <v>21</v>
      </c>
    </row>
    <row r="821" spans="1:12" ht="14.4">
      <c r="A821" s="59"/>
      <c r="D821" s="60" t="s">
        <v>1697</v>
      </c>
      <c r="E821" s="60" t="s">
        <v>4</v>
      </c>
      <c r="G821" s="68">
        <v>3.39</v>
      </c>
      <c r="L821" s="69"/>
    </row>
    <row r="822" spans="1:12" ht="14.4">
      <c r="A822" s="59"/>
      <c r="D822" s="60" t="s">
        <v>1698</v>
      </c>
      <c r="E822" s="60" t="s">
        <v>4</v>
      </c>
      <c r="G822" s="68">
        <v>0.34</v>
      </c>
      <c r="L822" s="69"/>
    </row>
    <row r="823" spans="1:75" ht="13.5" customHeight="1">
      <c r="A823" s="1" t="s">
        <v>1699</v>
      </c>
      <c r="B823" s="2" t="s">
        <v>116</v>
      </c>
      <c r="C823" s="2" t="s">
        <v>1700</v>
      </c>
      <c r="D823" s="147" t="s">
        <v>1701</v>
      </c>
      <c r="E823" s="148"/>
      <c r="F823" s="2" t="s">
        <v>174</v>
      </c>
      <c r="G823" s="55">
        <f>'Stavební rozpočet-vyplnit'!G823</f>
        <v>392.91</v>
      </c>
      <c r="H823" s="55">
        <f>'Stavební rozpočet-vyplnit'!H823</f>
        <v>0</v>
      </c>
      <c r="I823" s="55">
        <f>G823*H823</f>
        <v>0</v>
      </c>
      <c r="J823" s="55">
        <f>'Stavební rozpočet-vyplnit'!J823</f>
        <v>0.00099</v>
      </c>
      <c r="K823" s="55">
        <f>G823*J823</f>
        <v>0.3889809</v>
      </c>
      <c r="L823" s="57" t="s">
        <v>785</v>
      </c>
      <c r="Z823" s="55">
        <f>IF(AQ823="5",BJ823,0)</f>
        <v>0</v>
      </c>
      <c r="AB823" s="55">
        <f>IF(AQ823="1",BH823,0)</f>
        <v>0</v>
      </c>
      <c r="AC823" s="55">
        <f>IF(AQ823="1",BI823,0)</f>
        <v>0</v>
      </c>
      <c r="AD823" s="55">
        <f>IF(AQ823="7",BH823,0)</f>
        <v>0</v>
      </c>
      <c r="AE823" s="55">
        <f>IF(AQ823="7",BI823,0)</f>
        <v>0</v>
      </c>
      <c r="AF823" s="55">
        <f>IF(AQ823="2",BH823,0)</f>
        <v>0</v>
      </c>
      <c r="AG823" s="55">
        <f>IF(AQ823="2",BI823,0)</f>
        <v>0</v>
      </c>
      <c r="AH823" s="55">
        <f>IF(AQ823="0",BJ823,0)</f>
        <v>0</v>
      </c>
      <c r="AI823" s="34" t="s">
        <v>116</v>
      </c>
      <c r="AJ823" s="55">
        <f>IF(AN823=0,I823,0)</f>
        <v>0</v>
      </c>
      <c r="AK823" s="55">
        <f>IF(AN823=12,I823,0)</f>
        <v>0</v>
      </c>
      <c r="AL823" s="55">
        <f>IF(AN823=21,I823,0)</f>
        <v>0</v>
      </c>
      <c r="AN823" s="55">
        <v>21</v>
      </c>
      <c r="AO823" s="55">
        <f>H823*0.038808207</f>
        <v>0</v>
      </c>
      <c r="AP823" s="55">
        <f>H823*(1-0.038808207)</f>
        <v>0</v>
      </c>
      <c r="AQ823" s="58" t="s">
        <v>125</v>
      </c>
      <c r="AV823" s="55">
        <f>AW823+AX823</f>
        <v>0</v>
      </c>
      <c r="AW823" s="55">
        <f>G823*AO823</f>
        <v>0</v>
      </c>
      <c r="AX823" s="55">
        <f>G823*AP823</f>
        <v>0</v>
      </c>
      <c r="AY823" s="58" t="s">
        <v>1668</v>
      </c>
      <c r="AZ823" s="58" t="s">
        <v>1669</v>
      </c>
      <c r="BA823" s="34" t="s">
        <v>128</v>
      </c>
      <c r="BB823" s="67">
        <v>100014</v>
      </c>
      <c r="BC823" s="55">
        <f>AW823+AX823</f>
        <v>0</v>
      </c>
      <c r="BD823" s="55">
        <f>H823/(100-BE823)*100</f>
        <v>0</v>
      </c>
      <c r="BE823" s="55">
        <v>0</v>
      </c>
      <c r="BF823" s="55">
        <f>K823</f>
        <v>0.3889809</v>
      </c>
      <c r="BH823" s="55">
        <f>G823*AO823</f>
        <v>0</v>
      </c>
      <c r="BI823" s="55">
        <f>G823*AP823</f>
        <v>0</v>
      </c>
      <c r="BJ823" s="55">
        <f>G823*H823</f>
        <v>0</v>
      </c>
      <c r="BK823" s="55"/>
      <c r="BL823" s="55">
        <v>762</v>
      </c>
      <c r="BW823" s="55">
        <v>21</v>
      </c>
    </row>
    <row r="824" spans="1:12" ht="14.4">
      <c r="A824" s="59"/>
      <c r="D824" s="60" t="s">
        <v>1702</v>
      </c>
      <c r="E824" s="60" t="s">
        <v>1693</v>
      </c>
      <c r="G824" s="68">
        <v>261.85</v>
      </c>
      <c r="L824" s="69"/>
    </row>
    <row r="825" spans="1:12" ht="14.4">
      <c r="A825" s="59"/>
      <c r="D825" s="60" t="s">
        <v>1680</v>
      </c>
      <c r="E825" s="60" t="s">
        <v>1703</v>
      </c>
      <c r="G825" s="68">
        <v>131.06</v>
      </c>
      <c r="L825" s="69"/>
    </row>
    <row r="826" spans="1:75" ht="13.5" customHeight="1">
      <c r="A826" s="61" t="s">
        <v>1704</v>
      </c>
      <c r="B826" s="62" t="s">
        <v>116</v>
      </c>
      <c r="C826" s="62" t="s">
        <v>1705</v>
      </c>
      <c r="D826" s="224" t="s">
        <v>1706</v>
      </c>
      <c r="E826" s="225"/>
      <c r="F826" s="62" t="s">
        <v>792</v>
      </c>
      <c r="G826" s="63">
        <f>'Stavební rozpočet-vyplnit'!G826</f>
        <v>7.28</v>
      </c>
      <c r="H826" s="63">
        <f>'Stavební rozpočet-vyplnit'!H826</f>
        <v>0</v>
      </c>
      <c r="I826" s="63">
        <f>G826*H826</f>
        <v>0</v>
      </c>
      <c r="J826" s="63">
        <f>'Stavební rozpočet-vyplnit'!J826</f>
        <v>0.55</v>
      </c>
      <c r="K826" s="63">
        <f>G826*J826</f>
        <v>4.0040000000000004</v>
      </c>
      <c r="L826" s="65" t="s">
        <v>785</v>
      </c>
      <c r="Z826" s="55">
        <f>IF(AQ826="5",BJ826,0)</f>
        <v>0</v>
      </c>
      <c r="AB826" s="55">
        <f>IF(AQ826="1",BH826,0)</f>
        <v>0</v>
      </c>
      <c r="AC826" s="55">
        <f>IF(AQ826="1",BI826,0)</f>
        <v>0</v>
      </c>
      <c r="AD826" s="55">
        <f>IF(AQ826="7",BH826,0)</f>
        <v>0</v>
      </c>
      <c r="AE826" s="55">
        <f>IF(AQ826="7",BI826,0)</f>
        <v>0</v>
      </c>
      <c r="AF826" s="55">
        <f>IF(AQ826="2",BH826,0)</f>
        <v>0</v>
      </c>
      <c r="AG826" s="55">
        <f>IF(AQ826="2",BI826,0)</f>
        <v>0</v>
      </c>
      <c r="AH826" s="55">
        <f>IF(AQ826="0",BJ826,0)</f>
        <v>0</v>
      </c>
      <c r="AI826" s="34" t="s">
        <v>116</v>
      </c>
      <c r="AJ826" s="63">
        <f>IF(AN826=0,I826,0)</f>
        <v>0</v>
      </c>
      <c r="AK826" s="63">
        <f>IF(AN826=12,I826,0)</f>
        <v>0</v>
      </c>
      <c r="AL826" s="63">
        <f>IF(AN826=21,I826,0)</f>
        <v>0</v>
      </c>
      <c r="AN826" s="55">
        <v>21</v>
      </c>
      <c r="AO826" s="55">
        <f>H826*1</f>
        <v>0</v>
      </c>
      <c r="AP826" s="55">
        <f>H826*(1-1)</f>
        <v>0</v>
      </c>
      <c r="AQ826" s="66" t="s">
        <v>125</v>
      </c>
      <c r="AV826" s="55">
        <f>AW826+AX826</f>
        <v>0</v>
      </c>
      <c r="AW826" s="55">
        <f>G826*AO826</f>
        <v>0</v>
      </c>
      <c r="AX826" s="55">
        <f>G826*AP826</f>
        <v>0</v>
      </c>
      <c r="AY826" s="58" t="s">
        <v>1668</v>
      </c>
      <c r="AZ826" s="58" t="s">
        <v>1669</v>
      </c>
      <c r="BA826" s="34" t="s">
        <v>128</v>
      </c>
      <c r="BC826" s="55">
        <f>AW826+AX826</f>
        <v>0</v>
      </c>
      <c r="BD826" s="55">
        <f>H826/(100-BE826)*100</f>
        <v>0</v>
      </c>
      <c r="BE826" s="55">
        <v>0</v>
      </c>
      <c r="BF826" s="55">
        <f>K826</f>
        <v>4.0040000000000004</v>
      </c>
      <c r="BH826" s="63">
        <f>G826*AO826</f>
        <v>0</v>
      </c>
      <c r="BI826" s="63">
        <f>G826*AP826</f>
        <v>0</v>
      </c>
      <c r="BJ826" s="63">
        <f>G826*H826</f>
        <v>0</v>
      </c>
      <c r="BK826" s="63"/>
      <c r="BL826" s="55">
        <v>762</v>
      </c>
      <c r="BW826" s="55">
        <v>21</v>
      </c>
    </row>
    <row r="827" spans="1:12" ht="14.4">
      <c r="A827" s="59"/>
      <c r="D827" s="60" t="s">
        <v>1707</v>
      </c>
      <c r="E827" s="60" t="s">
        <v>4</v>
      </c>
      <c r="G827" s="68">
        <v>4.12</v>
      </c>
      <c r="L827" s="69"/>
    </row>
    <row r="828" spans="1:12" ht="14.4">
      <c r="A828" s="59"/>
      <c r="D828" s="60" t="s">
        <v>1708</v>
      </c>
      <c r="E828" s="60" t="s">
        <v>1709</v>
      </c>
      <c r="G828" s="68">
        <v>2.5</v>
      </c>
      <c r="L828" s="69"/>
    </row>
    <row r="829" spans="1:12" ht="14.4">
      <c r="A829" s="59"/>
      <c r="D829" s="60" t="s">
        <v>1710</v>
      </c>
      <c r="E829" s="60" t="s">
        <v>4</v>
      </c>
      <c r="G829" s="68">
        <v>0.66</v>
      </c>
      <c r="L829" s="69"/>
    </row>
    <row r="830" spans="1:75" ht="13.5" customHeight="1">
      <c r="A830" s="1" t="s">
        <v>1711</v>
      </c>
      <c r="B830" s="2" t="s">
        <v>116</v>
      </c>
      <c r="C830" s="2" t="s">
        <v>1712</v>
      </c>
      <c r="D830" s="147" t="s">
        <v>1713</v>
      </c>
      <c r="E830" s="148"/>
      <c r="F830" s="2" t="s">
        <v>174</v>
      </c>
      <c r="G830" s="55">
        <f>'Stavební rozpočet-vyplnit'!G830</f>
        <v>17.9</v>
      </c>
      <c r="H830" s="55">
        <f>'Stavební rozpočet-vyplnit'!H830</f>
        <v>0</v>
      </c>
      <c r="I830" s="55">
        <f>G830*H830</f>
        <v>0</v>
      </c>
      <c r="J830" s="55">
        <f>'Stavební rozpočet-vyplnit'!J830</f>
        <v>0.00099</v>
      </c>
      <c r="K830" s="55">
        <f>G830*J830</f>
        <v>0.017720999999999997</v>
      </c>
      <c r="L830" s="57" t="s">
        <v>785</v>
      </c>
      <c r="Z830" s="55">
        <f>IF(AQ830="5",BJ830,0)</f>
        <v>0</v>
      </c>
      <c r="AB830" s="55">
        <f>IF(AQ830="1",BH830,0)</f>
        <v>0</v>
      </c>
      <c r="AC830" s="55">
        <f>IF(AQ830="1",BI830,0)</f>
        <v>0</v>
      </c>
      <c r="AD830" s="55">
        <f>IF(AQ830="7",BH830,0)</f>
        <v>0</v>
      </c>
      <c r="AE830" s="55">
        <f>IF(AQ830="7",BI830,0)</f>
        <v>0</v>
      </c>
      <c r="AF830" s="55">
        <f>IF(AQ830="2",BH830,0)</f>
        <v>0</v>
      </c>
      <c r="AG830" s="55">
        <f>IF(AQ830="2",BI830,0)</f>
        <v>0</v>
      </c>
      <c r="AH830" s="55">
        <f>IF(AQ830="0",BJ830,0)</f>
        <v>0</v>
      </c>
      <c r="AI830" s="34" t="s">
        <v>116</v>
      </c>
      <c r="AJ830" s="55">
        <f>IF(AN830=0,I830,0)</f>
        <v>0</v>
      </c>
      <c r="AK830" s="55">
        <f>IF(AN830=12,I830,0)</f>
        <v>0</v>
      </c>
      <c r="AL830" s="55">
        <f>IF(AN830=21,I830,0)</f>
        <v>0</v>
      </c>
      <c r="AN830" s="55">
        <v>21</v>
      </c>
      <c r="AO830" s="55">
        <f>H830*0.029560049</f>
        <v>0</v>
      </c>
      <c r="AP830" s="55">
        <f>H830*(1-0.029560049)</f>
        <v>0</v>
      </c>
      <c r="AQ830" s="58" t="s">
        <v>125</v>
      </c>
      <c r="AV830" s="55">
        <f>AW830+AX830</f>
        <v>0</v>
      </c>
      <c r="AW830" s="55">
        <f>G830*AO830</f>
        <v>0</v>
      </c>
      <c r="AX830" s="55">
        <f>G830*AP830</f>
        <v>0</v>
      </c>
      <c r="AY830" s="58" t="s">
        <v>1668</v>
      </c>
      <c r="AZ830" s="58" t="s">
        <v>1669</v>
      </c>
      <c r="BA830" s="34" t="s">
        <v>128</v>
      </c>
      <c r="BB830" s="67">
        <v>100014</v>
      </c>
      <c r="BC830" s="55">
        <f>AW830+AX830</f>
        <v>0</v>
      </c>
      <c r="BD830" s="55">
        <f>H830/(100-BE830)*100</f>
        <v>0</v>
      </c>
      <c r="BE830" s="55">
        <v>0</v>
      </c>
      <c r="BF830" s="55">
        <f>K830</f>
        <v>0.017720999999999997</v>
      </c>
      <c r="BH830" s="55">
        <f>G830*AO830</f>
        <v>0</v>
      </c>
      <c r="BI830" s="55">
        <f>G830*AP830</f>
        <v>0</v>
      </c>
      <c r="BJ830" s="55">
        <f>G830*H830</f>
        <v>0</v>
      </c>
      <c r="BK830" s="55"/>
      <c r="BL830" s="55">
        <v>762</v>
      </c>
      <c r="BW830" s="55">
        <v>21</v>
      </c>
    </row>
    <row r="831" spans="1:12" ht="14.4">
      <c r="A831" s="59"/>
      <c r="D831" s="60" t="s">
        <v>1714</v>
      </c>
      <c r="E831" s="60" t="s">
        <v>1693</v>
      </c>
      <c r="G831" s="68">
        <v>17.9</v>
      </c>
      <c r="L831" s="69"/>
    </row>
    <row r="832" spans="1:75" ht="13.5" customHeight="1">
      <c r="A832" s="61" t="s">
        <v>1715</v>
      </c>
      <c r="B832" s="62" t="s">
        <v>116</v>
      </c>
      <c r="C832" s="62" t="s">
        <v>1716</v>
      </c>
      <c r="D832" s="224" t="s">
        <v>1717</v>
      </c>
      <c r="E832" s="225"/>
      <c r="F832" s="62" t="s">
        <v>792</v>
      </c>
      <c r="G832" s="63">
        <f>'Stavební rozpočet-vyplnit'!G832</f>
        <v>0.55</v>
      </c>
      <c r="H832" s="63">
        <f>'Stavební rozpočet-vyplnit'!H832</f>
        <v>0</v>
      </c>
      <c r="I832" s="63">
        <f>G832*H832</f>
        <v>0</v>
      </c>
      <c r="J832" s="63">
        <f>'Stavební rozpočet-vyplnit'!J832</f>
        <v>0.55</v>
      </c>
      <c r="K832" s="63">
        <f>G832*J832</f>
        <v>0.30250000000000005</v>
      </c>
      <c r="L832" s="65" t="s">
        <v>785</v>
      </c>
      <c r="Z832" s="55">
        <f>IF(AQ832="5",BJ832,0)</f>
        <v>0</v>
      </c>
      <c r="AB832" s="55">
        <f>IF(AQ832="1",BH832,0)</f>
        <v>0</v>
      </c>
      <c r="AC832" s="55">
        <f>IF(AQ832="1",BI832,0)</f>
        <v>0</v>
      </c>
      <c r="AD832" s="55">
        <f>IF(AQ832="7",BH832,0)</f>
        <v>0</v>
      </c>
      <c r="AE832" s="55">
        <f>IF(AQ832="7",BI832,0)</f>
        <v>0</v>
      </c>
      <c r="AF832" s="55">
        <f>IF(AQ832="2",BH832,0)</f>
        <v>0</v>
      </c>
      <c r="AG832" s="55">
        <f>IF(AQ832="2",BI832,0)</f>
        <v>0</v>
      </c>
      <c r="AH832" s="55">
        <f>IF(AQ832="0",BJ832,0)</f>
        <v>0</v>
      </c>
      <c r="AI832" s="34" t="s">
        <v>116</v>
      </c>
      <c r="AJ832" s="63">
        <f>IF(AN832=0,I832,0)</f>
        <v>0</v>
      </c>
      <c r="AK832" s="63">
        <f>IF(AN832=12,I832,0)</f>
        <v>0</v>
      </c>
      <c r="AL832" s="63">
        <f>IF(AN832=21,I832,0)</f>
        <v>0</v>
      </c>
      <c r="AN832" s="55">
        <v>21</v>
      </c>
      <c r="AO832" s="55">
        <f>H832*1</f>
        <v>0</v>
      </c>
      <c r="AP832" s="55">
        <f>H832*(1-1)</f>
        <v>0</v>
      </c>
      <c r="AQ832" s="66" t="s">
        <v>125</v>
      </c>
      <c r="AV832" s="55">
        <f>AW832+AX832</f>
        <v>0</v>
      </c>
      <c r="AW832" s="55">
        <f>G832*AO832</f>
        <v>0</v>
      </c>
      <c r="AX832" s="55">
        <f>G832*AP832</f>
        <v>0</v>
      </c>
      <c r="AY832" s="58" t="s">
        <v>1668</v>
      </c>
      <c r="AZ832" s="58" t="s">
        <v>1669</v>
      </c>
      <c r="BA832" s="34" t="s">
        <v>128</v>
      </c>
      <c r="BC832" s="55">
        <f>AW832+AX832</f>
        <v>0</v>
      </c>
      <c r="BD832" s="55">
        <f>H832/(100-BE832)*100</f>
        <v>0</v>
      </c>
      <c r="BE832" s="55">
        <v>0</v>
      </c>
      <c r="BF832" s="55">
        <f>K832</f>
        <v>0.30250000000000005</v>
      </c>
      <c r="BH832" s="63">
        <f>G832*AO832</f>
        <v>0</v>
      </c>
      <c r="BI832" s="63">
        <f>G832*AP832</f>
        <v>0</v>
      </c>
      <c r="BJ832" s="63">
        <f>G832*H832</f>
        <v>0</v>
      </c>
      <c r="BK832" s="63"/>
      <c r="BL832" s="55">
        <v>762</v>
      </c>
      <c r="BW832" s="55">
        <v>21</v>
      </c>
    </row>
    <row r="833" spans="1:12" ht="14.4">
      <c r="A833" s="59"/>
      <c r="D833" s="60" t="s">
        <v>1718</v>
      </c>
      <c r="E833" s="60" t="s">
        <v>4</v>
      </c>
      <c r="G833" s="68">
        <v>0.5</v>
      </c>
      <c r="L833" s="69"/>
    </row>
    <row r="834" spans="1:12" ht="14.4">
      <c r="A834" s="59"/>
      <c r="D834" s="60" t="s">
        <v>1719</v>
      </c>
      <c r="E834" s="60" t="s">
        <v>4</v>
      </c>
      <c r="G834" s="68">
        <v>0.05</v>
      </c>
      <c r="L834" s="69"/>
    </row>
    <row r="835" spans="1:75" ht="13.5" customHeight="1">
      <c r="A835" s="1" t="s">
        <v>1720</v>
      </c>
      <c r="B835" s="2" t="s">
        <v>116</v>
      </c>
      <c r="C835" s="2" t="s">
        <v>1721</v>
      </c>
      <c r="D835" s="147" t="s">
        <v>1722</v>
      </c>
      <c r="E835" s="148"/>
      <c r="F835" s="2" t="s">
        <v>174</v>
      </c>
      <c r="G835" s="55">
        <f>'Stavební rozpočet-vyplnit'!G835</f>
        <v>11.6</v>
      </c>
      <c r="H835" s="55">
        <f>'Stavební rozpočet-vyplnit'!H835</f>
        <v>0</v>
      </c>
      <c r="I835" s="55">
        <f>G835*H835</f>
        <v>0</v>
      </c>
      <c r="J835" s="55">
        <f>'Stavební rozpočet-vyplnit'!J835</f>
        <v>0.00099</v>
      </c>
      <c r="K835" s="55">
        <f>G835*J835</f>
        <v>0.011484</v>
      </c>
      <c r="L835" s="57" t="s">
        <v>124</v>
      </c>
      <c r="Z835" s="55">
        <f>IF(AQ835="5",BJ835,0)</f>
        <v>0</v>
      </c>
      <c r="AB835" s="55">
        <f>IF(AQ835="1",BH835,0)</f>
        <v>0</v>
      </c>
      <c r="AC835" s="55">
        <f>IF(AQ835="1",BI835,0)</f>
        <v>0</v>
      </c>
      <c r="AD835" s="55">
        <f>IF(AQ835="7",BH835,0)</f>
        <v>0</v>
      </c>
      <c r="AE835" s="55">
        <f>IF(AQ835="7",BI835,0)</f>
        <v>0</v>
      </c>
      <c r="AF835" s="55">
        <f>IF(AQ835="2",BH835,0)</f>
        <v>0</v>
      </c>
      <c r="AG835" s="55">
        <f>IF(AQ835="2",BI835,0)</f>
        <v>0</v>
      </c>
      <c r="AH835" s="55">
        <f>IF(AQ835="0",BJ835,0)</f>
        <v>0</v>
      </c>
      <c r="AI835" s="34" t="s">
        <v>116</v>
      </c>
      <c r="AJ835" s="55">
        <f>IF(AN835=0,I835,0)</f>
        <v>0</v>
      </c>
      <c r="AK835" s="55">
        <f>IF(AN835=12,I835,0)</f>
        <v>0</v>
      </c>
      <c r="AL835" s="55">
        <f>IF(AN835=21,I835,0)</f>
        <v>0</v>
      </c>
      <c r="AN835" s="55">
        <v>21</v>
      </c>
      <c r="AO835" s="55">
        <f>H835*0.034008683</f>
        <v>0</v>
      </c>
      <c r="AP835" s="55">
        <f>H835*(1-0.034008683)</f>
        <v>0</v>
      </c>
      <c r="AQ835" s="58" t="s">
        <v>125</v>
      </c>
      <c r="AV835" s="55">
        <f>AW835+AX835</f>
        <v>0</v>
      </c>
      <c r="AW835" s="55">
        <f>G835*AO835</f>
        <v>0</v>
      </c>
      <c r="AX835" s="55">
        <f>G835*AP835</f>
        <v>0</v>
      </c>
      <c r="AY835" s="58" t="s">
        <v>1668</v>
      </c>
      <c r="AZ835" s="58" t="s">
        <v>1669</v>
      </c>
      <c r="BA835" s="34" t="s">
        <v>128</v>
      </c>
      <c r="BB835" s="67">
        <v>100014</v>
      </c>
      <c r="BC835" s="55">
        <f>AW835+AX835</f>
        <v>0</v>
      </c>
      <c r="BD835" s="55">
        <f>H835/(100-BE835)*100</f>
        <v>0</v>
      </c>
      <c r="BE835" s="55">
        <v>0</v>
      </c>
      <c r="BF835" s="55">
        <f>K835</f>
        <v>0.011484</v>
      </c>
      <c r="BH835" s="55">
        <f>G835*AO835</f>
        <v>0</v>
      </c>
      <c r="BI835" s="55">
        <f>G835*AP835</f>
        <v>0</v>
      </c>
      <c r="BJ835" s="55">
        <f>G835*H835</f>
        <v>0</v>
      </c>
      <c r="BK835" s="55"/>
      <c r="BL835" s="55">
        <v>762</v>
      </c>
      <c r="BW835" s="55">
        <v>21</v>
      </c>
    </row>
    <row r="836" spans="1:12" ht="14.4">
      <c r="A836" s="59"/>
      <c r="D836" s="60" t="s">
        <v>1723</v>
      </c>
      <c r="E836" s="60" t="s">
        <v>1693</v>
      </c>
      <c r="G836" s="68">
        <v>11.6</v>
      </c>
      <c r="L836" s="69"/>
    </row>
    <row r="837" spans="1:75" ht="13.5" customHeight="1">
      <c r="A837" s="61" t="s">
        <v>1724</v>
      </c>
      <c r="B837" s="62" t="s">
        <v>116</v>
      </c>
      <c r="C837" s="62" t="s">
        <v>1725</v>
      </c>
      <c r="D837" s="224" t="s">
        <v>1726</v>
      </c>
      <c r="E837" s="225"/>
      <c r="F837" s="62" t="s">
        <v>792</v>
      </c>
      <c r="G837" s="63">
        <f>'Stavební rozpočet-vyplnit'!G837</f>
        <v>0.77</v>
      </c>
      <c r="H837" s="63">
        <f>'Stavební rozpočet-vyplnit'!H837</f>
        <v>0</v>
      </c>
      <c r="I837" s="63">
        <f>G837*H837</f>
        <v>0</v>
      </c>
      <c r="J837" s="63">
        <f>'Stavební rozpočet-vyplnit'!J837</f>
        <v>0.55</v>
      </c>
      <c r="K837" s="63">
        <f>G837*J837</f>
        <v>0.42350000000000004</v>
      </c>
      <c r="L837" s="65" t="s">
        <v>124</v>
      </c>
      <c r="Z837" s="55">
        <f>IF(AQ837="5",BJ837,0)</f>
        <v>0</v>
      </c>
      <c r="AB837" s="55">
        <f>IF(AQ837="1",BH837,0)</f>
        <v>0</v>
      </c>
      <c r="AC837" s="55">
        <f>IF(AQ837="1",BI837,0)</f>
        <v>0</v>
      </c>
      <c r="AD837" s="55">
        <f>IF(AQ837="7",BH837,0)</f>
        <v>0</v>
      </c>
      <c r="AE837" s="55">
        <f>IF(AQ837="7",BI837,0)</f>
        <v>0</v>
      </c>
      <c r="AF837" s="55">
        <f>IF(AQ837="2",BH837,0)</f>
        <v>0</v>
      </c>
      <c r="AG837" s="55">
        <f>IF(AQ837="2",BI837,0)</f>
        <v>0</v>
      </c>
      <c r="AH837" s="55">
        <f>IF(AQ837="0",BJ837,0)</f>
        <v>0</v>
      </c>
      <c r="AI837" s="34" t="s">
        <v>116</v>
      </c>
      <c r="AJ837" s="63">
        <f>IF(AN837=0,I837,0)</f>
        <v>0</v>
      </c>
      <c r="AK837" s="63">
        <f>IF(AN837=12,I837,0)</f>
        <v>0</v>
      </c>
      <c r="AL837" s="63">
        <f>IF(AN837=21,I837,0)</f>
        <v>0</v>
      </c>
      <c r="AN837" s="55">
        <v>21</v>
      </c>
      <c r="AO837" s="55">
        <f>H837*1</f>
        <v>0</v>
      </c>
      <c r="AP837" s="55">
        <f>H837*(1-1)</f>
        <v>0</v>
      </c>
      <c r="AQ837" s="66" t="s">
        <v>125</v>
      </c>
      <c r="AV837" s="55">
        <f>AW837+AX837</f>
        <v>0</v>
      </c>
      <c r="AW837" s="55">
        <f>G837*AO837</f>
        <v>0</v>
      </c>
      <c r="AX837" s="55">
        <f>G837*AP837</f>
        <v>0</v>
      </c>
      <c r="AY837" s="58" t="s">
        <v>1668</v>
      </c>
      <c r="AZ837" s="58" t="s">
        <v>1669</v>
      </c>
      <c r="BA837" s="34" t="s">
        <v>128</v>
      </c>
      <c r="BC837" s="55">
        <f>AW837+AX837</f>
        <v>0</v>
      </c>
      <c r="BD837" s="55">
        <f>H837/(100-BE837)*100</f>
        <v>0</v>
      </c>
      <c r="BE837" s="55">
        <v>0</v>
      </c>
      <c r="BF837" s="55">
        <f>K837</f>
        <v>0.42350000000000004</v>
      </c>
      <c r="BH837" s="63">
        <f>G837*AO837</f>
        <v>0</v>
      </c>
      <c r="BI837" s="63">
        <f>G837*AP837</f>
        <v>0</v>
      </c>
      <c r="BJ837" s="63">
        <f>G837*H837</f>
        <v>0</v>
      </c>
      <c r="BK837" s="63"/>
      <c r="BL837" s="55">
        <v>762</v>
      </c>
      <c r="BW837" s="55">
        <v>21</v>
      </c>
    </row>
    <row r="838" spans="1:12" ht="14.4">
      <c r="A838" s="59"/>
      <c r="D838" s="60" t="s">
        <v>952</v>
      </c>
      <c r="E838" s="60" t="s">
        <v>4</v>
      </c>
      <c r="G838" s="68">
        <v>0.7</v>
      </c>
      <c r="L838" s="69"/>
    </row>
    <row r="839" spans="1:12" ht="14.4">
      <c r="A839" s="59"/>
      <c r="D839" s="60" t="s">
        <v>1727</v>
      </c>
      <c r="E839" s="60" t="s">
        <v>4</v>
      </c>
      <c r="G839" s="68">
        <v>0.07</v>
      </c>
      <c r="L839" s="69"/>
    </row>
    <row r="840" spans="1:75" ht="13.5" customHeight="1">
      <c r="A840" s="1" t="s">
        <v>1728</v>
      </c>
      <c r="B840" s="2" t="s">
        <v>116</v>
      </c>
      <c r="C840" s="2" t="s">
        <v>1729</v>
      </c>
      <c r="D840" s="147" t="s">
        <v>1730</v>
      </c>
      <c r="E840" s="148"/>
      <c r="F840" s="2" t="s">
        <v>1731</v>
      </c>
      <c r="G840" s="55">
        <f>'Stavební rozpočet-vyplnit'!G840</f>
        <v>59.4</v>
      </c>
      <c r="H840" s="55">
        <f>'Stavební rozpočet-vyplnit'!H840</f>
        <v>0</v>
      </c>
      <c r="I840" s="55">
        <f>G840*H840</f>
        <v>0</v>
      </c>
      <c r="J840" s="55">
        <f>'Stavební rozpočet-vyplnit'!J840</f>
        <v>0.001</v>
      </c>
      <c r="K840" s="55">
        <f>G840*J840</f>
        <v>0.0594</v>
      </c>
      <c r="L840" s="57" t="s">
        <v>124</v>
      </c>
      <c r="Z840" s="55">
        <f>IF(AQ840="5",BJ840,0)</f>
        <v>0</v>
      </c>
      <c r="AB840" s="55">
        <f>IF(AQ840="1",BH840,0)</f>
        <v>0</v>
      </c>
      <c r="AC840" s="55">
        <f>IF(AQ840="1",BI840,0)</f>
        <v>0</v>
      </c>
      <c r="AD840" s="55">
        <f>IF(AQ840="7",BH840,0)</f>
        <v>0</v>
      </c>
      <c r="AE840" s="55">
        <f>IF(AQ840="7",BI840,0)</f>
        <v>0</v>
      </c>
      <c r="AF840" s="55">
        <f>IF(AQ840="2",BH840,0)</f>
        <v>0</v>
      </c>
      <c r="AG840" s="55">
        <f>IF(AQ840="2",BI840,0)</f>
        <v>0</v>
      </c>
      <c r="AH840" s="55">
        <f>IF(AQ840="0",BJ840,0)</f>
        <v>0</v>
      </c>
      <c r="AI840" s="34" t="s">
        <v>116</v>
      </c>
      <c r="AJ840" s="55">
        <f>IF(AN840=0,I840,0)</f>
        <v>0</v>
      </c>
      <c r="AK840" s="55">
        <f>IF(AN840=12,I840,0)</f>
        <v>0</v>
      </c>
      <c r="AL840" s="55">
        <f>IF(AN840=21,I840,0)</f>
        <v>0</v>
      </c>
      <c r="AN840" s="55">
        <v>21</v>
      </c>
      <c r="AO840" s="55">
        <f>H840*0.626865672</f>
        <v>0</v>
      </c>
      <c r="AP840" s="55">
        <f>H840*(1-0.626865672)</f>
        <v>0</v>
      </c>
      <c r="AQ840" s="58" t="s">
        <v>125</v>
      </c>
      <c r="AV840" s="55">
        <f>AW840+AX840</f>
        <v>0</v>
      </c>
      <c r="AW840" s="55">
        <f>G840*AO840</f>
        <v>0</v>
      </c>
      <c r="AX840" s="55">
        <f>G840*AP840</f>
        <v>0</v>
      </c>
      <c r="AY840" s="58" t="s">
        <v>1668</v>
      </c>
      <c r="AZ840" s="58" t="s">
        <v>1669</v>
      </c>
      <c r="BA840" s="34" t="s">
        <v>128</v>
      </c>
      <c r="BC840" s="55">
        <f>AW840+AX840</f>
        <v>0</v>
      </c>
      <c r="BD840" s="55">
        <f>H840/(100-BE840)*100</f>
        <v>0</v>
      </c>
      <c r="BE840" s="55">
        <v>0</v>
      </c>
      <c r="BF840" s="55">
        <f>K840</f>
        <v>0.0594</v>
      </c>
      <c r="BH840" s="55">
        <f>G840*AO840</f>
        <v>0</v>
      </c>
      <c r="BI840" s="55">
        <f>G840*AP840</f>
        <v>0</v>
      </c>
      <c r="BJ840" s="55">
        <f>G840*H840</f>
        <v>0</v>
      </c>
      <c r="BK840" s="55"/>
      <c r="BL840" s="55">
        <v>762</v>
      </c>
      <c r="BW840" s="55">
        <v>21</v>
      </c>
    </row>
    <row r="841" spans="1:12" ht="14.4">
      <c r="A841" s="59"/>
      <c r="D841" s="60" t="s">
        <v>1732</v>
      </c>
      <c r="E841" s="60" t="s">
        <v>1733</v>
      </c>
      <c r="G841" s="68">
        <v>59.4</v>
      </c>
      <c r="L841" s="69"/>
    </row>
    <row r="842" spans="1:75" ht="13.5" customHeight="1">
      <c r="A842" s="1" t="s">
        <v>1734</v>
      </c>
      <c r="B842" s="2" t="s">
        <v>116</v>
      </c>
      <c r="C842" s="2" t="s">
        <v>1735</v>
      </c>
      <c r="D842" s="147" t="s">
        <v>1736</v>
      </c>
      <c r="E842" s="148"/>
      <c r="F842" s="2" t="s">
        <v>729</v>
      </c>
      <c r="G842" s="55">
        <f>'Stavební rozpočet-vyplnit'!G842</f>
        <v>7.42</v>
      </c>
      <c r="H842" s="55">
        <f>'Stavební rozpočet-vyplnit'!H842</f>
        <v>0</v>
      </c>
      <c r="I842" s="55">
        <f>G842*H842</f>
        <v>0</v>
      </c>
      <c r="J842" s="55">
        <f>'Stavební rozpočet-vyplnit'!J842</f>
        <v>0.014</v>
      </c>
      <c r="K842" s="55">
        <f>G842*J842</f>
        <v>0.10388</v>
      </c>
      <c r="L842" s="57" t="s">
        <v>785</v>
      </c>
      <c r="Z842" s="55">
        <f>IF(AQ842="5",BJ842,0)</f>
        <v>0</v>
      </c>
      <c r="AB842" s="55">
        <f>IF(AQ842="1",BH842,0)</f>
        <v>0</v>
      </c>
      <c r="AC842" s="55">
        <f>IF(AQ842="1",BI842,0)</f>
        <v>0</v>
      </c>
      <c r="AD842" s="55">
        <f>IF(AQ842="7",BH842,0)</f>
        <v>0</v>
      </c>
      <c r="AE842" s="55">
        <f>IF(AQ842="7",BI842,0)</f>
        <v>0</v>
      </c>
      <c r="AF842" s="55">
        <f>IF(AQ842="2",BH842,0)</f>
        <v>0</v>
      </c>
      <c r="AG842" s="55">
        <f>IF(AQ842="2",BI842,0)</f>
        <v>0</v>
      </c>
      <c r="AH842" s="55">
        <f>IF(AQ842="0",BJ842,0)</f>
        <v>0</v>
      </c>
      <c r="AI842" s="34" t="s">
        <v>116</v>
      </c>
      <c r="AJ842" s="55">
        <f>IF(AN842=0,I842,0)</f>
        <v>0</v>
      </c>
      <c r="AK842" s="55">
        <f>IF(AN842=12,I842,0)</f>
        <v>0</v>
      </c>
      <c r="AL842" s="55">
        <f>IF(AN842=21,I842,0)</f>
        <v>0</v>
      </c>
      <c r="AN842" s="55">
        <v>21</v>
      </c>
      <c r="AO842" s="55">
        <f>H842*0</f>
        <v>0</v>
      </c>
      <c r="AP842" s="55">
        <f>H842*(1-0)</f>
        <v>0</v>
      </c>
      <c r="AQ842" s="58" t="s">
        <v>125</v>
      </c>
      <c r="AV842" s="55">
        <f>AW842+AX842</f>
        <v>0</v>
      </c>
      <c r="AW842" s="55">
        <f>G842*AO842</f>
        <v>0</v>
      </c>
      <c r="AX842" s="55">
        <f>G842*AP842</f>
        <v>0</v>
      </c>
      <c r="AY842" s="58" t="s">
        <v>1668</v>
      </c>
      <c r="AZ842" s="58" t="s">
        <v>1669</v>
      </c>
      <c r="BA842" s="34" t="s">
        <v>128</v>
      </c>
      <c r="BB842" s="67">
        <v>100014</v>
      </c>
      <c r="BC842" s="55">
        <f>AW842+AX842</f>
        <v>0</v>
      </c>
      <c r="BD842" s="55">
        <f>H842/(100-BE842)*100</f>
        <v>0</v>
      </c>
      <c r="BE842" s="55">
        <v>0</v>
      </c>
      <c r="BF842" s="55">
        <f>K842</f>
        <v>0.10388</v>
      </c>
      <c r="BH842" s="55">
        <f>G842*AO842</f>
        <v>0</v>
      </c>
      <c r="BI842" s="55">
        <f>G842*AP842</f>
        <v>0</v>
      </c>
      <c r="BJ842" s="55">
        <f>G842*H842</f>
        <v>0</v>
      </c>
      <c r="BK842" s="55"/>
      <c r="BL842" s="55">
        <v>762</v>
      </c>
      <c r="BW842" s="55">
        <v>21</v>
      </c>
    </row>
    <row r="843" spans="1:12" ht="13.5" customHeight="1">
      <c r="A843" s="59"/>
      <c r="D843" s="218" t="s">
        <v>1737</v>
      </c>
      <c r="E843" s="219"/>
      <c r="F843" s="219"/>
      <c r="G843" s="219"/>
      <c r="H843" s="219"/>
      <c r="I843" s="219"/>
      <c r="J843" s="219"/>
      <c r="K843" s="219"/>
      <c r="L843" s="221"/>
    </row>
    <row r="844" spans="1:12" ht="14.4">
      <c r="A844" s="59"/>
      <c r="D844" s="60" t="s">
        <v>1738</v>
      </c>
      <c r="E844" s="60" t="s">
        <v>4</v>
      </c>
      <c r="G844" s="68">
        <v>7.42</v>
      </c>
      <c r="L844" s="69"/>
    </row>
    <row r="845" spans="1:75" ht="13.5" customHeight="1">
      <c r="A845" s="1" t="s">
        <v>1739</v>
      </c>
      <c r="B845" s="2" t="s">
        <v>116</v>
      </c>
      <c r="C845" s="2" t="s">
        <v>1740</v>
      </c>
      <c r="D845" s="147" t="s">
        <v>1741</v>
      </c>
      <c r="E845" s="148"/>
      <c r="F845" s="2" t="s">
        <v>174</v>
      </c>
      <c r="G845" s="55">
        <f>'Stavební rozpočet-vyplnit'!G845</f>
        <v>6.75</v>
      </c>
      <c r="H845" s="55">
        <f>'Stavební rozpočet-vyplnit'!H845</f>
        <v>0</v>
      </c>
      <c r="I845" s="55">
        <f>G845*H845</f>
        <v>0</v>
      </c>
      <c r="J845" s="55">
        <f>'Stavební rozpočet-vyplnit'!J845</f>
        <v>0.02491</v>
      </c>
      <c r="K845" s="55">
        <f>G845*J845</f>
        <v>0.1681425</v>
      </c>
      <c r="L845" s="57" t="s">
        <v>785</v>
      </c>
      <c r="Z845" s="55">
        <f>IF(AQ845="5",BJ845,0)</f>
        <v>0</v>
      </c>
      <c r="AB845" s="55">
        <f>IF(AQ845="1",BH845,0)</f>
        <v>0</v>
      </c>
      <c r="AC845" s="55">
        <f>IF(AQ845="1",BI845,0)</f>
        <v>0</v>
      </c>
      <c r="AD845" s="55">
        <f>IF(AQ845="7",BH845,0)</f>
        <v>0</v>
      </c>
      <c r="AE845" s="55">
        <f>IF(AQ845="7",BI845,0)</f>
        <v>0</v>
      </c>
      <c r="AF845" s="55">
        <f>IF(AQ845="2",BH845,0)</f>
        <v>0</v>
      </c>
      <c r="AG845" s="55">
        <f>IF(AQ845="2",BI845,0)</f>
        <v>0</v>
      </c>
      <c r="AH845" s="55">
        <f>IF(AQ845="0",BJ845,0)</f>
        <v>0</v>
      </c>
      <c r="AI845" s="34" t="s">
        <v>116</v>
      </c>
      <c r="AJ845" s="55">
        <f>IF(AN845=0,I845,0)</f>
        <v>0</v>
      </c>
      <c r="AK845" s="55">
        <f>IF(AN845=12,I845,0)</f>
        <v>0</v>
      </c>
      <c r="AL845" s="55">
        <f>IF(AN845=21,I845,0)</f>
        <v>0</v>
      </c>
      <c r="AN845" s="55">
        <v>21</v>
      </c>
      <c r="AO845" s="55">
        <f>H845*0.018320313</f>
        <v>0</v>
      </c>
      <c r="AP845" s="55">
        <f>H845*(1-0.018320313)</f>
        <v>0</v>
      </c>
      <c r="AQ845" s="58" t="s">
        <v>125</v>
      </c>
      <c r="AV845" s="55">
        <f>AW845+AX845</f>
        <v>0</v>
      </c>
      <c r="AW845" s="55">
        <f>G845*AO845</f>
        <v>0</v>
      </c>
      <c r="AX845" s="55">
        <f>G845*AP845</f>
        <v>0</v>
      </c>
      <c r="AY845" s="58" t="s">
        <v>1668</v>
      </c>
      <c r="AZ845" s="58" t="s">
        <v>1669</v>
      </c>
      <c r="BA845" s="34" t="s">
        <v>128</v>
      </c>
      <c r="BB845" s="67">
        <v>100014</v>
      </c>
      <c r="BC845" s="55">
        <f>AW845+AX845</f>
        <v>0</v>
      </c>
      <c r="BD845" s="55">
        <f>H845/(100-BE845)*100</f>
        <v>0</v>
      </c>
      <c r="BE845" s="55">
        <v>0</v>
      </c>
      <c r="BF845" s="55">
        <f>K845</f>
        <v>0.1681425</v>
      </c>
      <c r="BH845" s="55">
        <f>G845*AO845</f>
        <v>0</v>
      </c>
      <c r="BI845" s="55">
        <f>G845*AP845</f>
        <v>0</v>
      </c>
      <c r="BJ845" s="55">
        <f>G845*H845</f>
        <v>0</v>
      </c>
      <c r="BK845" s="55"/>
      <c r="BL845" s="55">
        <v>762</v>
      </c>
      <c r="BW845" s="55">
        <v>21</v>
      </c>
    </row>
    <row r="846" spans="1:12" ht="13.5" customHeight="1">
      <c r="A846" s="59"/>
      <c r="D846" s="218" t="s">
        <v>1737</v>
      </c>
      <c r="E846" s="219"/>
      <c r="F846" s="219"/>
      <c r="G846" s="219"/>
      <c r="H846" s="219"/>
      <c r="I846" s="219"/>
      <c r="J846" s="219"/>
      <c r="K846" s="219"/>
      <c r="L846" s="221"/>
    </row>
    <row r="847" spans="1:12" ht="14.4">
      <c r="A847" s="59"/>
      <c r="D847" s="60" t="s">
        <v>1742</v>
      </c>
      <c r="E847" s="60" t="s">
        <v>4</v>
      </c>
      <c r="G847" s="68">
        <v>6.75</v>
      </c>
      <c r="L847" s="69"/>
    </row>
    <row r="848" spans="1:75" ht="13.5" customHeight="1">
      <c r="A848" s="1" t="s">
        <v>1743</v>
      </c>
      <c r="B848" s="2" t="s">
        <v>116</v>
      </c>
      <c r="C848" s="2" t="s">
        <v>1744</v>
      </c>
      <c r="D848" s="147" t="s">
        <v>1745</v>
      </c>
      <c r="E848" s="148"/>
      <c r="F848" s="2" t="s">
        <v>729</v>
      </c>
      <c r="G848" s="55">
        <f>'Stavební rozpočet-vyplnit'!G848</f>
        <v>61</v>
      </c>
      <c r="H848" s="55">
        <f>'Stavební rozpočet-vyplnit'!H848</f>
        <v>0</v>
      </c>
      <c r="I848" s="55">
        <f>G848*H848</f>
        <v>0</v>
      </c>
      <c r="J848" s="55">
        <f>'Stavební rozpočet-vyplnit'!J848</f>
        <v>0.00093</v>
      </c>
      <c r="K848" s="55">
        <f>G848*J848</f>
        <v>0.05673</v>
      </c>
      <c r="L848" s="57" t="s">
        <v>124</v>
      </c>
      <c r="Z848" s="55">
        <f>IF(AQ848="5",BJ848,0)</f>
        <v>0</v>
      </c>
      <c r="AB848" s="55">
        <f>IF(AQ848="1",BH848,0)</f>
        <v>0</v>
      </c>
      <c r="AC848" s="55">
        <f>IF(AQ848="1",BI848,0)</f>
        <v>0</v>
      </c>
      <c r="AD848" s="55">
        <f>IF(AQ848="7",BH848,0)</f>
        <v>0</v>
      </c>
      <c r="AE848" s="55">
        <f>IF(AQ848="7",BI848,0)</f>
        <v>0</v>
      </c>
      <c r="AF848" s="55">
        <f>IF(AQ848="2",BH848,0)</f>
        <v>0</v>
      </c>
      <c r="AG848" s="55">
        <f>IF(AQ848="2",BI848,0)</f>
        <v>0</v>
      </c>
      <c r="AH848" s="55">
        <f>IF(AQ848="0",BJ848,0)</f>
        <v>0</v>
      </c>
      <c r="AI848" s="34" t="s">
        <v>116</v>
      </c>
      <c r="AJ848" s="55">
        <f>IF(AN848=0,I848,0)</f>
        <v>0</v>
      </c>
      <c r="AK848" s="55">
        <f>IF(AN848=12,I848,0)</f>
        <v>0</v>
      </c>
      <c r="AL848" s="55">
        <f>IF(AN848=21,I848,0)</f>
        <v>0</v>
      </c>
      <c r="AN848" s="55">
        <v>21</v>
      </c>
      <c r="AO848" s="55">
        <f>H848*0.487179487</f>
        <v>0</v>
      </c>
      <c r="AP848" s="55">
        <f>H848*(1-0.487179487)</f>
        <v>0</v>
      </c>
      <c r="AQ848" s="58" t="s">
        <v>125</v>
      </c>
      <c r="AV848" s="55">
        <f>AW848+AX848</f>
        <v>0</v>
      </c>
      <c r="AW848" s="55">
        <f>G848*AO848</f>
        <v>0</v>
      </c>
      <c r="AX848" s="55">
        <f>G848*AP848</f>
        <v>0</v>
      </c>
      <c r="AY848" s="58" t="s">
        <v>1668</v>
      </c>
      <c r="AZ848" s="58" t="s">
        <v>1669</v>
      </c>
      <c r="BA848" s="34" t="s">
        <v>128</v>
      </c>
      <c r="BB848" s="67">
        <v>100014</v>
      </c>
      <c r="BC848" s="55">
        <f>AW848+AX848</f>
        <v>0</v>
      </c>
      <c r="BD848" s="55">
        <f>H848/(100-BE848)*100</f>
        <v>0</v>
      </c>
      <c r="BE848" s="55">
        <v>0</v>
      </c>
      <c r="BF848" s="55">
        <f>K848</f>
        <v>0.05673</v>
      </c>
      <c r="BH848" s="55">
        <f>G848*AO848</f>
        <v>0</v>
      </c>
      <c r="BI848" s="55">
        <f>G848*AP848</f>
        <v>0</v>
      </c>
      <c r="BJ848" s="55">
        <f>G848*H848</f>
        <v>0</v>
      </c>
      <c r="BK848" s="55"/>
      <c r="BL848" s="55">
        <v>762</v>
      </c>
      <c r="BW848" s="55">
        <v>21</v>
      </c>
    </row>
    <row r="849" spans="1:12" ht="13.5" customHeight="1">
      <c r="A849" s="59"/>
      <c r="D849" s="218" t="s">
        <v>1746</v>
      </c>
      <c r="E849" s="219"/>
      <c r="F849" s="219"/>
      <c r="G849" s="219"/>
      <c r="H849" s="219"/>
      <c r="I849" s="219"/>
      <c r="J849" s="219"/>
      <c r="K849" s="219"/>
      <c r="L849" s="221"/>
    </row>
    <row r="850" spans="1:12" ht="14.4">
      <c r="A850" s="59"/>
      <c r="D850" s="60" t="s">
        <v>313</v>
      </c>
      <c r="E850" s="60" t="s">
        <v>4</v>
      </c>
      <c r="G850" s="68">
        <v>61</v>
      </c>
      <c r="L850" s="69"/>
    </row>
    <row r="851" spans="1:75" ht="13.5" customHeight="1">
      <c r="A851" s="1" t="s">
        <v>1747</v>
      </c>
      <c r="B851" s="2" t="s">
        <v>116</v>
      </c>
      <c r="C851" s="2" t="s">
        <v>1748</v>
      </c>
      <c r="D851" s="147" t="s">
        <v>1749</v>
      </c>
      <c r="E851" s="148"/>
      <c r="F851" s="2" t="s">
        <v>729</v>
      </c>
      <c r="G851" s="55">
        <f>'Stavební rozpočet-vyplnit'!G851</f>
        <v>61</v>
      </c>
      <c r="H851" s="55">
        <f>'Stavební rozpočet-vyplnit'!H851</f>
        <v>0</v>
      </c>
      <c r="I851" s="55">
        <f>G851*H851</f>
        <v>0</v>
      </c>
      <c r="J851" s="55">
        <f>'Stavební rozpočet-vyplnit'!J851</f>
        <v>0.0015</v>
      </c>
      <c r="K851" s="55">
        <f>G851*J851</f>
        <v>0.0915</v>
      </c>
      <c r="L851" s="57" t="s">
        <v>124</v>
      </c>
      <c r="Z851" s="55">
        <f>IF(AQ851="5",BJ851,0)</f>
        <v>0</v>
      </c>
      <c r="AB851" s="55">
        <f>IF(AQ851="1",BH851,0)</f>
        <v>0</v>
      </c>
      <c r="AC851" s="55">
        <f>IF(AQ851="1",BI851,0)</f>
        <v>0</v>
      </c>
      <c r="AD851" s="55">
        <f>IF(AQ851="7",BH851,0)</f>
        <v>0</v>
      </c>
      <c r="AE851" s="55">
        <f>IF(AQ851="7",BI851,0)</f>
        <v>0</v>
      </c>
      <c r="AF851" s="55">
        <f>IF(AQ851="2",BH851,0)</f>
        <v>0</v>
      </c>
      <c r="AG851" s="55">
        <f>IF(AQ851="2",BI851,0)</f>
        <v>0</v>
      </c>
      <c r="AH851" s="55">
        <f>IF(AQ851="0",BJ851,0)</f>
        <v>0</v>
      </c>
      <c r="AI851" s="34" t="s">
        <v>116</v>
      </c>
      <c r="AJ851" s="55">
        <f>IF(AN851=0,I851,0)</f>
        <v>0</v>
      </c>
      <c r="AK851" s="55">
        <f>IF(AN851=12,I851,0)</f>
        <v>0</v>
      </c>
      <c r="AL851" s="55">
        <f>IF(AN851=21,I851,0)</f>
        <v>0</v>
      </c>
      <c r="AN851" s="55">
        <v>21</v>
      </c>
      <c r="AO851" s="55">
        <f>H851*0.487179487</f>
        <v>0</v>
      </c>
      <c r="AP851" s="55">
        <f>H851*(1-0.487179487)</f>
        <v>0</v>
      </c>
      <c r="AQ851" s="58" t="s">
        <v>125</v>
      </c>
      <c r="AV851" s="55">
        <f>AW851+AX851</f>
        <v>0</v>
      </c>
      <c r="AW851" s="55">
        <f>G851*AO851</f>
        <v>0</v>
      </c>
      <c r="AX851" s="55">
        <f>G851*AP851</f>
        <v>0</v>
      </c>
      <c r="AY851" s="58" t="s">
        <v>1668</v>
      </c>
      <c r="AZ851" s="58" t="s">
        <v>1669</v>
      </c>
      <c r="BA851" s="34" t="s">
        <v>128</v>
      </c>
      <c r="BB851" s="67">
        <v>100014</v>
      </c>
      <c r="BC851" s="55">
        <f>AW851+AX851</f>
        <v>0</v>
      </c>
      <c r="BD851" s="55">
        <f>H851/(100-BE851)*100</f>
        <v>0</v>
      </c>
      <c r="BE851" s="55">
        <v>0</v>
      </c>
      <c r="BF851" s="55">
        <f>K851</f>
        <v>0.0915</v>
      </c>
      <c r="BH851" s="55">
        <f>G851*AO851</f>
        <v>0</v>
      </c>
      <c r="BI851" s="55">
        <f>G851*AP851</f>
        <v>0</v>
      </c>
      <c r="BJ851" s="55">
        <f>G851*H851</f>
        <v>0</v>
      </c>
      <c r="BK851" s="55"/>
      <c r="BL851" s="55">
        <v>762</v>
      </c>
      <c r="BW851" s="55">
        <v>21</v>
      </c>
    </row>
    <row r="852" spans="1:12" ht="13.5" customHeight="1">
      <c r="A852" s="59"/>
      <c r="D852" s="218" t="s">
        <v>1746</v>
      </c>
      <c r="E852" s="219"/>
      <c r="F852" s="219"/>
      <c r="G852" s="219"/>
      <c r="H852" s="219"/>
      <c r="I852" s="219"/>
      <c r="J852" s="219"/>
      <c r="K852" s="219"/>
      <c r="L852" s="221"/>
    </row>
    <row r="853" spans="1:12" ht="14.4">
      <c r="A853" s="59"/>
      <c r="D853" s="60" t="s">
        <v>313</v>
      </c>
      <c r="E853" s="60" t="s">
        <v>4</v>
      </c>
      <c r="G853" s="68">
        <v>61</v>
      </c>
      <c r="L853" s="69"/>
    </row>
    <row r="854" spans="1:75" ht="13.5" customHeight="1">
      <c r="A854" s="1" t="s">
        <v>1750</v>
      </c>
      <c r="B854" s="2" t="s">
        <v>116</v>
      </c>
      <c r="C854" s="2" t="s">
        <v>1751</v>
      </c>
      <c r="D854" s="147" t="s">
        <v>1752</v>
      </c>
      <c r="E854" s="148"/>
      <c r="F854" s="2" t="s">
        <v>729</v>
      </c>
      <c r="G854" s="55">
        <f>'Stavební rozpočet-vyplnit'!G854</f>
        <v>61</v>
      </c>
      <c r="H854" s="55">
        <f>'Stavební rozpočet-vyplnit'!H854</f>
        <v>0</v>
      </c>
      <c r="I854" s="55">
        <f>G854*H854</f>
        <v>0</v>
      </c>
      <c r="J854" s="55">
        <f>'Stavební rozpočet-vyplnit'!J854</f>
        <v>0.01468</v>
      </c>
      <c r="K854" s="55">
        <f>G854*J854</f>
        <v>0.89548</v>
      </c>
      <c r="L854" s="57" t="s">
        <v>785</v>
      </c>
      <c r="Z854" s="55">
        <f>IF(AQ854="5",BJ854,0)</f>
        <v>0</v>
      </c>
      <c r="AB854" s="55">
        <f>IF(AQ854="1",BH854,0)</f>
        <v>0</v>
      </c>
      <c r="AC854" s="55">
        <f>IF(AQ854="1",BI854,0)</f>
        <v>0</v>
      </c>
      <c r="AD854" s="55">
        <f>IF(AQ854="7",BH854,0)</f>
        <v>0</v>
      </c>
      <c r="AE854" s="55">
        <f>IF(AQ854="7",BI854,0)</f>
        <v>0</v>
      </c>
      <c r="AF854" s="55">
        <f>IF(AQ854="2",BH854,0)</f>
        <v>0</v>
      </c>
      <c r="AG854" s="55">
        <f>IF(AQ854="2",BI854,0)</f>
        <v>0</v>
      </c>
      <c r="AH854" s="55">
        <f>IF(AQ854="0",BJ854,0)</f>
        <v>0</v>
      </c>
      <c r="AI854" s="34" t="s">
        <v>116</v>
      </c>
      <c r="AJ854" s="55">
        <f>IF(AN854=0,I854,0)</f>
        <v>0</v>
      </c>
      <c r="AK854" s="55">
        <f>IF(AN854=12,I854,0)</f>
        <v>0</v>
      </c>
      <c r="AL854" s="55">
        <f>IF(AN854=21,I854,0)</f>
        <v>0</v>
      </c>
      <c r="AN854" s="55">
        <v>21</v>
      </c>
      <c r="AO854" s="55">
        <f>H854*0.650979323</f>
        <v>0</v>
      </c>
      <c r="AP854" s="55">
        <f>H854*(1-0.650979323)</f>
        <v>0</v>
      </c>
      <c r="AQ854" s="58" t="s">
        <v>125</v>
      </c>
      <c r="AV854" s="55">
        <f>AW854+AX854</f>
        <v>0</v>
      </c>
      <c r="AW854" s="55">
        <f>G854*AO854</f>
        <v>0</v>
      </c>
      <c r="AX854" s="55">
        <f>G854*AP854</f>
        <v>0</v>
      </c>
      <c r="AY854" s="58" t="s">
        <v>1668</v>
      </c>
      <c r="AZ854" s="58" t="s">
        <v>1669</v>
      </c>
      <c r="BA854" s="34" t="s">
        <v>128</v>
      </c>
      <c r="BB854" s="67">
        <v>100014</v>
      </c>
      <c r="BC854" s="55">
        <f>AW854+AX854</f>
        <v>0</v>
      </c>
      <c r="BD854" s="55">
        <f>H854/(100-BE854)*100</f>
        <v>0</v>
      </c>
      <c r="BE854" s="55">
        <v>0</v>
      </c>
      <c r="BF854" s="55">
        <f>K854</f>
        <v>0.89548</v>
      </c>
      <c r="BH854" s="55">
        <f>G854*AO854</f>
        <v>0</v>
      </c>
      <c r="BI854" s="55">
        <f>G854*AP854</f>
        <v>0</v>
      </c>
      <c r="BJ854" s="55">
        <f>G854*H854</f>
        <v>0</v>
      </c>
      <c r="BK854" s="55"/>
      <c r="BL854" s="55">
        <v>762</v>
      </c>
      <c r="BW854" s="55">
        <v>21</v>
      </c>
    </row>
    <row r="855" spans="1:12" ht="13.5" customHeight="1">
      <c r="A855" s="59"/>
      <c r="D855" s="218" t="s">
        <v>1753</v>
      </c>
      <c r="E855" s="219"/>
      <c r="F855" s="219"/>
      <c r="G855" s="219"/>
      <c r="H855" s="219"/>
      <c r="I855" s="219"/>
      <c r="J855" s="219"/>
      <c r="K855" s="219"/>
      <c r="L855" s="221"/>
    </row>
    <row r="856" spans="1:12" ht="14.4">
      <c r="A856" s="59"/>
      <c r="D856" s="60" t="s">
        <v>313</v>
      </c>
      <c r="E856" s="60" t="s">
        <v>816</v>
      </c>
      <c r="G856" s="68">
        <v>61</v>
      </c>
      <c r="L856" s="69"/>
    </row>
    <row r="857" spans="1:75" ht="13.5" customHeight="1">
      <c r="A857" s="1" t="s">
        <v>1754</v>
      </c>
      <c r="B857" s="2" t="s">
        <v>116</v>
      </c>
      <c r="C857" s="2" t="s">
        <v>1755</v>
      </c>
      <c r="D857" s="147" t="s">
        <v>1756</v>
      </c>
      <c r="E857" s="148"/>
      <c r="F857" s="2" t="s">
        <v>729</v>
      </c>
      <c r="G857" s="55">
        <f>'Stavební rozpočet-vyplnit'!G857</f>
        <v>30.2</v>
      </c>
      <c r="H857" s="55">
        <f>'Stavební rozpočet-vyplnit'!H857</f>
        <v>0</v>
      </c>
      <c r="I857" s="55">
        <f>G857*H857</f>
        <v>0</v>
      </c>
      <c r="J857" s="55">
        <f>'Stavební rozpočet-vyplnit'!J857</f>
        <v>0</v>
      </c>
      <c r="K857" s="55">
        <f>G857*J857</f>
        <v>0</v>
      </c>
      <c r="L857" s="57" t="s">
        <v>785</v>
      </c>
      <c r="Z857" s="55">
        <f>IF(AQ857="5",BJ857,0)</f>
        <v>0</v>
      </c>
      <c r="AB857" s="55">
        <f>IF(AQ857="1",BH857,0)</f>
        <v>0</v>
      </c>
      <c r="AC857" s="55">
        <f>IF(AQ857="1",BI857,0)</f>
        <v>0</v>
      </c>
      <c r="AD857" s="55">
        <f>IF(AQ857="7",BH857,0)</f>
        <v>0</v>
      </c>
      <c r="AE857" s="55">
        <f>IF(AQ857="7",BI857,0)</f>
        <v>0</v>
      </c>
      <c r="AF857" s="55">
        <f>IF(AQ857="2",BH857,0)</f>
        <v>0</v>
      </c>
      <c r="AG857" s="55">
        <f>IF(AQ857="2",BI857,0)</f>
        <v>0</v>
      </c>
      <c r="AH857" s="55">
        <f>IF(AQ857="0",BJ857,0)</f>
        <v>0</v>
      </c>
      <c r="AI857" s="34" t="s">
        <v>116</v>
      </c>
      <c r="AJ857" s="55">
        <f>IF(AN857=0,I857,0)</f>
        <v>0</v>
      </c>
      <c r="AK857" s="55">
        <f>IF(AN857=12,I857,0)</f>
        <v>0</v>
      </c>
      <c r="AL857" s="55">
        <f>IF(AN857=21,I857,0)</f>
        <v>0</v>
      </c>
      <c r="AN857" s="55">
        <v>21</v>
      </c>
      <c r="AO857" s="55">
        <f>H857*0</f>
        <v>0</v>
      </c>
      <c r="AP857" s="55">
        <f>H857*(1-0)</f>
        <v>0</v>
      </c>
      <c r="AQ857" s="58" t="s">
        <v>125</v>
      </c>
      <c r="AV857" s="55">
        <f>AW857+AX857</f>
        <v>0</v>
      </c>
      <c r="AW857" s="55">
        <f>G857*AO857</f>
        <v>0</v>
      </c>
      <c r="AX857" s="55">
        <f>G857*AP857</f>
        <v>0</v>
      </c>
      <c r="AY857" s="58" t="s">
        <v>1668</v>
      </c>
      <c r="AZ857" s="58" t="s">
        <v>1669</v>
      </c>
      <c r="BA857" s="34" t="s">
        <v>128</v>
      </c>
      <c r="BB857" s="67">
        <v>100014</v>
      </c>
      <c r="BC857" s="55">
        <f>AW857+AX857</f>
        <v>0</v>
      </c>
      <c r="BD857" s="55">
        <f>H857/(100-BE857)*100</f>
        <v>0</v>
      </c>
      <c r="BE857" s="55">
        <v>0</v>
      </c>
      <c r="BF857" s="55">
        <f>K857</f>
        <v>0</v>
      </c>
      <c r="BH857" s="55">
        <f>G857*AO857</f>
        <v>0</v>
      </c>
      <c r="BI857" s="55">
        <f>G857*AP857</f>
        <v>0</v>
      </c>
      <c r="BJ857" s="55">
        <f>G857*H857</f>
        <v>0</v>
      </c>
      <c r="BK857" s="55"/>
      <c r="BL857" s="55">
        <v>762</v>
      </c>
      <c r="BW857" s="55">
        <v>21</v>
      </c>
    </row>
    <row r="858" spans="1:12" ht="13.5" customHeight="1">
      <c r="A858" s="59"/>
      <c r="D858" s="218" t="s">
        <v>1757</v>
      </c>
      <c r="E858" s="219"/>
      <c r="F858" s="219"/>
      <c r="G858" s="219"/>
      <c r="H858" s="219"/>
      <c r="I858" s="219"/>
      <c r="J858" s="219"/>
      <c r="K858" s="219"/>
      <c r="L858" s="221"/>
    </row>
    <row r="859" spans="1:12" ht="14.4">
      <c r="A859" s="59"/>
      <c r="D859" s="60" t="s">
        <v>1758</v>
      </c>
      <c r="E859" s="60" t="s">
        <v>816</v>
      </c>
      <c r="G859" s="68">
        <v>30.2</v>
      </c>
      <c r="L859" s="69"/>
    </row>
    <row r="860" spans="1:75" ht="13.5" customHeight="1">
      <c r="A860" s="61" t="s">
        <v>1759</v>
      </c>
      <c r="B860" s="62" t="s">
        <v>116</v>
      </c>
      <c r="C860" s="62" t="s">
        <v>1760</v>
      </c>
      <c r="D860" s="224" t="s">
        <v>1761</v>
      </c>
      <c r="E860" s="225"/>
      <c r="F860" s="62" t="s">
        <v>792</v>
      </c>
      <c r="G860" s="63">
        <f>'Stavební rozpočet-vyplnit'!G860</f>
        <v>0.98</v>
      </c>
      <c r="H860" s="63">
        <f>'Stavební rozpočet-vyplnit'!H860</f>
        <v>0</v>
      </c>
      <c r="I860" s="63">
        <f>G860*H860</f>
        <v>0</v>
      </c>
      <c r="J860" s="63">
        <f>'Stavební rozpočet-vyplnit'!J860</f>
        <v>0.55</v>
      </c>
      <c r="K860" s="63">
        <f>G860*J860</f>
        <v>0.539</v>
      </c>
      <c r="L860" s="65" t="s">
        <v>785</v>
      </c>
      <c r="Z860" s="55">
        <f>IF(AQ860="5",BJ860,0)</f>
        <v>0</v>
      </c>
      <c r="AB860" s="55">
        <f>IF(AQ860="1",BH860,0)</f>
        <v>0</v>
      </c>
      <c r="AC860" s="55">
        <f>IF(AQ860="1",BI860,0)</f>
        <v>0</v>
      </c>
      <c r="AD860" s="55">
        <f>IF(AQ860="7",BH860,0)</f>
        <v>0</v>
      </c>
      <c r="AE860" s="55">
        <f>IF(AQ860="7",BI860,0)</f>
        <v>0</v>
      </c>
      <c r="AF860" s="55">
        <f>IF(AQ860="2",BH860,0)</f>
        <v>0</v>
      </c>
      <c r="AG860" s="55">
        <f>IF(AQ860="2",BI860,0)</f>
        <v>0</v>
      </c>
      <c r="AH860" s="55">
        <f>IF(AQ860="0",BJ860,0)</f>
        <v>0</v>
      </c>
      <c r="AI860" s="34" t="s">
        <v>116</v>
      </c>
      <c r="AJ860" s="63">
        <f>IF(AN860=0,I860,0)</f>
        <v>0</v>
      </c>
      <c r="AK860" s="63">
        <f>IF(AN860=12,I860,0)</f>
        <v>0</v>
      </c>
      <c r="AL860" s="63">
        <f>IF(AN860=21,I860,0)</f>
        <v>0</v>
      </c>
      <c r="AN860" s="55">
        <v>21</v>
      </c>
      <c r="AO860" s="55">
        <f>H860*1</f>
        <v>0</v>
      </c>
      <c r="AP860" s="55">
        <f>H860*(1-1)</f>
        <v>0</v>
      </c>
      <c r="AQ860" s="66" t="s">
        <v>125</v>
      </c>
      <c r="AV860" s="55">
        <f>AW860+AX860</f>
        <v>0</v>
      </c>
      <c r="AW860" s="55">
        <f>G860*AO860</f>
        <v>0</v>
      </c>
      <c r="AX860" s="55">
        <f>G860*AP860</f>
        <v>0</v>
      </c>
      <c r="AY860" s="58" t="s">
        <v>1668</v>
      </c>
      <c r="AZ860" s="58" t="s">
        <v>1669</v>
      </c>
      <c r="BA860" s="34" t="s">
        <v>128</v>
      </c>
      <c r="BC860" s="55">
        <f>AW860+AX860</f>
        <v>0</v>
      </c>
      <c r="BD860" s="55">
        <f>H860/(100-BE860)*100</f>
        <v>0</v>
      </c>
      <c r="BE860" s="55">
        <v>0</v>
      </c>
      <c r="BF860" s="55">
        <f>K860</f>
        <v>0.539</v>
      </c>
      <c r="BH860" s="63">
        <f>G860*AO860</f>
        <v>0</v>
      </c>
      <c r="BI860" s="63">
        <f>G860*AP860</f>
        <v>0</v>
      </c>
      <c r="BJ860" s="63">
        <f>G860*H860</f>
        <v>0</v>
      </c>
      <c r="BK860" s="63"/>
      <c r="BL860" s="55">
        <v>762</v>
      </c>
      <c r="BW860" s="55">
        <v>21</v>
      </c>
    </row>
    <row r="861" spans="1:12" ht="14.4">
      <c r="A861" s="59"/>
      <c r="D861" s="60" t="s">
        <v>1762</v>
      </c>
      <c r="E861" s="60" t="s">
        <v>4</v>
      </c>
      <c r="G861" s="68">
        <v>0.91</v>
      </c>
      <c r="L861" s="69"/>
    </row>
    <row r="862" spans="1:12" ht="14.4">
      <c r="A862" s="59"/>
      <c r="D862" s="60" t="s">
        <v>1763</v>
      </c>
      <c r="E862" s="60" t="s">
        <v>4</v>
      </c>
      <c r="G862" s="68">
        <v>0.07</v>
      </c>
      <c r="L862" s="69"/>
    </row>
    <row r="863" spans="1:75" ht="13.5" customHeight="1">
      <c r="A863" s="1" t="s">
        <v>1764</v>
      </c>
      <c r="B863" s="2" t="s">
        <v>116</v>
      </c>
      <c r="C863" s="2" t="s">
        <v>1765</v>
      </c>
      <c r="D863" s="147" t="s">
        <v>1766</v>
      </c>
      <c r="E863" s="148"/>
      <c r="F863" s="2" t="s">
        <v>174</v>
      </c>
      <c r="G863" s="55">
        <f>'Stavební rozpočet-vyplnit'!G863</f>
        <v>93.1</v>
      </c>
      <c r="H863" s="55">
        <f>'Stavební rozpočet-vyplnit'!H863</f>
        <v>0</v>
      </c>
      <c r="I863" s="55">
        <f>G863*H863</f>
        <v>0</v>
      </c>
      <c r="J863" s="55">
        <f>'Stavební rozpočet-vyplnit'!J863</f>
        <v>0.00544</v>
      </c>
      <c r="K863" s="55">
        <f>G863*J863</f>
        <v>0.506464</v>
      </c>
      <c r="L863" s="57" t="s">
        <v>785</v>
      </c>
      <c r="Z863" s="55">
        <f>IF(AQ863="5",BJ863,0)</f>
        <v>0</v>
      </c>
      <c r="AB863" s="55">
        <f>IF(AQ863="1",BH863,0)</f>
        <v>0</v>
      </c>
      <c r="AC863" s="55">
        <f>IF(AQ863="1",BI863,0)</f>
        <v>0</v>
      </c>
      <c r="AD863" s="55">
        <f>IF(AQ863="7",BH863,0)</f>
        <v>0</v>
      </c>
      <c r="AE863" s="55">
        <f>IF(AQ863="7",BI863,0)</f>
        <v>0</v>
      </c>
      <c r="AF863" s="55">
        <f>IF(AQ863="2",BH863,0)</f>
        <v>0</v>
      </c>
      <c r="AG863" s="55">
        <f>IF(AQ863="2",BI863,0)</f>
        <v>0</v>
      </c>
      <c r="AH863" s="55">
        <f>IF(AQ863="0",BJ863,0)</f>
        <v>0</v>
      </c>
      <c r="AI863" s="34" t="s">
        <v>116</v>
      </c>
      <c r="AJ863" s="55">
        <f>IF(AN863=0,I863,0)</f>
        <v>0</v>
      </c>
      <c r="AK863" s="55">
        <f>IF(AN863=12,I863,0)</f>
        <v>0</v>
      </c>
      <c r="AL863" s="55">
        <f>IF(AN863=21,I863,0)</f>
        <v>0</v>
      </c>
      <c r="AN863" s="55">
        <v>21</v>
      </c>
      <c r="AO863" s="55">
        <f>H863*0.426470968</f>
        <v>0</v>
      </c>
      <c r="AP863" s="55">
        <f>H863*(1-0.426470968)</f>
        <v>0</v>
      </c>
      <c r="AQ863" s="58" t="s">
        <v>125</v>
      </c>
      <c r="AV863" s="55">
        <f>AW863+AX863</f>
        <v>0</v>
      </c>
      <c r="AW863" s="55">
        <f>G863*AO863</f>
        <v>0</v>
      </c>
      <c r="AX863" s="55">
        <f>G863*AP863</f>
        <v>0</v>
      </c>
      <c r="AY863" s="58" t="s">
        <v>1668</v>
      </c>
      <c r="AZ863" s="58" t="s">
        <v>1669</v>
      </c>
      <c r="BA863" s="34" t="s">
        <v>128</v>
      </c>
      <c r="BB863" s="67">
        <v>100014</v>
      </c>
      <c r="BC863" s="55">
        <f>AW863+AX863</f>
        <v>0</v>
      </c>
      <c r="BD863" s="55">
        <f>H863/(100-BE863)*100</f>
        <v>0</v>
      </c>
      <c r="BE863" s="55">
        <v>0</v>
      </c>
      <c r="BF863" s="55">
        <f>K863</f>
        <v>0.506464</v>
      </c>
      <c r="BH863" s="55">
        <f>G863*AO863</f>
        <v>0</v>
      </c>
      <c r="BI863" s="55">
        <f>G863*AP863</f>
        <v>0</v>
      </c>
      <c r="BJ863" s="55">
        <f>G863*H863</f>
        <v>0</v>
      </c>
      <c r="BK863" s="55"/>
      <c r="BL863" s="55">
        <v>762</v>
      </c>
      <c r="BW863" s="55">
        <v>21</v>
      </c>
    </row>
    <row r="864" spans="1:12" ht="13.5" customHeight="1">
      <c r="A864" s="59"/>
      <c r="D864" s="218" t="s">
        <v>1767</v>
      </c>
      <c r="E864" s="219"/>
      <c r="F864" s="219"/>
      <c r="G864" s="219"/>
      <c r="H864" s="219"/>
      <c r="I864" s="219"/>
      <c r="J864" s="219"/>
      <c r="K864" s="219"/>
      <c r="L864" s="221"/>
    </row>
    <row r="865" spans="1:12" ht="14.4">
      <c r="A865" s="59"/>
      <c r="D865" s="60" t="s">
        <v>1768</v>
      </c>
      <c r="E865" s="60" t="s">
        <v>816</v>
      </c>
      <c r="G865" s="68">
        <v>93.1</v>
      </c>
      <c r="L865" s="69"/>
    </row>
    <row r="866" spans="1:75" ht="13.5" customHeight="1">
      <c r="A866" s="61" t="s">
        <v>1769</v>
      </c>
      <c r="B866" s="62" t="s">
        <v>116</v>
      </c>
      <c r="C866" s="62" t="s">
        <v>1770</v>
      </c>
      <c r="D866" s="224" t="s">
        <v>1771</v>
      </c>
      <c r="E866" s="225"/>
      <c r="F866" s="62" t="s">
        <v>792</v>
      </c>
      <c r="G866" s="63">
        <f>'Stavební rozpočet-vyplnit'!G866</f>
        <v>1.21</v>
      </c>
      <c r="H866" s="63">
        <f>'Stavební rozpočet-vyplnit'!H866</f>
        <v>0</v>
      </c>
      <c r="I866" s="63">
        <f>G866*H866</f>
        <v>0</v>
      </c>
      <c r="J866" s="63">
        <f>'Stavební rozpočet-vyplnit'!J866</f>
        <v>0.55</v>
      </c>
      <c r="K866" s="63">
        <f>G866*J866</f>
        <v>0.6655</v>
      </c>
      <c r="L866" s="65" t="s">
        <v>785</v>
      </c>
      <c r="Z866" s="55">
        <f>IF(AQ866="5",BJ866,0)</f>
        <v>0</v>
      </c>
      <c r="AB866" s="55">
        <f>IF(AQ866="1",BH866,0)</f>
        <v>0</v>
      </c>
      <c r="AC866" s="55">
        <f>IF(AQ866="1",BI866,0)</f>
        <v>0</v>
      </c>
      <c r="AD866" s="55">
        <f>IF(AQ866="7",BH866,0)</f>
        <v>0</v>
      </c>
      <c r="AE866" s="55">
        <f>IF(AQ866="7",BI866,0)</f>
        <v>0</v>
      </c>
      <c r="AF866" s="55">
        <f>IF(AQ866="2",BH866,0)</f>
        <v>0</v>
      </c>
      <c r="AG866" s="55">
        <f>IF(AQ866="2",BI866,0)</f>
        <v>0</v>
      </c>
      <c r="AH866" s="55">
        <f>IF(AQ866="0",BJ866,0)</f>
        <v>0</v>
      </c>
      <c r="AI866" s="34" t="s">
        <v>116</v>
      </c>
      <c r="AJ866" s="63">
        <f>IF(AN866=0,I866,0)</f>
        <v>0</v>
      </c>
      <c r="AK866" s="63">
        <f>IF(AN866=12,I866,0)</f>
        <v>0</v>
      </c>
      <c r="AL866" s="63">
        <f>IF(AN866=21,I866,0)</f>
        <v>0</v>
      </c>
      <c r="AN866" s="55">
        <v>21</v>
      </c>
      <c r="AO866" s="55">
        <f>H866*1</f>
        <v>0</v>
      </c>
      <c r="AP866" s="55">
        <f>H866*(1-1)</f>
        <v>0</v>
      </c>
      <c r="AQ866" s="66" t="s">
        <v>125</v>
      </c>
      <c r="AV866" s="55">
        <f>AW866+AX866</f>
        <v>0</v>
      </c>
      <c r="AW866" s="55">
        <f>G866*AO866</f>
        <v>0</v>
      </c>
      <c r="AX866" s="55">
        <f>G866*AP866</f>
        <v>0</v>
      </c>
      <c r="AY866" s="58" t="s">
        <v>1668</v>
      </c>
      <c r="AZ866" s="58" t="s">
        <v>1669</v>
      </c>
      <c r="BA866" s="34" t="s">
        <v>128</v>
      </c>
      <c r="BC866" s="55">
        <f>AW866+AX866</f>
        <v>0</v>
      </c>
      <c r="BD866" s="55">
        <f>H866/(100-BE866)*100</f>
        <v>0</v>
      </c>
      <c r="BE866" s="55">
        <v>0</v>
      </c>
      <c r="BF866" s="55">
        <f>K866</f>
        <v>0.6655</v>
      </c>
      <c r="BH866" s="63">
        <f>G866*AO866</f>
        <v>0</v>
      </c>
      <c r="BI866" s="63">
        <f>G866*AP866</f>
        <v>0</v>
      </c>
      <c r="BJ866" s="63">
        <f>G866*H866</f>
        <v>0</v>
      </c>
      <c r="BK866" s="63"/>
      <c r="BL866" s="55">
        <v>762</v>
      </c>
      <c r="BW866" s="55">
        <v>21</v>
      </c>
    </row>
    <row r="867" spans="1:12" ht="14.4">
      <c r="A867" s="59"/>
      <c r="D867" s="60" t="s">
        <v>1772</v>
      </c>
      <c r="E867" s="60" t="s">
        <v>4</v>
      </c>
      <c r="G867" s="68">
        <v>1.12</v>
      </c>
      <c r="L867" s="69"/>
    </row>
    <row r="868" spans="1:12" ht="14.4">
      <c r="A868" s="59"/>
      <c r="D868" s="60" t="s">
        <v>1773</v>
      </c>
      <c r="E868" s="60" t="s">
        <v>4</v>
      </c>
      <c r="G868" s="68">
        <v>0.09</v>
      </c>
      <c r="L868" s="69"/>
    </row>
    <row r="869" spans="1:75" ht="13.5" customHeight="1">
      <c r="A869" s="1" t="s">
        <v>1774</v>
      </c>
      <c r="B869" s="2" t="s">
        <v>116</v>
      </c>
      <c r="C869" s="2" t="s">
        <v>1775</v>
      </c>
      <c r="D869" s="147" t="s">
        <v>1776</v>
      </c>
      <c r="E869" s="148"/>
      <c r="F869" s="2" t="s">
        <v>174</v>
      </c>
      <c r="G869" s="55">
        <f>'Stavební rozpočet-vyplnit'!G869</f>
        <v>115.9</v>
      </c>
      <c r="H869" s="55">
        <f>'Stavební rozpočet-vyplnit'!H869</f>
        <v>0</v>
      </c>
      <c r="I869" s="55">
        <f>G869*H869</f>
        <v>0</v>
      </c>
      <c r="J869" s="55">
        <f>'Stavební rozpočet-vyplnit'!J869</f>
        <v>0</v>
      </c>
      <c r="K869" s="55">
        <f>G869*J869</f>
        <v>0</v>
      </c>
      <c r="L869" s="57" t="s">
        <v>785</v>
      </c>
      <c r="Z869" s="55">
        <f>IF(AQ869="5",BJ869,0)</f>
        <v>0</v>
      </c>
      <c r="AB869" s="55">
        <f>IF(AQ869="1",BH869,0)</f>
        <v>0</v>
      </c>
      <c r="AC869" s="55">
        <f>IF(AQ869="1",BI869,0)</f>
        <v>0</v>
      </c>
      <c r="AD869" s="55">
        <f>IF(AQ869="7",BH869,0)</f>
        <v>0</v>
      </c>
      <c r="AE869" s="55">
        <f>IF(AQ869="7",BI869,0)</f>
        <v>0</v>
      </c>
      <c r="AF869" s="55">
        <f>IF(AQ869="2",BH869,0)</f>
        <v>0</v>
      </c>
      <c r="AG869" s="55">
        <f>IF(AQ869="2",BI869,0)</f>
        <v>0</v>
      </c>
      <c r="AH869" s="55">
        <f>IF(AQ869="0",BJ869,0)</f>
        <v>0</v>
      </c>
      <c r="AI869" s="34" t="s">
        <v>116</v>
      </c>
      <c r="AJ869" s="55">
        <f>IF(AN869=0,I869,0)</f>
        <v>0</v>
      </c>
      <c r="AK869" s="55">
        <f>IF(AN869=12,I869,0)</f>
        <v>0</v>
      </c>
      <c r="AL869" s="55">
        <f>IF(AN869=21,I869,0)</f>
        <v>0</v>
      </c>
      <c r="AN869" s="55">
        <v>21</v>
      </c>
      <c r="AO869" s="55">
        <f>H869*0</f>
        <v>0</v>
      </c>
      <c r="AP869" s="55">
        <f>H869*(1-0)</f>
        <v>0</v>
      </c>
      <c r="AQ869" s="58" t="s">
        <v>125</v>
      </c>
      <c r="AV869" s="55">
        <f>AW869+AX869</f>
        <v>0</v>
      </c>
      <c r="AW869" s="55">
        <f>G869*AO869</f>
        <v>0</v>
      </c>
      <c r="AX869" s="55">
        <f>G869*AP869</f>
        <v>0</v>
      </c>
      <c r="AY869" s="58" t="s">
        <v>1668</v>
      </c>
      <c r="AZ869" s="58" t="s">
        <v>1669</v>
      </c>
      <c r="BA869" s="34" t="s">
        <v>128</v>
      </c>
      <c r="BB869" s="67">
        <v>100014</v>
      </c>
      <c r="BC869" s="55">
        <f>AW869+AX869</f>
        <v>0</v>
      </c>
      <c r="BD869" s="55">
        <f>H869/(100-BE869)*100</f>
        <v>0</v>
      </c>
      <c r="BE869" s="55">
        <v>0</v>
      </c>
      <c r="BF869" s="55">
        <f>K869</f>
        <v>0</v>
      </c>
      <c r="BH869" s="55">
        <f>G869*AO869</f>
        <v>0</v>
      </c>
      <c r="BI869" s="55">
        <f>G869*AP869</f>
        <v>0</v>
      </c>
      <c r="BJ869" s="55">
        <f>G869*H869</f>
        <v>0</v>
      </c>
      <c r="BK869" s="55"/>
      <c r="BL869" s="55">
        <v>762</v>
      </c>
      <c r="BW869" s="55">
        <v>21</v>
      </c>
    </row>
    <row r="870" spans="1:12" ht="14.4">
      <c r="A870" s="59"/>
      <c r="D870" s="60" t="s">
        <v>1777</v>
      </c>
      <c r="E870" s="60" t="s">
        <v>4</v>
      </c>
      <c r="G870" s="68">
        <v>115.9</v>
      </c>
      <c r="L870" s="69"/>
    </row>
    <row r="871" spans="1:75" ht="13.5" customHeight="1">
      <c r="A871" s="61" t="s">
        <v>1778</v>
      </c>
      <c r="B871" s="62" t="s">
        <v>116</v>
      </c>
      <c r="C871" s="62" t="s">
        <v>1779</v>
      </c>
      <c r="D871" s="224" t="s">
        <v>1780</v>
      </c>
      <c r="E871" s="225"/>
      <c r="F871" s="62" t="s">
        <v>792</v>
      </c>
      <c r="G871" s="63">
        <f>'Stavební rozpočet-vyplnit'!G871</f>
        <v>0.59</v>
      </c>
      <c r="H871" s="63">
        <f>'Stavební rozpočet-vyplnit'!H871</f>
        <v>0</v>
      </c>
      <c r="I871" s="63">
        <f>G871*H871</f>
        <v>0</v>
      </c>
      <c r="J871" s="63">
        <f>'Stavební rozpočet-vyplnit'!J871</f>
        <v>0.55</v>
      </c>
      <c r="K871" s="63">
        <f>G871*J871</f>
        <v>0.3245</v>
      </c>
      <c r="L871" s="65" t="s">
        <v>785</v>
      </c>
      <c r="Z871" s="55">
        <f>IF(AQ871="5",BJ871,0)</f>
        <v>0</v>
      </c>
      <c r="AB871" s="55">
        <f>IF(AQ871="1",BH871,0)</f>
        <v>0</v>
      </c>
      <c r="AC871" s="55">
        <f>IF(AQ871="1",BI871,0)</f>
        <v>0</v>
      </c>
      <c r="AD871" s="55">
        <f>IF(AQ871="7",BH871,0)</f>
        <v>0</v>
      </c>
      <c r="AE871" s="55">
        <f>IF(AQ871="7",BI871,0)</f>
        <v>0</v>
      </c>
      <c r="AF871" s="55">
        <f>IF(AQ871="2",BH871,0)</f>
        <v>0</v>
      </c>
      <c r="AG871" s="55">
        <f>IF(AQ871="2",BI871,0)</f>
        <v>0</v>
      </c>
      <c r="AH871" s="55">
        <f>IF(AQ871="0",BJ871,0)</f>
        <v>0</v>
      </c>
      <c r="AI871" s="34" t="s">
        <v>116</v>
      </c>
      <c r="AJ871" s="63">
        <f>IF(AN871=0,I871,0)</f>
        <v>0</v>
      </c>
      <c r="AK871" s="63">
        <f>IF(AN871=12,I871,0)</f>
        <v>0</v>
      </c>
      <c r="AL871" s="63">
        <f>IF(AN871=21,I871,0)</f>
        <v>0</v>
      </c>
      <c r="AN871" s="55">
        <v>21</v>
      </c>
      <c r="AO871" s="55">
        <f>H871*1</f>
        <v>0</v>
      </c>
      <c r="AP871" s="55">
        <f>H871*(1-1)</f>
        <v>0</v>
      </c>
      <c r="AQ871" s="66" t="s">
        <v>125</v>
      </c>
      <c r="AV871" s="55">
        <f>AW871+AX871</f>
        <v>0</v>
      </c>
      <c r="AW871" s="55">
        <f>G871*AO871</f>
        <v>0</v>
      </c>
      <c r="AX871" s="55">
        <f>G871*AP871</f>
        <v>0</v>
      </c>
      <c r="AY871" s="58" t="s">
        <v>1668</v>
      </c>
      <c r="AZ871" s="58" t="s">
        <v>1669</v>
      </c>
      <c r="BA871" s="34" t="s">
        <v>128</v>
      </c>
      <c r="BC871" s="55">
        <f>AW871+AX871</f>
        <v>0</v>
      </c>
      <c r="BD871" s="55">
        <f>H871/(100-BE871)*100</f>
        <v>0</v>
      </c>
      <c r="BE871" s="55">
        <v>0</v>
      </c>
      <c r="BF871" s="55">
        <f>K871</f>
        <v>0.3245</v>
      </c>
      <c r="BH871" s="63">
        <f>G871*AO871</f>
        <v>0</v>
      </c>
      <c r="BI871" s="63">
        <f>G871*AP871</f>
        <v>0</v>
      </c>
      <c r="BJ871" s="63">
        <f>G871*H871</f>
        <v>0</v>
      </c>
      <c r="BK871" s="63"/>
      <c r="BL871" s="55">
        <v>762</v>
      </c>
      <c r="BW871" s="55">
        <v>21</v>
      </c>
    </row>
    <row r="872" spans="1:12" ht="14.4">
      <c r="A872" s="59"/>
      <c r="D872" s="60" t="s">
        <v>1781</v>
      </c>
      <c r="E872" s="60" t="s">
        <v>4</v>
      </c>
      <c r="G872" s="68">
        <v>0.56</v>
      </c>
      <c r="L872" s="69"/>
    </row>
    <row r="873" spans="1:12" ht="14.4">
      <c r="A873" s="59"/>
      <c r="D873" s="60" t="s">
        <v>1782</v>
      </c>
      <c r="E873" s="60" t="s">
        <v>4</v>
      </c>
      <c r="G873" s="68">
        <v>0.03</v>
      </c>
      <c r="L873" s="69"/>
    </row>
    <row r="874" spans="1:75" ht="13.5" customHeight="1">
      <c r="A874" s="1" t="s">
        <v>1783</v>
      </c>
      <c r="B874" s="2" t="s">
        <v>116</v>
      </c>
      <c r="C874" s="2" t="s">
        <v>1784</v>
      </c>
      <c r="D874" s="147" t="s">
        <v>1785</v>
      </c>
      <c r="E874" s="148"/>
      <c r="F874" s="2" t="s">
        <v>729</v>
      </c>
      <c r="G874" s="55">
        <f>'Stavební rozpočet-vyplnit'!G874</f>
        <v>44.2</v>
      </c>
      <c r="H874" s="55">
        <f>'Stavební rozpočet-vyplnit'!H874</f>
        <v>0</v>
      </c>
      <c r="I874" s="55">
        <f>G874*H874</f>
        <v>0</v>
      </c>
      <c r="J874" s="55">
        <f>'Stavební rozpočet-vyplnit'!J874</f>
        <v>0.03</v>
      </c>
      <c r="K874" s="55">
        <f>G874*J874</f>
        <v>1.326</v>
      </c>
      <c r="L874" s="57" t="s">
        <v>785</v>
      </c>
      <c r="Z874" s="55">
        <f>IF(AQ874="5",BJ874,0)</f>
        <v>0</v>
      </c>
      <c r="AB874" s="55">
        <f>IF(AQ874="1",BH874,0)</f>
        <v>0</v>
      </c>
      <c r="AC874" s="55">
        <f>IF(AQ874="1",BI874,0)</f>
        <v>0</v>
      </c>
      <c r="AD874" s="55">
        <f>IF(AQ874="7",BH874,0)</f>
        <v>0</v>
      </c>
      <c r="AE874" s="55">
        <f>IF(AQ874="7",BI874,0)</f>
        <v>0</v>
      </c>
      <c r="AF874" s="55">
        <f>IF(AQ874="2",BH874,0)</f>
        <v>0</v>
      </c>
      <c r="AG874" s="55">
        <f>IF(AQ874="2",BI874,0)</f>
        <v>0</v>
      </c>
      <c r="AH874" s="55">
        <f>IF(AQ874="0",BJ874,0)</f>
        <v>0</v>
      </c>
      <c r="AI874" s="34" t="s">
        <v>116</v>
      </c>
      <c r="AJ874" s="55">
        <f>IF(AN874=0,I874,0)</f>
        <v>0</v>
      </c>
      <c r="AK874" s="55">
        <f>IF(AN874=12,I874,0)</f>
        <v>0</v>
      </c>
      <c r="AL874" s="55">
        <f>IF(AN874=21,I874,0)</f>
        <v>0</v>
      </c>
      <c r="AN874" s="55">
        <v>21</v>
      </c>
      <c r="AO874" s="55">
        <f>H874*0</f>
        <v>0</v>
      </c>
      <c r="AP874" s="55">
        <f>H874*(1-0)</f>
        <v>0</v>
      </c>
      <c r="AQ874" s="58" t="s">
        <v>125</v>
      </c>
      <c r="AV874" s="55">
        <f>AW874+AX874</f>
        <v>0</v>
      </c>
      <c r="AW874" s="55">
        <f>G874*AO874</f>
        <v>0</v>
      </c>
      <c r="AX874" s="55">
        <f>G874*AP874</f>
        <v>0</v>
      </c>
      <c r="AY874" s="58" t="s">
        <v>1668</v>
      </c>
      <c r="AZ874" s="58" t="s">
        <v>1669</v>
      </c>
      <c r="BA874" s="34" t="s">
        <v>128</v>
      </c>
      <c r="BB874" s="67">
        <v>100014</v>
      </c>
      <c r="BC874" s="55">
        <f>AW874+AX874</f>
        <v>0</v>
      </c>
      <c r="BD874" s="55">
        <f>H874/(100-BE874)*100</f>
        <v>0</v>
      </c>
      <c r="BE874" s="55">
        <v>0</v>
      </c>
      <c r="BF874" s="55">
        <f>K874</f>
        <v>1.326</v>
      </c>
      <c r="BH874" s="55">
        <f>G874*AO874</f>
        <v>0</v>
      </c>
      <c r="BI874" s="55">
        <f>G874*AP874</f>
        <v>0</v>
      </c>
      <c r="BJ874" s="55">
        <f>G874*H874</f>
        <v>0</v>
      </c>
      <c r="BK874" s="55"/>
      <c r="BL874" s="55">
        <v>762</v>
      </c>
      <c r="BW874" s="55">
        <v>21</v>
      </c>
    </row>
    <row r="875" spans="1:12" ht="13.5" customHeight="1">
      <c r="A875" s="59"/>
      <c r="D875" s="218" t="s">
        <v>1786</v>
      </c>
      <c r="E875" s="219"/>
      <c r="F875" s="219"/>
      <c r="G875" s="219"/>
      <c r="H875" s="219"/>
      <c r="I875" s="219"/>
      <c r="J875" s="219"/>
      <c r="K875" s="219"/>
      <c r="L875" s="221"/>
    </row>
    <row r="876" spans="1:12" ht="14.4">
      <c r="A876" s="59"/>
      <c r="D876" s="60" t="s">
        <v>1787</v>
      </c>
      <c r="E876" s="60" t="s">
        <v>4</v>
      </c>
      <c r="G876" s="68">
        <v>44.2</v>
      </c>
      <c r="L876" s="69"/>
    </row>
    <row r="877" spans="1:75" ht="13.5" customHeight="1">
      <c r="A877" s="1" t="s">
        <v>1788</v>
      </c>
      <c r="B877" s="2" t="s">
        <v>116</v>
      </c>
      <c r="C877" s="2" t="s">
        <v>1789</v>
      </c>
      <c r="D877" s="147" t="s">
        <v>1790</v>
      </c>
      <c r="E877" s="148"/>
      <c r="F877" s="2" t="s">
        <v>1791</v>
      </c>
      <c r="G877" s="55">
        <f>'Stavební rozpočet-vyplnit'!G877</f>
        <v>16</v>
      </c>
      <c r="H877" s="55">
        <f>'Stavební rozpočet-vyplnit'!H877</f>
        <v>0</v>
      </c>
      <c r="I877" s="55">
        <f>G877*H877</f>
        <v>0</v>
      </c>
      <c r="J877" s="55">
        <f>'Stavební rozpočet-vyplnit'!J877</f>
        <v>0</v>
      </c>
      <c r="K877" s="55">
        <f>G877*J877</f>
        <v>0</v>
      </c>
      <c r="L877" s="57" t="s">
        <v>124</v>
      </c>
      <c r="Z877" s="55">
        <f>IF(AQ877="5",BJ877,0)</f>
        <v>0</v>
      </c>
      <c r="AB877" s="55">
        <f>IF(AQ877="1",BH877,0)</f>
        <v>0</v>
      </c>
      <c r="AC877" s="55">
        <f>IF(AQ877="1",BI877,0)</f>
        <v>0</v>
      </c>
      <c r="AD877" s="55">
        <f>IF(AQ877="7",BH877,0)</f>
        <v>0</v>
      </c>
      <c r="AE877" s="55">
        <f>IF(AQ877="7",BI877,0)</f>
        <v>0</v>
      </c>
      <c r="AF877" s="55">
        <f>IF(AQ877="2",BH877,0)</f>
        <v>0</v>
      </c>
      <c r="AG877" s="55">
        <f>IF(AQ877="2",BI877,0)</f>
        <v>0</v>
      </c>
      <c r="AH877" s="55">
        <f>IF(AQ877="0",BJ877,0)</f>
        <v>0</v>
      </c>
      <c r="AI877" s="34" t="s">
        <v>116</v>
      </c>
      <c r="AJ877" s="55">
        <f>IF(AN877=0,I877,0)</f>
        <v>0</v>
      </c>
      <c r="AK877" s="55">
        <f>IF(AN877=12,I877,0)</f>
        <v>0</v>
      </c>
      <c r="AL877" s="55">
        <f>IF(AN877=21,I877,0)</f>
        <v>0</v>
      </c>
      <c r="AN877" s="55">
        <v>21</v>
      </c>
      <c r="AO877" s="55">
        <f>H877*0</f>
        <v>0</v>
      </c>
      <c r="AP877" s="55">
        <f>H877*(1-0)</f>
        <v>0</v>
      </c>
      <c r="AQ877" s="58" t="s">
        <v>125</v>
      </c>
      <c r="AV877" s="55">
        <f>AW877+AX877</f>
        <v>0</v>
      </c>
      <c r="AW877" s="55">
        <f>G877*AO877</f>
        <v>0</v>
      </c>
      <c r="AX877" s="55">
        <f>G877*AP877</f>
        <v>0</v>
      </c>
      <c r="AY877" s="58" t="s">
        <v>1668</v>
      </c>
      <c r="AZ877" s="58" t="s">
        <v>1669</v>
      </c>
      <c r="BA877" s="34" t="s">
        <v>128</v>
      </c>
      <c r="BB877" s="67">
        <v>100014</v>
      </c>
      <c r="BC877" s="55">
        <f>AW877+AX877</f>
        <v>0</v>
      </c>
      <c r="BD877" s="55">
        <f>H877/(100-BE877)*100</f>
        <v>0</v>
      </c>
      <c r="BE877" s="55">
        <v>0</v>
      </c>
      <c r="BF877" s="55">
        <f>K877</f>
        <v>0</v>
      </c>
      <c r="BH877" s="55">
        <f>G877*AO877</f>
        <v>0</v>
      </c>
      <c r="BI877" s="55">
        <f>G877*AP877</f>
        <v>0</v>
      </c>
      <c r="BJ877" s="55">
        <f>G877*H877</f>
        <v>0</v>
      </c>
      <c r="BK877" s="55"/>
      <c r="BL877" s="55">
        <v>762</v>
      </c>
      <c r="BW877" s="55">
        <v>21</v>
      </c>
    </row>
    <row r="878" spans="1:12" ht="13.5" customHeight="1">
      <c r="A878" s="59"/>
      <c r="D878" s="218" t="s">
        <v>1792</v>
      </c>
      <c r="E878" s="219"/>
      <c r="F878" s="219"/>
      <c r="G878" s="219"/>
      <c r="H878" s="219"/>
      <c r="I878" s="219"/>
      <c r="J878" s="219"/>
      <c r="K878" s="219"/>
      <c r="L878" s="221"/>
    </row>
    <row r="879" spans="1:12" ht="14.4">
      <c r="A879" s="59"/>
      <c r="D879" s="60" t="s">
        <v>171</v>
      </c>
      <c r="E879" s="60" t="s">
        <v>4</v>
      </c>
      <c r="G879" s="68">
        <v>16</v>
      </c>
      <c r="L879" s="69"/>
    </row>
    <row r="880" spans="1:75" ht="13.5" customHeight="1">
      <c r="A880" s="1" t="s">
        <v>1793</v>
      </c>
      <c r="B880" s="2" t="s">
        <v>116</v>
      </c>
      <c r="C880" s="2" t="s">
        <v>1794</v>
      </c>
      <c r="D880" s="147" t="s">
        <v>1795</v>
      </c>
      <c r="E880" s="148"/>
      <c r="F880" s="2" t="s">
        <v>792</v>
      </c>
      <c r="G880" s="55">
        <f>'Stavební rozpočet-vyplnit'!G880</f>
        <v>10.84</v>
      </c>
      <c r="H880" s="55">
        <f>'Stavební rozpočet-vyplnit'!H880</f>
        <v>0</v>
      </c>
      <c r="I880" s="55">
        <f>G880*H880</f>
        <v>0</v>
      </c>
      <c r="J880" s="55">
        <f>'Stavební rozpočet-vyplnit'!J880</f>
        <v>0.02357</v>
      </c>
      <c r="K880" s="55">
        <f>G880*J880</f>
        <v>0.2554988</v>
      </c>
      <c r="L880" s="57" t="s">
        <v>785</v>
      </c>
      <c r="Z880" s="55">
        <f>IF(AQ880="5",BJ880,0)</f>
        <v>0</v>
      </c>
      <c r="AB880" s="55">
        <f>IF(AQ880="1",BH880,0)</f>
        <v>0</v>
      </c>
      <c r="AC880" s="55">
        <f>IF(AQ880="1",BI880,0)</f>
        <v>0</v>
      </c>
      <c r="AD880" s="55">
        <f>IF(AQ880="7",BH880,0)</f>
        <v>0</v>
      </c>
      <c r="AE880" s="55">
        <f>IF(AQ880="7",BI880,0)</f>
        <v>0</v>
      </c>
      <c r="AF880" s="55">
        <f>IF(AQ880="2",BH880,0)</f>
        <v>0</v>
      </c>
      <c r="AG880" s="55">
        <f>IF(AQ880="2",BI880,0)</f>
        <v>0</v>
      </c>
      <c r="AH880" s="55">
        <f>IF(AQ880="0",BJ880,0)</f>
        <v>0</v>
      </c>
      <c r="AI880" s="34" t="s">
        <v>116</v>
      </c>
      <c r="AJ880" s="55">
        <f>IF(AN880=0,I880,0)</f>
        <v>0</v>
      </c>
      <c r="AK880" s="55">
        <f>IF(AN880=12,I880,0)</f>
        <v>0</v>
      </c>
      <c r="AL880" s="55">
        <f>IF(AN880=21,I880,0)</f>
        <v>0</v>
      </c>
      <c r="AN880" s="55">
        <v>21</v>
      </c>
      <c r="AO880" s="55">
        <f>H880*0.999999057</f>
        <v>0</v>
      </c>
      <c r="AP880" s="55">
        <f>H880*(1-0.999999057)</f>
        <v>0</v>
      </c>
      <c r="AQ880" s="58" t="s">
        <v>125</v>
      </c>
      <c r="AV880" s="55">
        <f>AW880+AX880</f>
        <v>0</v>
      </c>
      <c r="AW880" s="55">
        <f>G880*AO880</f>
        <v>0</v>
      </c>
      <c r="AX880" s="55">
        <f>G880*AP880</f>
        <v>0</v>
      </c>
      <c r="AY880" s="58" t="s">
        <v>1668</v>
      </c>
      <c r="AZ880" s="58" t="s">
        <v>1669</v>
      </c>
      <c r="BA880" s="34" t="s">
        <v>128</v>
      </c>
      <c r="BB880" s="67">
        <v>100014</v>
      </c>
      <c r="BC880" s="55">
        <f>AW880+AX880</f>
        <v>0</v>
      </c>
      <c r="BD880" s="55">
        <f>H880/(100-BE880)*100</f>
        <v>0</v>
      </c>
      <c r="BE880" s="55">
        <v>0</v>
      </c>
      <c r="BF880" s="55">
        <f>K880</f>
        <v>0.2554988</v>
      </c>
      <c r="BH880" s="55">
        <f>G880*AO880</f>
        <v>0</v>
      </c>
      <c r="BI880" s="55">
        <f>G880*AP880</f>
        <v>0</v>
      </c>
      <c r="BJ880" s="55">
        <f>G880*H880</f>
        <v>0</v>
      </c>
      <c r="BK880" s="55"/>
      <c r="BL880" s="55">
        <v>762</v>
      </c>
      <c r="BW880" s="55">
        <v>21</v>
      </c>
    </row>
    <row r="881" spans="1:12" ht="14.4">
      <c r="A881" s="59"/>
      <c r="D881" s="60" t="s">
        <v>1796</v>
      </c>
      <c r="E881" s="60" t="s">
        <v>1797</v>
      </c>
      <c r="G881" s="68">
        <v>8.34</v>
      </c>
      <c r="L881" s="69"/>
    </row>
    <row r="882" spans="1:12" ht="14.4">
      <c r="A882" s="59"/>
      <c r="D882" s="60" t="s">
        <v>1708</v>
      </c>
      <c r="E882" s="60" t="s">
        <v>1798</v>
      </c>
      <c r="G882" s="68">
        <v>2.5</v>
      </c>
      <c r="L882" s="69"/>
    </row>
    <row r="883" spans="1:75" ht="13.5" customHeight="1">
      <c r="A883" s="1" t="s">
        <v>1799</v>
      </c>
      <c r="B883" s="2" t="s">
        <v>116</v>
      </c>
      <c r="C883" s="2" t="s">
        <v>1800</v>
      </c>
      <c r="D883" s="147" t="s">
        <v>1801</v>
      </c>
      <c r="E883" s="148"/>
      <c r="F883" s="2" t="s">
        <v>792</v>
      </c>
      <c r="G883" s="55">
        <f>'Stavební rozpočet-vyplnit'!G883</f>
        <v>2.09</v>
      </c>
      <c r="H883" s="55">
        <f>'Stavební rozpočet-vyplnit'!H883</f>
        <v>0</v>
      </c>
      <c r="I883" s="55">
        <f>G883*H883</f>
        <v>0</v>
      </c>
      <c r="J883" s="55">
        <f>'Stavební rozpočet-vyplnit'!J883</f>
        <v>0.01549</v>
      </c>
      <c r="K883" s="55">
        <f>G883*J883</f>
        <v>0.032374099999999996</v>
      </c>
      <c r="L883" s="57" t="s">
        <v>785</v>
      </c>
      <c r="Z883" s="55">
        <f>IF(AQ883="5",BJ883,0)</f>
        <v>0</v>
      </c>
      <c r="AB883" s="55">
        <f>IF(AQ883="1",BH883,0)</f>
        <v>0</v>
      </c>
      <c r="AC883" s="55">
        <f>IF(AQ883="1",BI883,0)</f>
        <v>0</v>
      </c>
      <c r="AD883" s="55">
        <f>IF(AQ883="7",BH883,0)</f>
        <v>0</v>
      </c>
      <c r="AE883" s="55">
        <f>IF(AQ883="7",BI883,0)</f>
        <v>0</v>
      </c>
      <c r="AF883" s="55">
        <f>IF(AQ883="2",BH883,0)</f>
        <v>0</v>
      </c>
      <c r="AG883" s="55">
        <f>IF(AQ883="2",BI883,0)</f>
        <v>0</v>
      </c>
      <c r="AH883" s="55">
        <f>IF(AQ883="0",BJ883,0)</f>
        <v>0</v>
      </c>
      <c r="AI883" s="34" t="s">
        <v>116</v>
      </c>
      <c r="AJ883" s="55">
        <f>IF(AN883=0,I883,0)</f>
        <v>0</v>
      </c>
      <c r="AK883" s="55">
        <f>IF(AN883=12,I883,0)</f>
        <v>0</v>
      </c>
      <c r="AL883" s="55">
        <f>IF(AN883=21,I883,0)</f>
        <v>0</v>
      </c>
      <c r="AN883" s="55">
        <v>21</v>
      </c>
      <c r="AO883" s="55">
        <f>H883*0.999966658</f>
        <v>0</v>
      </c>
      <c r="AP883" s="55">
        <f>H883*(1-0.999966658)</f>
        <v>0</v>
      </c>
      <c r="AQ883" s="58" t="s">
        <v>125</v>
      </c>
      <c r="AV883" s="55">
        <f>AW883+AX883</f>
        <v>0</v>
      </c>
      <c r="AW883" s="55">
        <f>G883*AO883</f>
        <v>0</v>
      </c>
      <c r="AX883" s="55">
        <f>G883*AP883</f>
        <v>0</v>
      </c>
      <c r="AY883" s="58" t="s">
        <v>1668</v>
      </c>
      <c r="AZ883" s="58" t="s">
        <v>1669</v>
      </c>
      <c r="BA883" s="34" t="s">
        <v>128</v>
      </c>
      <c r="BB883" s="67">
        <v>100014</v>
      </c>
      <c r="BC883" s="55">
        <f>AW883+AX883</f>
        <v>0</v>
      </c>
      <c r="BD883" s="55">
        <f>H883/(100-BE883)*100</f>
        <v>0</v>
      </c>
      <c r="BE883" s="55">
        <v>0</v>
      </c>
      <c r="BF883" s="55">
        <f>K883</f>
        <v>0.032374099999999996</v>
      </c>
      <c r="BH883" s="55">
        <f>G883*AO883</f>
        <v>0</v>
      </c>
      <c r="BI883" s="55">
        <f>G883*AP883</f>
        <v>0</v>
      </c>
      <c r="BJ883" s="55">
        <f>G883*H883</f>
        <v>0</v>
      </c>
      <c r="BK883" s="55"/>
      <c r="BL883" s="55">
        <v>762</v>
      </c>
      <c r="BW883" s="55">
        <v>21</v>
      </c>
    </row>
    <row r="884" spans="1:12" ht="14.4">
      <c r="A884" s="59"/>
      <c r="D884" s="60" t="s">
        <v>1802</v>
      </c>
      <c r="E884" s="60" t="s">
        <v>1803</v>
      </c>
      <c r="G884" s="68">
        <v>1.53</v>
      </c>
      <c r="L884" s="69"/>
    </row>
    <row r="885" spans="1:12" ht="14.4">
      <c r="A885" s="59"/>
      <c r="D885" s="60" t="s">
        <v>1804</v>
      </c>
      <c r="E885" s="60" t="s">
        <v>1805</v>
      </c>
      <c r="G885" s="68">
        <v>0.56</v>
      </c>
      <c r="L885" s="69"/>
    </row>
    <row r="886" spans="1:75" ht="13.5" customHeight="1">
      <c r="A886" s="1" t="s">
        <v>1806</v>
      </c>
      <c r="B886" s="2" t="s">
        <v>116</v>
      </c>
      <c r="C886" s="2" t="s">
        <v>1807</v>
      </c>
      <c r="D886" s="147" t="s">
        <v>1808</v>
      </c>
      <c r="E886" s="148"/>
      <c r="F886" s="2" t="s">
        <v>939</v>
      </c>
      <c r="G886" s="55">
        <f>'Stavební rozpočet-vyplnit'!G886</f>
        <v>9.12</v>
      </c>
      <c r="H886" s="55">
        <f>'Stavební rozpočet-vyplnit'!H886</f>
        <v>0</v>
      </c>
      <c r="I886" s="55">
        <f>G886*H886</f>
        <v>0</v>
      </c>
      <c r="J886" s="55">
        <f>'Stavební rozpočet-vyplnit'!J886</f>
        <v>0</v>
      </c>
      <c r="K886" s="55">
        <f>G886*J886</f>
        <v>0</v>
      </c>
      <c r="L886" s="57" t="s">
        <v>785</v>
      </c>
      <c r="Z886" s="55">
        <f>IF(AQ886="5",BJ886,0)</f>
        <v>0</v>
      </c>
      <c r="AB886" s="55">
        <f>IF(AQ886="1",BH886,0)</f>
        <v>0</v>
      </c>
      <c r="AC886" s="55">
        <f>IF(AQ886="1",BI886,0)</f>
        <v>0</v>
      </c>
      <c r="AD886" s="55">
        <f>IF(AQ886="7",BH886,0)</f>
        <v>0</v>
      </c>
      <c r="AE886" s="55">
        <f>IF(AQ886="7",BI886,0)</f>
        <v>0</v>
      </c>
      <c r="AF886" s="55">
        <f>IF(AQ886="2",BH886,0)</f>
        <v>0</v>
      </c>
      <c r="AG886" s="55">
        <f>IF(AQ886="2",BI886,0)</f>
        <v>0</v>
      </c>
      <c r="AH886" s="55">
        <f>IF(AQ886="0",BJ886,0)</f>
        <v>0</v>
      </c>
      <c r="AI886" s="34" t="s">
        <v>116</v>
      </c>
      <c r="AJ886" s="55">
        <f>IF(AN886=0,I886,0)</f>
        <v>0</v>
      </c>
      <c r="AK886" s="55">
        <f>IF(AN886=12,I886,0)</f>
        <v>0</v>
      </c>
      <c r="AL886" s="55">
        <f>IF(AN886=21,I886,0)</f>
        <v>0</v>
      </c>
      <c r="AN886" s="55">
        <v>21</v>
      </c>
      <c r="AO886" s="55">
        <f>H886*0</f>
        <v>0</v>
      </c>
      <c r="AP886" s="55">
        <f>H886*(1-0)</f>
        <v>0</v>
      </c>
      <c r="AQ886" s="58" t="s">
        <v>139</v>
      </c>
      <c r="AV886" s="55">
        <f>AW886+AX886</f>
        <v>0</v>
      </c>
      <c r="AW886" s="55">
        <f>G886*AO886</f>
        <v>0</v>
      </c>
      <c r="AX886" s="55">
        <f>G886*AP886</f>
        <v>0</v>
      </c>
      <c r="AY886" s="58" t="s">
        <v>1668</v>
      </c>
      <c r="AZ886" s="58" t="s">
        <v>1669</v>
      </c>
      <c r="BA886" s="34" t="s">
        <v>128</v>
      </c>
      <c r="BC886" s="55">
        <f>AW886+AX886</f>
        <v>0</v>
      </c>
      <c r="BD886" s="55">
        <f>H886/(100-BE886)*100</f>
        <v>0</v>
      </c>
      <c r="BE886" s="55">
        <v>0</v>
      </c>
      <c r="BF886" s="55">
        <f>K886</f>
        <v>0</v>
      </c>
      <c r="BH886" s="55">
        <f>G886*AO886</f>
        <v>0</v>
      </c>
      <c r="BI886" s="55">
        <f>G886*AP886</f>
        <v>0</v>
      </c>
      <c r="BJ886" s="55">
        <f>G886*H886</f>
        <v>0</v>
      </c>
      <c r="BK886" s="55"/>
      <c r="BL886" s="55">
        <v>762</v>
      </c>
      <c r="BW886" s="55">
        <v>21</v>
      </c>
    </row>
    <row r="887" spans="1:12" ht="14.4">
      <c r="A887" s="59"/>
      <c r="D887" s="60" t="s">
        <v>1809</v>
      </c>
      <c r="E887" s="60" t="s">
        <v>1306</v>
      </c>
      <c r="G887" s="68">
        <v>9.12</v>
      </c>
      <c r="L887" s="69"/>
    </row>
    <row r="888" spans="1:75" ht="13.5" customHeight="1">
      <c r="A888" s="1" t="s">
        <v>1810</v>
      </c>
      <c r="B888" s="2" t="s">
        <v>116</v>
      </c>
      <c r="C888" s="2" t="s">
        <v>1811</v>
      </c>
      <c r="D888" s="147" t="s">
        <v>1812</v>
      </c>
      <c r="E888" s="148"/>
      <c r="F888" s="2" t="s">
        <v>374</v>
      </c>
      <c r="G888" s="55">
        <f>'Stavební rozpočet-vyplnit'!G888</f>
        <v>150</v>
      </c>
      <c r="H888" s="55">
        <f>'Stavební rozpočet-vyplnit'!H888</f>
        <v>0</v>
      </c>
      <c r="I888" s="55">
        <f>G888*H888</f>
        <v>0</v>
      </c>
      <c r="J888" s="55">
        <f>'Stavební rozpočet-vyplnit'!J888</f>
        <v>0</v>
      </c>
      <c r="K888" s="55">
        <f>G888*J888</f>
        <v>0</v>
      </c>
      <c r="L888" s="57" t="s">
        <v>785</v>
      </c>
      <c r="Z888" s="55">
        <f>IF(AQ888="5",BJ888,0)</f>
        <v>0</v>
      </c>
      <c r="AB888" s="55">
        <f>IF(AQ888="1",BH888,0)</f>
        <v>0</v>
      </c>
      <c r="AC888" s="55">
        <f>IF(AQ888="1",BI888,0)</f>
        <v>0</v>
      </c>
      <c r="AD888" s="55">
        <f>IF(AQ888="7",BH888,0)</f>
        <v>0</v>
      </c>
      <c r="AE888" s="55">
        <f>IF(AQ888="7",BI888,0)</f>
        <v>0</v>
      </c>
      <c r="AF888" s="55">
        <f>IF(AQ888="2",BH888,0)</f>
        <v>0</v>
      </c>
      <c r="AG888" s="55">
        <f>IF(AQ888="2",BI888,0)</f>
        <v>0</v>
      </c>
      <c r="AH888" s="55">
        <f>IF(AQ888="0",BJ888,0)</f>
        <v>0</v>
      </c>
      <c r="AI888" s="34" t="s">
        <v>116</v>
      </c>
      <c r="AJ888" s="55">
        <f>IF(AN888=0,I888,0)</f>
        <v>0</v>
      </c>
      <c r="AK888" s="55">
        <f>IF(AN888=12,I888,0)</f>
        <v>0</v>
      </c>
      <c r="AL888" s="55">
        <f>IF(AN888=21,I888,0)</f>
        <v>0</v>
      </c>
      <c r="AN888" s="55">
        <v>21</v>
      </c>
      <c r="AO888" s="55">
        <f>H888*0</f>
        <v>0</v>
      </c>
      <c r="AP888" s="55">
        <f>H888*(1-0)</f>
        <v>0</v>
      </c>
      <c r="AQ888" s="58" t="s">
        <v>125</v>
      </c>
      <c r="AV888" s="55">
        <f>AW888+AX888</f>
        <v>0</v>
      </c>
      <c r="AW888" s="55">
        <f>G888*AO888</f>
        <v>0</v>
      </c>
      <c r="AX888" s="55">
        <f>G888*AP888</f>
        <v>0</v>
      </c>
      <c r="AY888" s="58" t="s">
        <v>1668</v>
      </c>
      <c r="AZ888" s="58" t="s">
        <v>1669</v>
      </c>
      <c r="BA888" s="34" t="s">
        <v>128</v>
      </c>
      <c r="BC888" s="55">
        <f>AW888+AX888</f>
        <v>0</v>
      </c>
      <c r="BD888" s="55">
        <f>H888/(100-BE888)*100</f>
        <v>0</v>
      </c>
      <c r="BE888" s="55">
        <v>0</v>
      </c>
      <c r="BF888" s="55">
        <f>K888</f>
        <v>0</v>
      </c>
      <c r="BH888" s="55">
        <f>G888*AO888</f>
        <v>0</v>
      </c>
      <c r="BI888" s="55">
        <f>G888*AP888</f>
        <v>0</v>
      </c>
      <c r="BJ888" s="55">
        <f>G888*H888</f>
        <v>0</v>
      </c>
      <c r="BK888" s="55"/>
      <c r="BL888" s="55">
        <v>762</v>
      </c>
      <c r="BW888" s="55">
        <v>21</v>
      </c>
    </row>
    <row r="889" spans="1:12" ht="13.5" customHeight="1">
      <c r="A889" s="59"/>
      <c r="D889" s="218" t="s">
        <v>1813</v>
      </c>
      <c r="E889" s="219"/>
      <c r="F889" s="219"/>
      <c r="G889" s="219"/>
      <c r="H889" s="219"/>
      <c r="I889" s="219"/>
      <c r="J889" s="219"/>
      <c r="K889" s="219"/>
      <c r="L889" s="221"/>
    </row>
    <row r="890" spans="1:12" ht="14.4">
      <c r="A890" s="59"/>
      <c r="D890" s="60" t="s">
        <v>1814</v>
      </c>
      <c r="E890" s="60" t="s">
        <v>4</v>
      </c>
      <c r="G890" s="68">
        <v>150</v>
      </c>
      <c r="L890" s="69"/>
    </row>
    <row r="891" spans="1:75" ht="13.5" customHeight="1">
      <c r="A891" s="61" t="s">
        <v>1815</v>
      </c>
      <c r="B891" s="62" t="s">
        <v>116</v>
      </c>
      <c r="C891" s="62" t="s">
        <v>1816</v>
      </c>
      <c r="D891" s="224" t="s">
        <v>1817</v>
      </c>
      <c r="E891" s="225"/>
      <c r="F891" s="62" t="s">
        <v>374</v>
      </c>
      <c r="G891" s="63">
        <f>'Stavební rozpočet-vyplnit'!G891</f>
        <v>150</v>
      </c>
      <c r="H891" s="63">
        <f>'Stavební rozpočet-vyplnit'!H891</f>
        <v>0</v>
      </c>
      <c r="I891" s="63">
        <f>G891*H891</f>
        <v>0</v>
      </c>
      <c r="J891" s="63">
        <f>'Stavební rozpočet-vyplnit'!J891</f>
        <v>0.00025</v>
      </c>
      <c r="K891" s="63">
        <f>G891*J891</f>
        <v>0.0375</v>
      </c>
      <c r="L891" s="65" t="s">
        <v>785</v>
      </c>
      <c r="Z891" s="55">
        <f>IF(AQ891="5",BJ891,0)</f>
        <v>0</v>
      </c>
      <c r="AB891" s="55">
        <f>IF(AQ891="1",BH891,0)</f>
        <v>0</v>
      </c>
      <c r="AC891" s="55">
        <f>IF(AQ891="1",BI891,0)</f>
        <v>0</v>
      </c>
      <c r="AD891" s="55">
        <f>IF(AQ891="7",BH891,0)</f>
        <v>0</v>
      </c>
      <c r="AE891" s="55">
        <f>IF(AQ891="7",BI891,0)</f>
        <v>0</v>
      </c>
      <c r="AF891" s="55">
        <f>IF(AQ891="2",BH891,0)</f>
        <v>0</v>
      </c>
      <c r="AG891" s="55">
        <f>IF(AQ891="2",BI891,0)</f>
        <v>0</v>
      </c>
      <c r="AH891" s="55">
        <f>IF(AQ891="0",BJ891,0)</f>
        <v>0</v>
      </c>
      <c r="AI891" s="34" t="s">
        <v>116</v>
      </c>
      <c r="AJ891" s="63">
        <f>IF(AN891=0,I891,0)</f>
        <v>0</v>
      </c>
      <c r="AK891" s="63">
        <f>IF(AN891=12,I891,0)</f>
        <v>0</v>
      </c>
      <c r="AL891" s="63">
        <f>IF(AN891=21,I891,0)</f>
        <v>0</v>
      </c>
      <c r="AN891" s="55">
        <v>21</v>
      </c>
      <c r="AO891" s="55">
        <f>H891*1</f>
        <v>0</v>
      </c>
      <c r="AP891" s="55">
        <f>H891*(1-1)</f>
        <v>0</v>
      </c>
      <c r="AQ891" s="66" t="s">
        <v>125</v>
      </c>
      <c r="AV891" s="55">
        <f>AW891+AX891</f>
        <v>0</v>
      </c>
      <c r="AW891" s="55">
        <f>G891*AO891</f>
        <v>0</v>
      </c>
      <c r="AX891" s="55">
        <f>G891*AP891</f>
        <v>0</v>
      </c>
      <c r="AY891" s="58" t="s">
        <v>1668</v>
      </c>
      <c r="AZ891" s="58" t="s">
        <v>1669</v>
      </c>
      <c r="BA891" s="34" t="s">
        <v>128</v>
      </c>
      <c r="BC891" s="55">
        <f>AW891+AX891</f>
        <v>0</v>
      </c>
      <c r="BD891" s="55">
        <f>H891/(100-BE891)*100</f>
        <v>0</v>
      </c>
      <c r="BE891" s="55">
        <v>0</v>
      </c>
      <c r="BF891" s="55">
        <f>K891</f>
        <v>0.0375</v>
      </c>
      <c r="BH891" s="63">
        <f>G891*AO891</f>
        <v>0</v>
      </c>
      <c r="BI891" s="63">
        <f>G891*AP891</f>
        <v>0</v>
      </c>
      <c r="BJ891" s="63">
        <f>G891*H891</f>
        <v>0</v>
      </c>
      <c r="BK891" s="63"/>
      <c r="BL891" s="55">
        <v>762</v>
      </c>
      <c r="BW891" s="55">
        <v>21</v>
      </c>
    </row>
    <row r="892" spans="1:12" ht="14.4">
      <c r="A892" s="59"/>
      <c r="D892" s="60" t="s">
        <v>600</v>
      </c>
      <c r="E892" s="60" t="s">
        <v>4</v>
      </c>
      <c r="G892" s="68">
        <v>150</v>
      </c>
      <c r="L892" s="69"/>
    </row>
    <row r="893" spans="1:75" ht="13.5" customHeight="1">
      <c r="A893" s="1" t="s">
        <v>1818</v>
      </c>
      <c r="B893" s="2" t="s">
        <v>116</v>
      </c>
      <c r="C893" s="2" t="s">
        <v>1819</v>
      </c>
      <c r="D893" s="147" t="s">
        <v>1820</v>
      </c>
      <c r="E893" s="148"/>
      <c r="F893" s="2" t="s">
        <v>374</v>
      </c>
      <c r="G893" s="55">
        <f>'Stavební rozpočet-vyplnit'!G893</f>
        <v>150</v>
      </c>
      <c r="H893" s="55">
        <f>'Stavební rozpočet-vyplnit'!H893</f>
        <v>0</v>
      </c>
      <c r="I893" s="55">
        <f>G893*H893</f>
        <v>0</v>
      </c>
      <c r="J893" s="55">
        <f>'Stavební rozpočet-vyplnit'!J893</f>
        <v>0</v>
      </c>
      <c r="K893" s="55">
        <f>G893*J893</f>
        <v>0</v>
      </c>
      <c r="L893" s="57" t="s">
        <v>785</v>
      </c>
      <c r="Z893" s="55">
        <f>IF(AQ893="5",BJ893,0)</f>
        <v>0</v>
      </c>
      <c r="AB893" s="55">
        <f>IF(AQ893="1",BH893,0)</f>
        <v>0</v>
      </c>
      <c r="AC893" s="55">
        <f>IF(AQ893="1",BI893,0)</f>
        <v>0</v>
      </c>
      <c r="AD893" s="55">
        <f>IF(AQ893="7",BH893,0)</f>
        <v>0</v>
      </c>
      <c r="AE893" s="55">
        <f>IF(AQ893="7",BI893,0)</f>
        <v>0</v>
      </c>
      <c r="AF893" s="55">
        <f>IF(AQ893="2",BH893,0)</f>
        <v>0</v>
      </c>
      <c r="AG893" s="55">
        <f>IF(AQ893="2",BI893,0)</f>
        <v>0</v>
      </c>
      <c r="AH893" s="55">
        <f>IF(AQ893="0",BJ893,0)</f>
        <v>0</v>
      </c>
      <c r="AI893" s="34" t="s">
        <v>116</v>
      </c>
      <c r="AJ893" s="55">
        <f>IF(AN893=0,I893,0)</f>
        <v>0</v>
      </c>
      <c r="AK893" s="55">
        <f>IF(AN893=12,I893,0)</f>
        <v>0</v>
      </c>
      <c r="AL893" s="55">
        <f>IF(AN893=21,I893,0)</f>
        <v>0</v>
      </c>
      <c r="AN893" s="55">
        <v>21</v>
      </c>
      <c r="AO893" s="55">
        <f>H893*0</f>
        <v>0</v>
      </c>
      <c r="AP893" s="55">
        <f>H893*(1-0)</f>
        <v>0</v>
      </c>
      <c r="AQ893" s="58" t="s">
        <v>125</v>
      </c>
      <c r="AV893" s="55">
        <f>AW893+AX893</f>
        <v>0</v>
      </c>
      <c r="AW893" s="55">
        <f>G893*AO893</f>
        <v>0</v>
      </c>
      <c r="AX893" s="55">
        <f>G893*AP893</f>
        <v>0</v>
      </c>
      <c r="AY893" s="58" t="s">
        <v>1668</v>
      </c>
      <c r="AZ893" s="58" t="s">
        <v>1669</v>
      </c>
      <c r="BA893" s="34" t="s">
        <v>128</v>
      </c>
      <c r="BC893" s="55">
        <f>AW893+AX893</f>
        <v>0</v>
      </c>
      <c r="BD893" s="55">
        <f>H893/(100-BE893)*100</f>
        <v>0</v>
      </c>
      <c r="BE893" s="55">
        <v>0</v>
      </c>
      <c r="BF893" s="55">
        <f>K893</f>
        <v>0</v>
      </c>
      <c r="BH893" s="55">
        <f>G893*AO893</f>
        <v>0</v>
      </c>
      <c r="BI893" s="55">
        <f>G893*AP893</f>
        <v>0</v>
      </c>
      <c r="BJ893" s="55">
        <f>G893*H893</f>
        <v>0</v>
      </c>
      <c r="BK893" s="55"/>
      <c r="BL893" s="55">
        <v>762</v>
      </c>
      <c r="BW893" s="55">
        <v>21</v>
      </c>
    </row>
    <row r="894" spans="1:12" ht="14.4">
      <c r="A894" s="59"/>
      <c r="D894" s="60" t="s">
        <v>600</v>
      </c>
      <c r="E894" s="60" t="s">
        <v>4</v>
      </c>
      <c r="G894" s="68">
        <v>150</v>
      </c>
      <c r="L894" s="69"/>
    </row>
    <row r="895" spans="1:75" ht="13.5" customHeight="1">
      <c r="A895" s="61" t="s">
        <v>1821</v>
      </c>
      <c r="B895" s="62" t="s">
        <v>116</v>
      </c>
      <c r="C895" s="62" t="s">
        <v>1822</v>
      </c>
      <c r="D895" s="224" t="s">
        <v>1823</v>
      </c>
      <c r="E895" s="225"/>
      <c r="F895" s="62" t="s">
        <v>374</v>
      </c>
      <c r="G895" s="63">
        <f>'Stavební rozpočet-vyplnit'!G895</f>
        <v>150</v>
      </c>
      <c r="H895" s="63">
        <f>'Stavební rozpočet-vyplnit'!H895</f>
        <v>0</v>
      </c>
      <c r="I895" s="63">
        <f>G895*H895</f>
        <v>0</v>
      </c>
      <c r="J895" s="63">
        <f>'Stavební rozpočet-vyplnit'!J895</f>
        <v>5E-05</v>
      </c>
      <c r="K895" s="63">
        <f>G895*J895</f>
        <v>0.007500000000000001</v>
      </c>
      <c r="L895" s="65" t="s">
        <v>785</v>
      </c>
      <c r="Z895" s="55">
        <f>IF(AQ895="5",BJ895,0)</f>
        <v>0</v>
      </c>
      <c r="AB895" s="55">
        <f>IF(AQ895="1",BH895,0)</f>
        <v>0</v>
      </c>
      <c r="AC895" s="55">
        <f>IF(AQ895="1",BI895,0)</f>
        <v>0</v>
      </c>
      <c r="AD895" s="55">
        <f>IF(AQ895="7",BH895,0)</f>
        <v>0</v>
      </c>
      <c r="AE895" s="55">
        <f>IF(AQ895="7",BI895,0)</f>
        <v>0</v>
      </c>
      <c r="AF895" s="55">
        <f>IF(AQ895="2",BH895,0)</f>
        <v>0</v>
      </c>
      <c r="AG895" s="55">
        <f>IF(AQ895="2",BI895,0)</f>
        <v>0</v>
      </c>
      <c r="AH895" s="55">
        <f>IF(AQ895="0",BJ895,0)</f>
        <v>0</v>
      </c>
      <c r="AI895" s="34" t="s">
        <v>116</v>
      </c>
      <c r="AJ895" s="63">
        <f>IF(AN895=0,I895,0)</f>
        <v>0</v>
      </c>
      <c r="AK895" s="63">
        <f>IF(AN895=12,I895,0)</f>
        <v>0</v>
      </c>
      <c r="AL895" s="63">
        <f>IF(AN895=21,I895,0)</f>
        <v>0</v>
      </c>
      <c r="AN895" s="55">
        <v>21</v>
      </c>
      <c r="AO895" s="55">
        <f>H895*1</f>
        <v>0</v>
      </c>
      <c r="AP895" s="55">
        <f>H895*(1-1)</f>
        <v>0</v>
      </c>
      <c r="AQ895" s="66" t="s">
        <v>125</v>
      </c>
      <c r="AV895" s="55">
        <f>AW895+AX895</f>
        <v>0</v>
      </c>
      <c r="AW895" s="55">
        <f>G895*AO895</f>
        <v>0</v>
      </c>
      <c r="AX895" s="55">
        <f>G895*AP895</f>
        <v>0</v>
      </c>
      <c r="AY895" s="58" t="s">
        <v>1668</v>
      </c>
      <c r="AZ895" s="58" t="s">
        <v>1669</v>
      </c>
      <c r="BA895" s="34" t="s">
        <v>128</v>
      </c>
      <c r="BC895" s="55">
        <f>AW895+AX895</f>
        <v>0</v>
      </c>
      <c r="BD895" s="55">
        <f>H895/(100-BE895)*100</f>
        <v>0</v>
      </c>
      <c r="BE895" s="55">
        <v>0</v>
      </c>
      <c r="BF895" s="55">
        <f>K895</f>
        <v>0.007500000000000001</v>
      </c>
      <c r="BH895" s="63">
        <f>G895*AO895</f>
        <v>0</v>
      </c>
      <c r="BI895" s="63">
        <f>G895*AP895</f>
        <v>0</v>
      </c>
      <c r="BJ895" s="63">
        <f>G895*H895</f>
        <v>0</v>
      </c>
      <c r="BK895" s="63"/>
      <c r="BL895" s="55">
        <v>762</v>
      </c>
      <c r="BW895" s="55">
        <v>21</v>
      </c>
    </row>
    <row r="896" spans="1:12" ht="14.4">
      <c r="A896" s="59"/>
      <c r="D896" s="60" t="s">
        <v>600</v>
      </c>
      <c r="E896" s="60" t="s">
        <v>4</v>
      </c>
      <c r="G896" s="68">
        <v>150</v>
      </c>
      <c r="L896" s="69"/>
    </row>
    <row r="897" spans="1:75" ht="13.5" customHeight="1">
      <c r="A897" s="1" t="s">
        <v>1824</v>
      </c>
      <c r="B897" s="2" t="s">
        <v>116</v>
      </c>
      <c r="C897" s="2" t="s">
        <v>1807</v>
      </c>
      <c r="D897" s="147" t="s">
        <v>1808</v>
      </c>
      <c r="E897" s="148"/>
      <c r="F897" s="2" t="s">
        <v>939</v>
      </c>
      <c r="G897" s="55">
        <f>'Stavební rozpočet-vyplnit'!G897</f>
        <v>11</v>
      </c>
      <c r="H897" s="55">
        <f>'Stavební rozpočet-vyplnit'!H897</f>
        <v>0</v>
      </c>
      <c r="I897" s="55">
        <f>G897*H897</f>
        <v>0</v>
      </c>
      <c r="J897" s="55">
        <f>'Stavební rozpočet-vyplnit'!J897</f>
        <v>0</v>
      </c>
      <c r="K897" s="55">
        <f>G897*J897</f>
        <v>0</v>
      </c>
      <c r="L897" s="57" t="s">
        <v>785</v>
      </c>
      <c r="Z897" s="55">
        <f>IF(AQ897="5",BJ897,0)</f>
        <v>0</v>
      </c>
      <c r="AB897" s="55">
        <f>IF(AQ897="1",BH897,0)</f>
        <v>0</v>
      </c>
      <c r="AC897" s="55">
        <f>IF(AQ897="1",BI897,0)</f>
        <v>0</v>
      </c>
      <c r="AD897" s="55">
        <f>IF(AQ897="7",BH897,0)</f>
        <v>0</v>
      </c>
      <c r="AE897" s="55">
        <f>IF(AQ897="7",BI897,0)</f>
        <v>0</v>
      </c>
      <c r="AF897" s="55">
        <f>IF(AQ897="2",BH897,0)</f>
        <v>0</v>
      </c>
      <c r="AG897" s="55">
        <f>IF(AQ897="2",BI897,0)</f>
        <v>0</v>
      </c>
      <c r="AH897" s="55">
        <f>IF(AQ897="0",BJ897,0)</f>
        <v>0</v>
      </c>
      <c r="AI897" s="34" t="s">
        <v>116</v>
      </c>
      <c r="AJ897" s="55">
        <f>IF(AN897=0,I897,0)</f>
        <v>0</v>
      </c>
      <c r="AK897" s="55">
        <f>IF(AN897=12,I897,0)</f>
        <v>0</v>
      </c>
      <c r="AL897" s="55">
        <f>IF(AN897=21,I897,0)</f>
        <v>0</v>
      </c>
      <c r="AN897" s="55">
        <v>21</v>
      </c>
      <c r="AO897" s="55">
        <f>H897*0</f>
        <v>0</v>
      </c>
      <c r="AP897" s="55">
        <f>H897*(1-0)</f>
        <v>0</v>
      </c>
      <c r="AQ897" s="58" t="s">
        <v>139</v>
      </c>
      <c r="AV897" s="55">
        <f>AW897+AX897</f>
        <v>0</v>
      </c>
      <c r="AW897" s="55">
        <f>G897*AO897</f>
        <v>0</v>
      </c>
      <c r="AX897" s="55">
        <f>G897*AP897</f>
        <v>0</v>
      </c>
      <c r="AY897" s="58" t="s">
        <v>1668</v>
      </c>
      <c r="AZ897" s="58" t="s">
        <v>1669</v>
      </c>
      <c r="BA897" s="34" t="s">
        <v>128</v>
      </c>
      <c r="BC897" s="55">
        <f>AW897+AX897</f>
        <v>0</v>
      </c>
      <c r="BD897" s="55">
        <f>H897/(100-BE897)*100</f>
        <v>0</v>
      </c>
      <c r="BE897" s="55">
        <v>0</v>
      </c>
      <c r="BF897" s="55">
        <f>K897</f>
        <v>0</v>
      </c>
      <c r="BH897" s="55">
        <f>G897*AO897</f>
        <v>0</v>
      </c>
      <c r="BI897" s="55">
        <f>G897*AP897</f>
        <v>0</v>
      </c>
      <c r="BJ897" s="55">
        <f>G897*H897</f>
        <v>0</v>
      </c>
      <c r="BK897" s="55"/>
      <c r="BL897" s="55">
        <v>762</v>
      </c>
      <c r="BW897" s="55">
        <v>21</v>
      </c>
    </row>
    <row r="898" spans="1:12" ht="14.4">
      <c r="A898" s="59"/>
      <c r="D898" s="60" t="s">
        <v>1825</v>
      </c>
      <c r="E898" s="60" t="s">
        <v>4</v>
      </c>
      <c r="G898" s="68">
        <v>11</v>
      </c>
      <c r="L898" s="69"/>
    </row>
    <row r="899" spans="1:47" ht="14.4">
      <c r="A899" s="50" t="s">
        <v>4</v>
      </c>
      <c r="B899" s="51" t="s">
        <v>116</v>
      </c>
      <c r="C899" s="51" t="s">
        <v>1826</v>
      </c>
      <c r="D899" s="222" t="s">
        <v>1827</v>
      </c>
      <c r="E899" s="223"/>
      <c r="F899" s="52" t="s">
        <v>79</v>
      </c>
      <c r="G899" s="52" t="s">
        <v>79</v>
      </c>
      <c r="H899" s="52" t="s">
        <v>79</v>
      </c>
      <c r="I899" s="27">
        <f>SUM(I900:I924)</f>
        <v>0</v>
      </c>
      <c r="J899" s="34" t="s">
        <v>4</v>
      </c>
      <c r="K899" s="27">
        <f>SUM(K900:K924)</f>
        <v>17.8905136</v>
      </c>
      <c r="L899" s="54" t="s">
        <v>4</v>
      </c>
      <c r="AI899" s="34" t="s">
        <v>116</v>
      </c>
      <c r="AS899" s="27">
        <f>SUM(AJ900:AJ924)</f>
        <v>0</v>
      </c>
      <c r="AT899" s="27">
        <f>SUM(AK900:AK924)</f>
        <v>0</v>
      </c>
      <c r="AU899" s="27">
        <f>SUM(AL900:AL924)</f>
        <v>0</v>
      </c>
    </row>
    <row r="900" spans="1:75" ht="13.5" customHeight="1">
      <c r="A900" s="1" t="s">
        <v>1828</v>
      </c>
      <c r="B900" s="2" t="s">
        <v>116</v>
      </c>
      <c r="C900" s="2" t="s">
        <v>1829</v>
      </c>
      <c r="D900" s="147" t="s">
        <v>1830</v>
      </c>
      <c r="E900" s="148"/>
      <c r="F900" s="2" t="s">
        <v>174</v>
      </c>
      <c r="G900" s="55">
        <f>'Stavební rozpočet-vyplnit'!G900</f>
        <v>1226.56</v>
      </c>
      <c r="H900" s="55">
        <f>'Stavební rozpočet-vyplnit'!H900</f>
        <v>0</v>
      </c>
      <c r="I900" s="55">
        <f>G900*H900</f>
        <v>0</v>
      </c>
      <c r="J900" s="55">
        <f>'Stavební rozpočet-vyplnit'!J900</f>
        <v>5E-05</v>
      </c>
      <c r="K900" s="55">
        <f>G900*J900</f>
        <v>0.061328</v>
      </c>
      <c r="L900" s="57" t="s">
        <v>785</v>
      </c>
      <c r="Z900" s="55">
        <f>IF(AQ900="5",BJ900,0)</f>
        <v>0</v>
      </c>
      <c r="AB900" s="55">
        <f>IF(AQ900="1",BH900,0)</f>
        <v>0</v>
      </c>
      <c r="AC900" s="55">
        <f>IF(AQ900="1",BI900,0)</f>
        <v>0</v>
      </c>
      <c r="AD900" s="55">
        <f>IF(AQ900="7",BH900,0)</f>
        <v>0</v>
      </c>
      <c r="AE900" s="55">
        <f>IF(AQ900="7",BI900,0)</f>
        <v>0</v>
      </c>
      <c r="AF900" s="55">
        <f>IF(AQ900="2",BH900,0)</f>
        <v>0</v>
      </c>
      <c r="AG900" s="55">
        <f>IF(AQ900="2",BI900,0)</f>
        <v>0</v>
      </c>
      <c r="AH900" s="55">
        <f>IF(AQ900="0",BJ900,0)</f>
        <v>0</v>
      </c>
      <c r="AI900" s="34" t="s">
        <v>116</v>
      </c>
      <c r="AJ900" s="55">
        <f>IF(AN900=0,I900,0)</f>
        <v>0</v>
      </c>
      <c r="AK900" s="55">
        <f>IF(AN900=12,I900,0)</f>
        <v>0</v>
      </c>
      <c r="AL900" s="55">
        <f>IF(AN900=21,I900,0)</f>
        <v>0</v>
      </c>
      <c r="AN900" s="55">
        <v>21</v>
      </c>
      <c r="AO900" s="55">
        <f>H900*0.087058813</f>
        <v>0</v>
      </c>
      <c r="AP900" s="55">
        <f>H900*(1-0.087058813)</f>
        <v>0</v>
      </c>
      <c r="AQ900" s="58" t="s">
        <v>125</v>
      </c>
      <c r="AV900" s="55">
        <f>AW900+AX900</f>
        <v>0</v>
      </c>
      <c r="AW900" s="55">
        <f>G900*AO900</f>
        <v>0</v>
      </c>
      <c r="AX900" s="55">
        <f>G900*AP900</f>
        <v>0</v>
      </c>
      <c r="AY900" s="58" t="s">
        <v>1831</v>
      </c>
      <c r="AZ900" s="58" t="s">
        <v>1669</v>
      </c>
      <c r="BA900" s="34" t="s">
        <v>128</v>
      </c>
      <c r="BB900" s="67">
        <v>100028</v>
      </c>
      <c r="BC900" s="55">
        <f>AW900+AX900</f>
        <v>0</v>
      </c>
      <c r="BD900" s="55">
        <f>H900/(100-BE900)*100</f>
        <v>0</v>
      </c>
      <c r="BE900" s="55">
        <v>0</v>
      </c>
      <c r="BF900" s="55">
        <f>K900</f>
        <v>0.061328</v>
      </c>
      <c r="BH900" s="55">
        <f>G900*AO900</f>
        <v>0</v>
      </c>
      <c r="BI900" s="55">
        <f>G900*AP900</f>
        <v>0</v>
      </c>
      <c r="BJ900" s="55">
        <f>G900*H900</f>
        <v>0</v>
      </c>
      <c r="BK900" s="55"/>
      <c r="BL900" s="55">
        <v>763</v>
      </c>
      <c r="BW900" s="55">
        <v>21</v>
      </c>
    </row>
    <row r="901" spans="1:12" ht="13.5" customHeight="1">
      <c r="A901" s="59"/>
      <c r="D901" s="218" t="s">
        <v>1832</v>
      </c>
      <c r="E901" s="219"/>
      <c r="F901" s="219"/>
      <c r="G901" s="219"/>
      <c r="H901" s="219"/>
      <c r="I901" s="219"/>
      <c r="J901" s="219"/>
      <c r="K901" s="219"/>
      <c r="L901" s="221"/>
    </row>
    <row r="902" spans="1:12" ht="14.4">
      <c r="A902" s="59"/>
      <c r="D902" s="60" t="s">
        <v>1833</v>
      </c>
      <c r="E902" s="60" t="s">
        <v>1834</v>
      </c>
      <c r="G902" s="68">
        <v>1122.56</v>
      </c>
      <c r="L902" s="69"/>
    </row>
    <row r="903" spans="1:12" ht="14.4">
      <c r="A903" s="59"/>
      <c r="D903" s="60" t="s">
        <v>1835</v>
      </c>
      <c r="E903" s="60" t="s">
        <v>1836</v>
      </c>
      <c r="G903" s="68">
        <v>104</v>
      </c>
      <c r="L903" s="69"/>
    </row>
    <row r="904" spans="1:75" ht="13.5" customHeight="1">
      <c r="A904" s="61" t="s">
        <v>1837</v>
      </c>
      <c r="B904" s="62" t="s">
        <v>116</v>
      </c>
      <c r="C904" s="62" t="s">
        <v>1838</v>
      </c>
      <c r="D904" s="224" t="s">
        <v>1839</v>
      </c>
      <c r="E904" s="225"/>
      <c r="F904" s="62" t="s">
        <v>792</v>
      </c>
      <c r="G904" s="63">
        <f>'Stavební rozpočet-vyplnit'!G904</f>
        <v>3.77</v>
      </c>
      <c r="H904" s="63">
        <f>'Stavební rozpočet-vyplnit'!H904</f>
        <v>0</v>
      </c>
      <c r="I904" s="63">
        <f>G904*H904</f>
        <v>0</v>
      </c>
      <c r="J904" s="63">
        <f>'Stavební rozpočet-vyplnit'!J904</f>
        <v>0.55</v>
      </c>
      <c r="K904" s="63">
        <f>G904*J904</f>
        <v>2.0735</v>
      </c>
      <c r="L904" s="65" t="s">
        <v>785</v>
      </c>
      <c r="Z904" s="55">
        <f>IF(AQ904="5",BJ904,0)</f>
        <v>0</v>
      </c>
      <c r="AB904" s="55">
        <f>IF(AQ904="1",BH904,0)</f>
        <v>0</v>
      </c>
      <c r="AC904" s="55">
        <f>IF(AQ904="1",BI904,0)</f>
        <v>0</v>
      </c>
      <c r="AD904" s="55">
        <f>IF(AQ904="7",BH904,0)</f>
        <v>0</v>
      </c>
      <c r="AE904" s="55">
        <f>IF(AQ904="7",BI904,0)</f>
        <v>0</v>
      </c>
      <c r="AF904" s="55">
        <f>IF(AQ904="2",BH904,0)</f>
        <v>0</v>
      </c>
      <c r="AG904" s="55">
        <f>IF(AQ904="2",BI904,0)</f>
        <v>0</v>
      </c>
      <c r="AH904" s="55">
        <f>IF(AQ904="0",BJ904,0)</f>
        <v>0</v>
      </c>
      <c r="AI904" s="34" t="s">
        <v>116</v>
      </c>
      <c r="AJ904" s="63">
        <f>IF(AN904=0,I904,0)</f>
        <v>0</v>
      </c>
      <c r="AK904" s="63">
        <f>IF(AN904=12,I904,0)</f>
        <v>0</v>
      </c>
      <c r="AL904" s="63">
        <f>IF(AN904=21,I904,0)</f>
        <v>0</v>
      </c>
      <c r="AN904" s="55">
        <v>21</v>
      </c>
      <c r="AO904" s="55">
        <f>H904*1</f>
        <v>0</v>
      </c>
      <c r="AP904" s="55">
        <f>H904*(1-1)</f>
        <v>0</v>
      </c>
      <c r="AQ904" s="66" t="s">
        <v>125</v>
      </c>
      <c r="AV904" s="55">
        <f>AW904+AX904</f>
        <v>0</v>
      </c>
      <c r="AW904" s="55">
        <f>G904*AO904</f>
        <v>0</v>
      </c>
      <c r="AX904" s="55">
        <f>G904*AP904</f>
        <v>0</v>
      </c>
      <c r="AY904" s="58" t="s">
        <v>1831</v>
      </c>
      <c r="AZ904" s="58" t="s">
        <v>1669</v>
      </c>
      <c r="BA904" s="34" t="s">
        <v>128</v>
      </c>
      <c r="BC904" s="55">
        <f>AW904+AX904</f>
        <v>0</v>
      </c>
      <c r="BD904" s="55">
        <f>H904/(100-BE904)*100</f>
        <v>0</v>
      </c>
      <c r="BE904" s="55">
        <v>0</v>
      </c>
      <c r="BF904" s="55">
        <f>K904</f>
        <v>2.0735</v>
      </c>
      <c r="BH904" s="63">
        <f>G904*AO904</f>
        <v>0</v>
      </c>
      <c r="BI904" s="63">
        <f>G904*AP904</f>
        <v>0</v>
      </c>
      <c r="BJ904" s="63">
        <f>G904*H904</f>
        <v>0</v>
      </c>
      <c r="BK904" s="63"/>
      <c r="BL904" s="55">
        <v>763</v>
      </c>
      <c r="BW904" s="55">
        <v>21</v>
      </c>
    </row>
    <row r="905" spans="1:12" ht="14.4">
      <c r="A905" s="59"/>
      <c r="D905" s="60" t="s">
        <v>1840</v>
      </c>
      <c r="E905" s="60" t="s">
        <v>4</v>
      </c>
      <c r="G905" s="68">
        <v>3.59</v>
      </c>
      <c r="L905" s="69"/>
    </row>
    <row r="906" spans="1:12" ht="14.4">
      <c r="A906" s="59"/>
      <c r="D906" s="60" t="s">
        <v>1841</v>
      </c>
      <c r="E906" s="60" t="s">
        <v>4</v>
      </c>
      <c r="G906" s="68">
        <v>0.18</v>
      </c>
      <c r="L906" s="69"/>
    </row>
    <row r="907" spans="1:75" ht="13.5" customHeight="1">
      <c r="A907" s="61" t="s">
        <v>1842</v>
      </c>
      <c r="B907" s="62" t="s">
        <v>116</v>
      </c>
      <c r="C907" s="62" t="s">
        <v>1838</v>
      </c>
      <c r="D907" s="224" t="s">
        <v>1843</v>
      </c>
      <c r="E907" s="225"/>
      <c r="F907" s="62" t="s">
        <v>792</v>
      </c>
      <c r="G907" s="63">
        <f>'Stavební rozpočet-vyplnit'!G907</f>
        <v>0.5</v>
      </c>
      <c r="H907" s="63">
        <f>'Stavební rozpočet-vyplnit'!H907</f>
        <v>0</v>
      </c>
      <c r="I907" s="63">
        <f>G907*H907</f>
        <v>0</v>
      </c>
      <c r="J907" s="63">
        <f>'Stavební rozpočet-vyplnit'!J907</f>
        <v>0.55</v>
      </c>
      <c r="K907" s="63">
        <f>G907*J907</f>
        <v>0.275</v>
      </c>
      <c r="L907" s="65" t="s">
        <v>785</v>
      </c>
      <c r="Z907" s="55">
        <f>IF(AQ907="5",BJ907,0)</f>
        <v>0</v>
      </c>
      <c r="AB907" s="55">
        <f>IF(AQ907="1",BH907,0)</f>
        <v>0</v>
      </c>
      <c r="AC907" s="55">
        <f>IF(AQ907="1",BI907,0)</f>
        <v>0</v>
      </c>
      <c r="AD907" s="55">
        <f>IF(AQ907="7",BH907,0)</f>
        <v>0</v>
      </c>
      <c r="AE907" s="55">
        <f>IF(AQ907="7",BI907,0)</f>
        <v>0</v>
      </c>
      <c r="AF907" s="55">
        <f>IF(AQ907="2",BH907,0)</f>
        <v>0</v>
      </c>
      <c r="AG907" s="55">
        <f>IF(AQ907="2",BI907,0)</f>
        <v>0</v>
      </c>
      <c r="AH907" s="55">
        <f>IF(AQ907="0",BJ907,0)</f>
        <v>0</v>
      </c>
      <c r="AI907" s="34" t="s">
        <v>116</v>
      </c>
      <c r="AJ907" s="63">
        <f>IF(AN907=0,I907,0)</f>
        <v>0</v>
      </c>
      <c r="AK907" s="63">
        <f>IF(AN907=12,I907,0)</f>
        <v>0</v>
      </c>
      <c r="AL907" s="63">
        <f>IF(AN907=21,I907,0)</f>
        <v>0</v>
      </c>
      <c r="AN907" s="55">
        <v>21</v>
      </c>
      <c r="AO907" s="55">
        <f>H907*1</f>
        <v>0</v>
      </c>
      <c r="AP907" s="55">
        <f>H907*(1-1)</f>
        <v>0</v>
      </c>
      <c r="AQ907" s="66" t="s">
        <v>125</v>
      </c>
      <c r="AV907" s="55">
        <f>AW907+AX907</f>
        <v>0</v>
      </c>
      <c r="AW907" s="55">
        <f>G907*AO907</f>
        <v>0</v>
      </c>
      <c r="AX907" s="55">
        <f>G907*AP907</f>
        <v>0</v>
      </c>
      <c r="AY907" s="58" t="s">
        <v>1831</v>
      </c>
      <c r="AZ907" s="58" t="s">
        <v>1669</v>
      </c>
      <c r="BA907" s="34" t="s">
        <v>128</v>
      </c>
      <c r="BC907" s="55">
        <f>AW907+AX907</f>
        <v>0</v>
      </c>
      <c r="BD907" s="55">
        <f>H907/(100-BE907)*100</f>
        <v>0</v>
      </c>
      <c r="BE907" s="55">
        <v>0</v>
      </c>
      <c r="BF907" s="55">
        <f>K907</f>
        <v>0.275</v>
      </c>
      <c r="BH907" s="63">
        <f>G907*AO907</f>
        <v>0</v>
      </c>
      <c r="BI907" s="63">
        <f>G907*AP907</f>
        <v>0</v>
      </c>
      <c r="BJ907" s="63">
        <f>G907*H907</f>
        <v>0</v>
      </c>
      <c r="BK907" s="63"/>
      <c r="BL907" s="55">
        <v>763</v>
      </c>
      <c r="BW907" s="55">
        <v>21</v>
      </c>
    </row>
    <row r="908" spans="1:12" ht="14.4">
      <c r="A908" s="59"/>
      <c r="D908" s="60" t="s">
        <v>1844</v>
      </c>
      <c r="E908" s="60" t="s">
        <v>4</v>
      </c>
      <c r="G908" s="68">
        <v>0.5</v>
      </c>
      <c r="L908" s="69"/>
    </row>
    <row r="909" spans="1:75" ht="13.5" customHeight="1">
      <c r="A909" s="1" t="s">
        <v>1845</v>
      </c>
      <c r="B909" s="2" t="s">
        <v>116</v>
      </c>
      <c r="C909" s="2" t="s">
        <v>1846</v>
      </c>
      <c r="D909" s="147" t="s">
        <v>1847</v>
      </c>
      <c r="E909" s="148"/>
      <c r="F909" s="2" t="s">
        <v>729</v>
      </c>
      <c r="G909" s="55">
        <f>'Stavební rozpočet-vyplnit'!G909</f>
        <v>49.5</v>
      </c>
      <c r="H909" s="55">
        <f>'Stavební rozpočet-vyplnit'!H909</f>
        <v>0</v>
      </c>
      <c r="I909" s="55">
        <f>G909*H909</f>
        <v>0</v>
      </c>
      <c r="J909" s="55">
        <f>'Stavební rozpočet-vyplnit'!J909</f>
        <v>0.00073</v>
      </c>
      <c r="K909" s="55">
        <f>G909*J909</f>
        <v>0.036135</v>
      </c>
      <c r="L909" s="57" t="s">
        <v>785</v>
      </c>
      <c r="Z909" s="55">
        <f>IF(AQ909="5",BJ909,0)</f>
        <v>0</v>
      </c>
      <c r="AB909" s="55">
        <f>IF(AQ909="1",BH909,0)</f>
        <v>0</v>
      </c>
      <c r="AC909" s="55">
        <f>IF(AQ909="1",BI909,0)</f>
        <v>0</v>
      </c>
      <c r="AD909" s="55">
        <f>IF(AQ909="7",BH909,0)</f>
        <v>0</v>
      </c>
      <c r="AE909" s="55">
        <f>IF(AQ909="7",BI909,0)</f>
        <v>0</v>
      </c>
      <c r="AF909" s="55">
        <f>IF(AQ909="2",BH909,0)</f>
        <v>0</v>
      </c>
      <c r="AG909" s="55">
        <f>IF(AQ909="2",BI909,0)</f>
        <v>0</v>
      </c>
      <c r="AH909" s="55">
        <f>IF(AQ909="0",BJ909,0)</f>
        <v>0</v>
      </c>
      <c r="AI909" s="34" t="s">
        <v>116</v>
      </c>
      <c r="AJ909" s="55">
        <f>IF(AN909=0,I909,0)</f>
        <v>0</v>
      </c>
      <c r="AK909" s="55">
        <f>IF(AN909=12,I909,0)</f>
        <v>0</v>
      </c>
      <c r="AL909" s="55">
        <f>IF(AN909=21,I909,0)</f>
        <v>0</v>
      </c>
      <c r="AN909" s="55">
        <v>21</v>
      </c>
      <c r="AO909" s="55">
        <f>H909*0.169685921</f>
        <v>0</v>
      </c>
      <c r="AP909" s="55">
        <f>H909*(1-0.169685921)</f>
        <v>0</v>
      </c>
      <c r="AQ909" s="58" t="s">
        <v>125</v>
      </c>
      <c r="AV909" s="55">
        <f>AW909+AX909</f>
        <v>0</v>
      </c>
      <c r="AW909" s="55">
        <f>G909*AO909</f>
        <v>0</v>
      </c>
      <c r="AX909" s="55">
        <f>G909*AP909</f>
        <v>0</v>
      </c>
      <c r="AY909" s="58" t="s">
        <v>1831</v>
      </c>
      <c r="AZ909" s="58" t="s">
        <v>1669</v>
      </c>
      <c r="BA909" s="34" t="s">
        <v>128</v>
      </c>
      <c r="BB909" s="67">
        <v>100028</v>
      </c>
      <c r="BC909" s="55">
        <f>AW909+AX909</f>
        <v>0</v>
      </c>
      <c r="BD909" s="55">
        <f>H909/(100-BE909)*100</f>
        <v>0</v>
      </c>
      <c r="BE909" s="55">
        <v>0</v>
      </c>
      <c r="BF909" s="55">
        <f>K909</f>
        <v>0.036135</v>
      </c>
      <c r="BH909" s="55">
        <f>G909*AO909</f>
        <v>0</v>
      </c>
      <c r="BI909" s="55">
        <f>G909*AP909</f>
        <v>0</v>
      </c>
      <c r="BJ909" s="55">
        <f>G909*H909</f>
        <v>0</v>
      </c>
      <c r="BK909" s="55"/>
      <c r="BL909" s="55">
        <v>763</v>
      </c>
      <c r="BW909" s="55">
        <v>21</v>
      </c>
    </row>
    <row r="910" spans="1:12" ht="13.5" customHeight="1">
      <c r="A910" s="59"/>
      <c r="D910" s="218" t="s">
        <v>1848</v>
      </c>
      <c r="E910" s="219"/>
      <c r="F910" s="219"/>
      <c r="G910" s="219"/>
      <c r="H910" s="219"/>
      <c r="I910" s="219"/>
      <c r="J910" s="219"/>
      <c r="K910" s="219"/>
      <c r="L910" s="221"/>
    </row>
    <row r="911" spans="1:12" ht="14.4">
      <c r="A911" s="59"/>
      <c r="D911" s="60" t="s">
        <v>1207</v>
      </c>
      <c r="E911" s="60" t="s">
        <v>816</v>
      </c>
      <c r="G911" s="68">
        <v>49.5</v>
      </c>
      <c r="L911" s="69"/>
    </row>
    <row r="912" spans="1:75" ht="13.5" customHeight="1">
      <c r="A912" s="61" t="s">
        <v>1849</v>
      </c>
      <c r="B912" s="62" t="s">
        <v>116</v>
      </c>
      <c r="C912" s="62" t="s">
        <v>1850</v>
      </c>
      <c r="D912" s="224" t="s">
        <v>1851</v>
      </c>
      <c r="E912" s="225"/>
      <c r="F912" s="62" t="s">
        <v>729</v>
      </c>
      <c r="G912" s="63">
        <f>'Stavební rozpočet-vyplnit'!G912</f>
        <v>54.45</v>
      </c>
      <c r="H912" s="63">
        <f>'Stavební rozpočet-vyplnit'!H912</f>
        <v>0</v>
      </c>
      <c r="I912" s="63">
        <f>G912*H912</f>
        <v>0</v>
      </c>
      <c r="J912" s="63">
        <f>'Stavební rozpočet-vyplnit'!J912</f>
        <v>0.015</v>
      </c>
      <c r="K912" s="63">
        <f>G912*J912</f>
        <v>0.81675</v>
      </c>
      <c r="L912" s="65" t="s">
        <v>785</v>
      </c>
      <c r="Z912" s="55">
        <f>IF(AQ912="5",BJ912,0)</f>
        <v>0</v>
      </c>
      <c r="AB912" s="55">
        <f>IF(AQ912="1",BH912,0)</f>
        <v>0</v>
      </c>
      <c r="AC912" s="55">
        <f>IF(AQ912="1",BI912,0)</f>
        <v>0</v>
      </c>
      <c r="AD912" s="55">
        <f>IF(AQ912="7",BH912,0)</f>
        <v>0</v>
      </c>
      <c r="AE912" s="55">
        <f>IF(AQ912="7",BI912,0)</f>
        <v>0</v>
      </c>
      <c r="AF912" s="55">
        <f>IF(AQ912="2",BH912,0)</f>
        <v>0</v>
      </c>
      <c r="AG912" s="55">
        <f>IF(AQ912="2",BI912,0)</f>
        <v>0</v>
      </c>
      <c r="AH912" s="55">
        <f>IF(AQ912="0",BJ912,0)</f>
        <v>0</v>
      </c>
      <c r="AI912" s="34" t="s">
        <v>116</v>
      </c>
      <c r="AJ912" s="63">
        <f>IF(AN912=0,I912,0)</f>
        <v>0</v>
      </c>
      <c r="AK912" s="63">
        <f>IF(AN912=12,I912,0)</f>
        <v>0</v>
      </c>
      <c r="AL912" s="63">
        <f>IF(AN912=21,I912,0)</f>
        <v>0</v>
      </c>
      <c r="AN912" s="55">
        <v>21</v>
      </c>
      <c r="AO912" s="55">
        <f>H912*1</f>
        <v>0</v>
      </c>
      <c r="AP912" s="55">
        <f>H912*(1-1)</f>
        <v>0</v>
      </c>
      <c r="AQ912" s="66" t="s">
        <v>125</v>
      </c>
      <c r="AV912" s="55">
        <f>AW912+AX912</f>
        <v>0</v>
      </c>
      <c r="AW912" s="55">
        <f>G912*AO912</f>
        <v>0</v>
      </c>
      <c r="AX912" s="55">
        <f>G912*AP912</f>
        <v>0</v>
      </c>
      <c r="AY912" s="58" t="s">
        <v>1831</v>
      </c>
      <c r="AZ912" s="58" t="s">
        <v>1669</v>
      </c>
      <c r="BA912" s="34" t="s">
        <v>128</v>
      </c>
      <c r="BC912" s="55">
        <f>AW912+AX912</f>
        <v>0</v>
      </c>
      <c r="BD912" s="55">
        <f>H912/(100-BE912)*100</f>
        <v>0</v>
      </c>
      <c r="BE912" s="55">
        <v>0</v>
      </c>
      <c r="BF912" s="55">
        <f>K912</f>
        <v>0.81675</v>
      </c>
      <c r="BH912" s="63">
        <f>G912*AO912</f>
        <v>0</v>
      </c>
      <c r="BI912" s="63">
        <f>G912*AP912</f>
        <v>0</v>
      </c>
      <c r="BJ912" s="63">
        <f>G912*H912</f>
        <v>0</v>
      </c>
      <c r="BK912" s="63"/>
      <c r="BL912" s="55">
        <v>763</v>
      </c>
      <c r="BW912" s="55">
        <v>21</v>
      </c>
    </row>
    <row r="913" spans="1:12" ht="14.4">
      <c r="A913" s="59"/>
      <c r="D913" s="60" t="s">
        <v>1207</v>
      </c>
      <c r="E913" s="60" t="s">
        <v>4</v>
      </c>
      <c r="G913" s="68">
        <v>49.5</v>
      </c>
      <c r="L913" s="69"/>
    </row>
    <row r="914" spans="1:12" ht="14.4">
      <c r="A914" s="59"/>
      <c r="D914" s="60" t="s">
        <v>1852</v>
      </c>
      <c r="E914" s="60" t="s">
        <v>4</v>
      </c>
      <c r="G914" s="68">
        <v>4.95</v>
      </c>
      <c r="L914" s="69"/>
    </row>
    <row r="915" spans="1:75" ht="13.5" customHeight="1">
      <c r="A915" s="1" t="s">
        <v>1853</v>
      </c>
      <c r="B915" s="2" t="s">
        <v>116</v>
      </c>
      <c r="C915" s="2" t="s">
        <v>1854</v>
      </c>
      <c r="D915" s="147" t="s">
        <v>1855</v>
      </c>
      <c r="E915" s="148"/>
      <c r="F915" s="2" t="s">
        <v>729</v>
      </c>
      <c r="G915" s="55">
        <f>'Stavební rozpočet-vyplnit'!G915</f>
        <v>350.8</v>
      </c>
      <c r="H915" s="55">
        <f>'Stavební rozpočet-vyplnit'!H915</f>
        <v>0</v>
      </c>
      <c r="I915" s="55">
        <f>G915*H915</f>
        <v>0</v>
      </c>
      <c r="J915" s="55">
        <f>'Stavební rozpočet-vyplnit'!J915</f>
        <v>8E-05</v>
      </c>
      <c r="K915" s="55">
        <f>G915*J915</f>
        <v>0.028064000000000002</v>
      </c>
      <c r="L915" s="57" t="s">
        <v>785</v>
      </c>
      <c r="Z915" s="55">
        <f>IF(AQ915="5",BJ915,0)</f>
        <v>0</v>
      </c>
      <c r="AB915" s="55">
        <f>IF(AQ915="1",BH915,0)</f>
        <v>0</v>
      </c>
      <c r="AC915" s="55">
        <f>IF(AQ915="1",BI915,0)</f>
        <v>0</v>
      </c>
      <c r="AD915" s="55">
        <f>IF(AQ915="7",BH915,0)</f>
        <v>0</v>
      </c>
      <c r="AE915" s="55">
        <f>IF(AQ915="7",BI915,0)</f>
        <v>0</v>
      </c>
      <c r="AF915" s="55">
        <f>IF(AQ915="2",BH915,0)</f>
        <v>0</v>
      </c>
      <c r="AG915" s="55">
        <f>IF(AQ915="2",BI915,0)</f>
        <v>0</v>
      </c>
      <c r="AH915" s="55">
        <f>IF(AQ915="0",BJ915,0)</f>
        <v>0</v>
      </c>
      <c r="AI915" s="34" t="s">
        <v>116</v>
      </c>
      <c r="AJ915" s="55">
        <f>IF(AN915=0,I915,0)</f>
        <v>0</v>
      </c>
      <c r="AK915" s="55">
        <f>IF(AN915=12,I915,0)</f>
        <v>0</v>
      </c>
      <c r="AL915" s="55">
        <f>IF(AN915=21,I915,0)</f>
        <v>0</v>
      </c>
      <c r="AN915" s="55">
        <v>21</v>
      </c>
      <c r="AO915" s="55">
        <f>H915*0.118798799</f>
        <v>0</v>
      </c>
      <c r="AP915" s="55">
        <f>H915*(1-0.118798799)</f>
        <v>0</v>
      </c>
      <c r="AQ915" s="58" t="s">
        <v>125</v>
      </c>
      <c r="AV915" s="55">
        <f>AW915+AX915</f>
        <v>0</v>
      </c>
      <c r="AW915" s="55">
        <f>G915*AO915</f>
        <v>0</v>
      </c>
      <c r="AX915" s="55">
        <f>G915*AP915</f>
        <v>0</v>
      </c>
      <c r="AY915" s="58" t="s">
        <v>1831</v>
      </c>
      <c r="AZ915" s="58" t="s">
        <v>1669</v>
      </c>
      <c r="BA915" s="34" t="s">
        <v>128</v>
      </c>
      <c r="BB915" s="67">
        <v>100028</v>
      </c>
      <c r="BC915" s="55">
        <f>AW915+AX915</f>
        <v>0</v>
      </c>
      <c r="BD915" s="55">
        <f>H915/(100-BE915)*100</f>
        <v>0</v>
      </c>
      <c r="BE915" s="55">
        <v>0</v>
      </c>
      <c r="BF915" s="55">
        <f>K915</f>
        <v>0.028064000000000002</v>
      </c>
      <c r="BH915" s="55">
        <f>G915*AO915</f>
        <v>0</v>
      </c>
      <c r="BI915" s="55">
        <f>G915*AP915</f>
        <v>0</v>
      </c>
      <c r="BJ915" s="55">
        <f>G915*H915</f>
        <v>0</v>
      </c>
      <c r="BK915" s="55"/>
      <c r="BL915" s="55">
        <v>763</v>
      </c>
      <c r="BW915" s="55">
        <v>21</v>
      </c>
    </row>
    <row r="916" spans="1:12" ht="13.5" customHeight="1">
      <c r="A916" s="59"/>
      <c r="D916" s="218" t="s">
        <v>1848</v>
      </c>
      <c r="E916" s="219"/>
      <c r="F916" s="219"/>
      <c r="G916" s="219"/>
      <c r="H916" s="219"/>
      <c r="I916" s="219"/>
      <c r="J916" s="219"/>
      <c r="K916" s="219"/>
      <c r="L916" s="221"/>
    </row>
    <row r="917" spans="1:12" ht="14.4">
      <c r="A917" s="59"/>
      <c r="D917" s="60" t="s">
        <v>1856</v>
      </c>
      <c r="E917" s="60" t="s">
        <v>869</v>
      </c>
      <c r="G917" s="68">
        <v>350.8</v>
      </c>
      <c r="L917" s="69"/>
    </row>
    <row r="918" spans="1:75" ht="13.5" customHeight="1">
      <c r="A918" s="61" t="s">
        <v>1857</v>
      </c>
      <c r="B918" s="62" t="s">
        <v>116</v>
      </c>
      <c r="C918" s="62" t="s">
        <v>1858</v>
      </c>
      <c r="D918" s="224" t="s">
        <v>1859</v>
      </c>
      <c r="E918" s="225"/>
      <c r="F918" s="62" t="s">
        <v>729</v>
      </c>
      <c r="G918" s="63">
        <f>'Stavební rozpočet-vyplnit'!G918</f>
        <v>368.34</v>
      </c>
      <c r="H918" s="63">
        <f>'Stavební rozpočet-vyplnit'!H918</f>
        <v>0</v>
      </c>
      <c r="I918" s="63">
        <f>G918*H918</f>
        <v>0</v>
      </c>
      <c r="J918" s="63">
        <f>'Stavební rozpočet-vyplnit'!J918</f>
        <v>0.0392</v>
      </c>
      <c r="K918" s="63">
        <f>G918*J918</f>
        <v>14.438927999999999</v>
      </c>
      <c r="L918" s="65" t="s">
        <v>785</v>
      </c>
      <c r="Z918" s="55">
        <f>IF(AQ918="5",BJ918,0)</f>
        <v>0</v>
      </c>
      <c r="AB918" s="55">
        <f>IF(AQ918="1",BH918,0)</f>
        <v>0</v>
      </c>
      <c r="AC918" s="55">
        <f>IF(AQ918="1",BI918,0)</f>
        <v>0</v>
      </c>
      <c r="AD918" s="55">
        <f>IF(AQ918="7",BH918,0)</f>
        <v>0</v>
      </c>
      <c r="AE918" s="55">
        <f>IF(AQ918="7",BI918,0)</f>
        <v>0</v>
      </c>
      <c r="AF918" s="55">
        <f>IF(AQ918="2",BH918,0)</f>
        <v>0</v>
      </c>
      <c r="AG918" s="55">
        <f>IF(AQ918="2",BI918,0)</f>
        <v>0</v>
      </c>
      <c r="AH918" s="55">
        <f>IF(AQ918="0",BJ918,0)</f>
        <v>0</v>
      </c>
      <c r="AI918" s="34" t="s">
        <v>116</v>
      </c>
      <c r="AJ918" s="63">
        <f>IF(AN918=0,I918,0)</f>
        <v>0</v>
      </c>
      <c r="AK918" s="63">
        <f>IF(AN918=12,I918,0)</f>
        <v>0</v>
      </c>
      <c r="AL918" s="63">
        <f>IF(AN918=21,I918,0)</f>
        <v>0</v>
      </c>
      <c r="AN918" s="55">
        <v>21</v>
      </c>
      <c r="AO918" s="55">
        <f>H918*1</f>
        <v>0</v>
      </c>
      <c r="AP918" s="55">
        <f>H918*(1-1)</f>
        <v>0</v>
      </c>
      <c r="AQ918" s="66" t="s">
        <v>125</v>
      </c>
      <c r="AV918" s="55">
        <f>AW918+AX918</f>
        <v>0</v>
      </c>
      <c r="AW918" s="55">
        <f>G918*AO918</f>
        <v>0</v>
      </c>
      <c r="AX918" s="55">
        <f>G918*AP918</f>
        <v>0</v>
      </c>
      <c r="AY918" s="58" t="s">
        <v>1831</v>
      </c>
      <c r="AZ918" s="58" t="s">
        <v>1669</v>
      </c>
      <c r="BA918" s="34" t="s">
        <v>128</v>
      </c>
      <c r="BC918" s="55">
        <f>AW918+AX918</f>
        <v>0</v>
      </c>
      <c r="BD918" s="55">
        <f>H918/(100-BE918)*100</f>
        <v>0</v>
      </c>
      <c r="BE918" s="55">
        <v>0</v>
      </c>
      <c r="BF918" s="55">
        <f>K918</f>
        <v>14.438927999999999</v>
      </c>
      <c r="BH918" s="63">
        <f>G918*AO918</f>
        <v>0</v>
      </c>
      <c r="BI918" s="63">
        <f>G918*AP918</f>
        <v>0</v>
      </c>
      <c r="BJ918" s="63">
        <f>G918*H918</f>
        <v>0</v>
      </c>
      <c r="BK918" s="63"/>
      <c r="BL918" s="55">
        <v>763</v>
      </c>
      <c r="BW918" s="55">
        <v>21</v>
      </c>
    </row>
    <row r="919" spans="1:12" ht="14.4">
      <c r="A919" s="59"/>
      <c r="D919" s="60" t="s">
        <v>1856</v>
      </c>
      <c r="E919" s="60" t="s">
        <v>4</v>
      </c>
      <c r="G919" s="68">
        <v>350.8</v>
      </c>
      <c r="L919" s="69"/>
    </row>
    <row r="920" spans="1:12" ht="14.4">
      <c r="A920" s="59"/>
      <c r="D920" s="60" t="s">
        <v>1860</v>
      </c>
      <c r="E920" s="60" t="s">
        <v>4</v>
      </c>
      <c r="G920" s="68">
        <v>17.54</v>
      </c>
      <c r="L920" s="69"/>
    </row>
    <row r="921" spans="1:75" ht="27" customHeight="1">
      <c r="A921" s="1" t="s">
        <v>1861</v>
      </c>
      <c r="B921" s="2" t="s">
        <v>116</v>
      </c>
      <c r="C921" s="2" t="s">
        <v>1862</v>
      </c>
      <c r="D921" s="147" t="s">
        <v>1863</v>
      </c>
      <c r="E921" s="148"/>
      <c r="F921" s="2" t="s">
        <v>729</v>
      </c>
      <c r="G921" s="55">
        <f>'Stavební rozpočet-vyplnit'!G921</f>
        <v>3.79</v>
      </c>
      <c r="H921" s="55">
        <f>'Stavební rozpočet-vyplnit'!H921</f>
        <v>0</v>
      </c>
      <c r="I921" s="55">
        <f>G921*H921</f>
        <v>0</v>
      </c>
      <c r="J921" s="55">
        <f>'Stavební rozpočet-vyplnit'!J921</f>
        <v>0.00074</v>
      </c>
      <c r="K921" s="55">
        <f>G921*J921</f>
        <v>0.0028046</v>
      </c>
      <c r="L921" s="57" t="s">
        <v>785</v>
      </c>
      <c r="Z921" s="55">
        <f>IF(AQ921="5",BJ921,0)</f>
        <v>0</v>
      </c>
      <c r="AB921" s="55">
        <f>IF(AQ921="1",BH921,0)</f>
        <v>0</v>
      </c>
      <c r="AC921" s="55">
        <f>IF(AQ921="1",BI921,0)</f>
        <v>0</v>
      </c>
      <c r="AD921" s="55">
        <f>IF(AQ921="7",BH921,0)</f>
        <v>0</v>
      </c>
      <c r="AE921" s="55">
        <f>IF(AQ921="7",BI921,0)</f>
        <v>0</v>
      </c>
      <c r="AF921" s="55">
        <f>IF(AQ921="2",BH921,0)</f>
        <v>0</v>
      </c>
      <c r="AG921" s="55">
        <f>IF(AQ921="2",BI921,0)</f>
        <v>0</v>
      </c>
      <c r="AH921" s="55">
        <f>IF(AQ921="0",BJ921,0)</f>
        <v>0</v>
      </c>
      <c r="AI921" s="34" t="s">
        <v>116</v>
      </c>
      <c r="AJ921" s="55">
        <f>IF(AN921=0,I921,0)</f>
        <v>0</v>
      </c>
      <c r="AK921" s="55">
        <f>IF(AN921=12,I921,0)</f>
        <v>0</v>
      </c>
      <c r="AL921" s="55">
        <f>IF(AN921=21,I921,0)</f>
        <v>0</v>
      </c>
      <c r="AN921" s="55">
        <v>21</v>
      </c>
      <c r="AO921" s="55">
        <f>H921*0.184771956</f>
        <v>0</v>
      </c>
      <c r="AP921" s="55">
        <f>H921*(1-0.184771956)</f>
        <v>0</v>
      </c>
      <c r="AQ921" s="58" t="s">
        <v>125</v>
      </c>
      <c r="AV921" s="55">
        <f>AW921+AX921</f>
        <v>0</v>
      </c>
      <c r="AW921" s="55">
        <f>G921*AO921</f>
        <v>0</v>
      </c>
      <c r="AX921" s="55">
        <f>G921*AP921</f>
        <v>0</v>
      </c>
      <c r="AY921" s="58" t="s">
        <v>1831</v>
      </c>
      <c r="AZ921" s="58" t="s">
        <v>1669</v>
      </c>
      <c r="BA921" s="34" t="s">
        <v>128</v>
      </c>
      <c r="BB921" s="67">
        <v>100028</v>
      </c>
      <c r="BC921" s="55">
        <f>AW921+AX921</f>
        <v>0</v>
      </c>
      <c r="BD921" s="55">
        <f>H921/(100-BE921)*100</f>
        <v>0</v>
      </c>
      <c r="BE921" s="55">
        <v>0</v>
      </c>
      <c r="BF921" s="55">
        <f>K921</f>
        <v>0.0028046</v>
      </c>
      <c r="BH921" s="55">
        <f>G921*AO921</f>
        <v>0</v>
      </c>
      <c r="BI921" s="55">
        <f>G921*AP921</f>
        <v>0</v>
      </c>
      <c r="BJ921" s="55">
        <f>G921*H921</f>
        <v>0</v>
      </c>
      <c r="BK921" s="55"/>
      <c r="BL921" s="55">
        <v>763</v>
      </c>
      <c r="BW921" s="55">
        <v>21</v>
      </c>
    </row>
    <row r="922" spans="1:12" ht="13.5" customHeight="1">
      <c r="A922" s="59"/>
      <c r="D922" s="218" t="s">
        <v>1848</v>
      </c>
      <c r="E922" s="219"/>
      <c r="F922" s="219"/>
      <c r="G922" s="219"/>
      <c r="H922" s="219"/>
      <c r="I922" s="219"/>
      <c r="J922" s="219"/>
      <c r="K922" s="219"/>
      <c r="L922" s="221"/>
    </row>
    <row r="923" spans="1:12" ht="14.4">
      <c r="A923" s="59"/>
      <c r="D923" s="60" t="s">
        <v>1864</v>
      </c>
      <c r="E923" s="60" t="s">
        <v>4</v>
      </c>
      <c r="G923" s="68">
        <v>3.79</v>
      </c>
      <c r="L923" s="69"/>
    </row>
    <row r="924" spans="1:75" ht="13.5" customHeight="1">
      <c r="A924" s="61" t="s">
        <v>1865</v>
      </c>
      <c r="B924" s="62" t="s">
        <v>116</v>
      </c>
      <c r="C924" s="62" t="s">
        <v>1866</v>
      </c>
      <c r="D924" s="224" t="s">
        <v>1867</v>
      </c>
      <c r="E924" s="225"/>
      <c r="F924" s="62" t="s">
        <v>729</v>
      </c>
      <c r="G924" s="63">
        <f>'Stavební rozpočet-vyplnit'!G924</f>
        <v>4.18</v>
      </c>
      <c r="H924" s="63">
        <f>'Stavební rozpočet-vyplnit'!H924</f>
        <v>0</v>
      </c>
      <c r="I924" s="63">
        <f>G924*H924</f>
        <v>0</v>
      </c>
      <c r="J924" s="63">
        <f>'Stavební rozpočet-vyplnit'!J924</f>
        <v>0.0378</v>
      </c>
      <c r="K924" s="63">
        <f>G924*J924</f>
        <v>0.15800399999999998</v>
      </c>
      <c r="L924" s="65" t="s">
        <v>785</v>
      </c>
      <c r="Z924" s="55">
        <f>IF(AQ924="5",BJ924,0)</f>
        <v>0</v>
      </c>
      <c r="AB924" s="55">
        <f>IF(AQ924="1",BH924,0)</f>
        <v>0</v>
      </c>
      <c r="AC924" s="55">
        <f>IF(AQ924="1",BI924,0)</f>
        <v>0</v>
      </c>
      <c r="AD924" s="55">
        <f>IF(AQ924="7",BH924,0)</f>
        <v>0</v>
      </c>
      <c r="AE924" s="55">
        <f>IF(AQ924="7",BI924,0)</f>
        <v>0</v>
      </c>
      <c r="AF924" s="55">
        <f>IF(AQ924="2",BH924,0)</f>
        <v>0</v>
      </c>
      <c r="AG924" s="55">
        <f>IF(AQ924="2",BI924,0)</f>
        <v>0</v>
      </c>
      <c r="AH924" s="55">
        <f>IF(AQ924="0",BJ924,0)</f>
        <v>0</v>
      </c>
      <c r="AI924" s="34" t="s">
        <v>116</v>
      </c>
      <c r="AJ924" s="63">
        <f>IF(AN924=0,I924,0)</f>
        <v>0</v>
      </c>
      <c r="AK924" s="63">
        <f>IF(AN924=12,I924,0)</f>
        <v>0</v>
      </c>
      <c r="AL924" s="63">
        <f>IF(AN924=21,I924,0)</f>
        <v>0</v>
      </c>
      <c r="AN924" s="55">
        <v>21</v>
      </c>
      <c r="AO924" s="55">
        <f>H924*1</f>
        <v>0</v>
      </c>
      <c r="AP924" s="55">
        <f>H924*(1-1)</f>
        <v>0</v>
      </c>
      <c r="AQ924" s="66" t="s">
        <v>125</v>
      </c>
      <c r="AV924" s="55">
        <f>AW924+AX924</f>
        <v>0</v>
      </c>
      <c r="AW924" s="55">
        <f>G924*AO924</f>
        <v>0</v>
      </c>
      <c r="AX924" s="55">
        <f>G924*AP924</f>
        <v>0</v>
      </c>
      <c r="AY924" s="58" t="s">
        <v>1831</v>
      </c>
      <c r="AZ924" s="58" t="s">
        <v>1669</v>
      </c>
      <c r="BA924" s="34" t="s">
        <v>128</v>
      </c>
      <c r="BC924" s="55">
        <f>AW924+AX924</f>
        <v>0</v>
      </c>
      <c r="BD924" s="55">
        <f>H924/(100-BE924)*100</f>
        <v>0</v>
      </c>
      <c r="BE924" s="55">
        <v>0</v>
      </c>
      <c r="BF924" s="55">
        <f>K924</f>
        <v>0.15800399999999998</v>
      </c>
      <c r="BH924" s="63">
        <f>G924*AO924</f>
        <v>0</v>
      </c>
      <c r="BI924" s="63">
        <f>G924*AP924</f>
        <v>0</v>
      </c>
      <c r="BJ924" s="63">
        <f>G924*H924</f>
        <v>0</v>
      </c>
      <c r="BK924" s="63"/>
      <c r="BL924" s="55">
        <v>763</v>
      </c>
      <c r="BW924" s="55">
        <v>21</v>
      </c>
    </row>
    <row r="925" spans="1:12" ht="14.4">
      <c r="A925" s="59"/>
      <c r="D925" s="60" t="s">
        <v>1868</v>
      </c>
      <c r="E925" s="60" t="s">
        <v>4</v>
      </c>
      <c r="G925" s="68">
        <v>3.8</v>
      </c>
      <c r="L925" s="69"/>
    </row>
    <row r="926" spans="1:12" ht="14.4">
      <c r="A926" s="59"/>
      <c r="D926" s="60" t="s">
        <v>1869</v>
      </c>
      <c r="E926" s="60" t="s">
        <v>4</v>
      </c>
      <c r="G926" s="68">
        <v>0.38</v>
      </c>
      <c r="L926" s="69"/>
    </row>
    <row r="927" spans="1:47" ht="14.4">
      <c r="A927" s="50" t="s">
        <v>4</v>
      </c>
      <c r="B927" s="51" t="s">
        <v>116</v>
      </c>
      <c r="C927" s="51" t="s">
        <v>1870</v>
      </c>
      <c r="D927" s="222" t="s">
        <v>1871</v>
      </c>
      <c r="E927" s="223"/>
      <c r="F927" s="52" t="s">
        <v>79</v>
      </c>
      <c r="G927" s="52" t="s">
        <v>79</v>
      </c>
      <c r="H927" s="52" t="s">
        <v>79</v>
      </c>
      <c r="I927" s="27">
        <f>SUM(I928:I941)</f>
        <v>0</v>
      </c>
      <c r="J927" s="34" t="s">
        <v>4</v>
      </c>
      <c r="K927" s="27">
        <f>SUM(K928:K941)</f>
        <v>1.4604616</v>
      </c>
      <c r="L927" s="54" t="s">
        <v>4</v>
      </c>
      <c r="AI927" s="34" t="s">
        <v>116</v>
      </c>
      <c r="AS927" s="27">
        <f>SUM(AJ928:AJ941)</f>
        <v>0</v>
      </c>
      <c r="AT927" s="27">
        <f>SUM(AK928:AK941)</f>
        <v>0</v>
      </c>
      <c r="AU927" s="27">
        <f>SUM(AL928:AL941)</f>
        <v>0</v>
      </c>
    </row>
    <row r="928" spans="1:75" ht="13.5" customHeight="1">
      <c r="A928" s="1" t="s">
        <v>1872</v>
      </c>
      <c r="B928" s="2" t="s">
        <v>116</v>
      </c>
      <c r="C928" s="2" t="s">
        <v>1873</v>
      </c>
      <c r="D928" s="147" t="s">
        <v>1874</v>
      </c>
      <c r="E928" s="148"/>
      <c r="F928" s="2" t="s">
        <v>174</v>
      </c>
      <c r="G928" s="55">
        <f>'Stavební rozpočet-vyplnit'!G928</f>
        <v>6.4</v>
      </c>
      <c r="H928" s="55">
        <f>'Stavební rozpočet-vyplnit'!H928</f>
        <v>0</v>
      </c>
      <c r="I928" s="55">
        <f>G928*H928</f>
        <v>0</v>
      </c>
      <c r="J928" s="55">
        <f>'Stavební rozpočet-vyplnit'!J928</f>
        <v>0.00096</v>
      </c>
      <c r="K928" s="55">
        <f>G928*J928</f>
        <v>0.006144</v>
      </c>
      <c r="L928" s="57" t="s">
        <v>785</v>
      </c>
      <c r="Z928" s="55">
        <f>IF(AQ928="5",BJ928,0)</f>
        <v>0</v>
      </c>
      <c r="AB928" s="55">
        <f>IF(AQ928="1",BH928,0)</f>
        <v>0</v>
      </c>
      <c r="AC928" s="55">
        <f>IF(AQ928="1",BI928,0)</f>
        <v>0</v>
      </c>
      <c r="AD928" s="55">
        <f>IF(AQ928="7",BH928,0)</f>
        <v>0</v>
      </c>
      <c r="AE928" s="55">
        <f>IF(AQ928="7",BI928,0)</f>
        <v>0</v>
      </c>
      <c r="AF928" s="55">
        <f>IF(AQ928="2",BH928,0)</f>
        <v>0</v>
      </c>
      <c r="AG928" s="55">
        <f>IF(AQ928="2",BI928,0)</f>
        <v>0</v>
      </c>
      <c r="AH928" s="55">
        <f>IF(AQ928="0",BJ928,0)</f>
        <v>0</v>
      </c>
      <c r="AI928" s="34" t="s">
        <v>116</v>
      </c>
      <c r="AJ928" s="55">
        <f>IF(AN928=0,I928,0)</f>
        <v>0</v>
      </c>
      <c r="AK928" s="55">
        <f>IF(AN928=12,I928,0)</f>
        <v>0</v>
      </c>
      <c r="AL928" s="55">
        <f>IF(AN928=21,I928,0)</f>
        <v>0</v>
      </c>
      <c r="AN928" s="55">
        <v>21</v>
      </c>
      <c r="AO928" s="55">
        <f>H928*0.284618768</f>
        <v>0</v>
      </c>
      <c r="AP928" s="55">
        <f>H928*(1-0.284618768)</f>
        <v>0</v>
      </c>
      <c r="AQ928" s="58" t="s">
        <v>125</v>
      </c>
      <c r="AV928" s="55">
        <f>AW928+AX928</f>
        <v>0</v>
      </c>
      <c r="AW928" s="55">
        <f>G928*AO928</f>
        <v>0</v>
      </c>
      <c r="AX928" s="55">
        <f>G928*AP928</f>
        <v>0</v>
      </c>
      <c r="AY928" s="58" t="s">
        <v>1875</v>
      </c>
      <c r="AZ928" s="58" t="s">
        <v>1669</v>
      </c>
      <c r="BA928" s="34" t="s">
        <v>128</v>
      </c>
      <c r="BB928" s="67">
        <v>100011</v>
      </c>
      <c r="BC928" s="55">
        <f>AW928+AX928</f>
        <v>0</v>
      </c>
      <c r="BD928" s="55">
        <f>H928/(100-BE928)*100</f>
        <v>0</v>
      </c>
      <c r="BE928" s="55">
        <v>0</v>
      </c>
      <c r="BF928" s="55">
        <f>K928</f>
        <v>0.006144</v>
      </c>
      <c r="BH928" s="55">
        <f>G928*AO928</f>
        <v>0</v>
      </c>
      <c r="BI928" s="55">
        <f>G928*AP928</f>
        <v>0</v>
      </c>
      <c r="BJ928" s="55">
        <f>G928*H928</f>
        <v>0</v>
      </c>
      <c r="BK928" s="55"/>
      <c r="BL928" s="55">
        <v>764</v>
      </c>
      <c r="BW928" s="55">
        <v>21</v>
      </c>
    </row>
    <row r="929" spans="1:12" ht="14.4">
      <c r="A929" s="59"/>
      <c r="D929" s="60" t="s">
        <v>1876</v>
      </c>
      <c r="E929" s="60" t="s">
        <v>4</v>
      </c>
      <c r="G929" s="68">
        <v>6.4</v>
      </c>
      <c r="L929" s="69"/>
    </row>
    <row r="930" spans="1:75" ht="13.5" customHeight="1">
      <c r="A930" s="1" t="s">
        <v>1877</v>
      </c>
      <c r="B930" s="2" t="s">
        <v>116</v>
      </c>
      <c r="C930" s="2" t="s">
        <v>1878</v>
      </c>
      <c r="D930" s="147" t="s">
        <v>1879</v>
      </c>
      <c r="E930" s="148"/>
      <c r="F930" s="2" t="s">
        <v>174</v>
      </c>
      <c r="G930" s="55">
        <f>'Stavební rozpočet-vyplnit'!G930</f>
        <v>1.8</v>
      </c>
      <c r="H930" s="55">
        <f>'Stavební rozpočet-vyplnit'!H930</f>
        <v>0</v>
      </c>
      <c r="I930" s="55">
        <f>G930*H930</f>
        <v>0</v>
      </c>
      <c r="J930" s="55">
        <f>'Stavební rozpočet-vyplnit'!J930</f>
        <v>0.00124</v>
      </c>
      <c r="K930" s="55">
        <f>G930*J930</f>
        <v>0.002232</v>
      </c>
      <c r="L930" s="57" t="s">
        <v>785</v>
      </c>
      <c r="Z930" s="55">
        <f>IF(AQ930="5",BJ930,0)</f>
        <v>0</v>
      </c>
      <c r="AB930" s="55">
        <f>IF(AQ930="1",BH930,0)</f>
        <v>0</v>
      </c>
      <c r="AC930" s="55">
        <f>IF(AQ930="1",BI930,0)</f>
        <v>0</v>
      </c>
      <c r="AD930" s="55">
        <f>IF(AQ930="7",BH930,0)</f>
        <v>0</v>
      </c>
      <c r="AE930" s="55">
        <f>IF(AQ930="7",BI930,0)</f>
        <v>0</v>
      </c>
      <c r="AF930" s="55">
        <f>IF(AQ930="2",BH930,0)</f>
        <v>0</v>
      </c>
      <c r="AG930" s="55">
        <f>IF(AQ930="2",BI930,0)</f>
        <v>0</v>
      </c>
      <c r="AH930" s="55">
        <f>IF(AQ930="0",BJ930,0)</f>
        <v>0</v>
      </c>
      <c r="AI930" s="34" t="s">
        <v>116</v>
      </c>
      <c r="AJ930" s="55">
        <f>IF(AN930=0,I930,0)</f>
        <v>0</v>
      </c>
      <c r="AK930" s="55">
        <f>IF(AN930=12,I930,0)</f>
        <v>0</v>
      </c>
      <c r="AL930" s="55">
        <f>IF(AN930=21,I930,0)</f>
        <v>0</v>
      </c>
      <c r="AN930" s="55">
        <v>21</v>
      </c>
      <c r="AO930" s="55">
        <f>H930*0.324342105</f>
        <v>0</v>
      </c>
      <c r="AP930" s="55">
        <f>H930*(1-0.324342105)</f>
        <v>0</v>
      </c>
      <c r="AQ930" s="58" t="s">
        <v>125</v>
      </c>
      <c r="AV930" s="55">
        <f>AW930+AX930</f>
        <v>0</v>
      </c>
      <c r="AW930" s="55">
        <f>G930*AO930</f>
        <v>0</v>
      </c>
      <c r="AX930" s="55">
        <f>G930*AP930</f>
        <v>0</v>
      </c>
      <c r="AY930" s="58" t="s">
        <v>1875</v>
      </c>
      <c r="AZ930" s="58" t="s">
        <v>1669</v>
      </c>
      <c r="BA930" s="34" t="s">
        <v>128</v>
      </c>
      <c r="BB930" s="67">
        <v>100011</v>
      </c>
      <c r="BC930" s="55">
        <f>AW930+AX930</f>
        <v>0</v>
      </c>
      <c r="BD930" s="55">
        <f>H930/(100-BE930)*100</f>
        <v>0</v>
      </c>
      <c r="BE930" s="55">
        <v>0</v>
      </c>
      <c r="BF930" s="55">
        <f>K930</f>
        <v>0.002232</v>
      </c>
      <c r="BH930" s="55">
        <f>G930*AO930</f>
        <v>0</v>
      </c>
      <c r="BI930" s="55">
        <f>G930*AP930</f>
        <v>0</v>
      </c>
      <c r="BJ930" s="55">
        <f>G930*H930</f>
        <v>0</v>
      </c>
      <c r="BK930" s="55"/>
      <c r="BL930" s="55">
        <v>764</v>
      </c>
      <c r="BW930" s="55">
        <v>21</v>
      </c>
    </row>
    <row r="931" spans="1:12" ht="14.4">
      <c r="A931" s="59"/>
      <c r="D931" s="60" t="s">
        <v>1880</v>
      </c>
      <c r="E931" s="60" t="s">
        <v>4</v>
      </c>
      <c r="G931" s="68">
        <v>1.8</v>
      </c>
      <c r="L931" s="69"/>
    </row>
    <row r="932" spans="1:75" ht="13.5" customHeight="1">
      <c r="A932" s="1" t="s">
        <v>1881</v>
      </c>
      <c r="B932" s="2" t="s">
        <v>116</v>
      </c>
      <c r="C932" s="2" t="s">
        <v>1882</v>
      </c>
      <c r="D932" s="147" t="s">
        <v>1883</v>
      </c>
      <c r="E932" s="148"/>
      <c r="F932" s="2" t="s">
        <v>729</v>
      </c>
      <c r="G932" s="55">
        <f>'Stavební rozpočet-vyplnit'!G932</f>
        <v>95.2</v>
      </c>
      <c r="H932" s="55">
        <f>'Stavební rozpočet-vyplnit'!H932</f>
        <v>0</v>
      </c>
      <c r="I932" s="55">
        <f>G932*H932</f>
        <v>0</v>
      </c>
      <c r="J932" s="55">
        <f>'Stavební rozpočet-vyplnit'!J932</f>
        <v>0.01313</v>
      </c>
      <c r="K932" s="55">
        <f>G932*J932</f>
        <v>1.249976</v>
      </c>
      <c r="L932" s="57" t="s">
        <v>785</v>
      </c>
      <c r="Z932" s="55">
        <f>IF(AQ932="5",BJ932,0)</f>
        <v>0</v>
      </c>
      <c r="AB932" s="55">
        <f>IF(AQ932="1",BH932,0)</f>
        <v>0</v>
      </c>
      <c r="AC932" s="55">
        <f>IF(AQ932="1",BI932,0)</f>
        <v>0</v>
      </c>
      <c r="AD932" s="55">
        <f>IF(AQ932="7",BH932,0)</f>
        <v>0</v>
      </c>
      <c r="AE932" s="55">
        <f>IF(AQ932="7",BI932,0)</f>
        <v>0</v>
      </c>
      <c r="AF932" s="55">
        <f>IF(AQ932="2",BH932,0)</f>
        <v>0</v>
      </c>
      <c r="AG932" s="55">
        <f>IF(AQ932="2",BI932,0)</f>
        <v>0</v>
      </c>
      <c r="AH932" s="55">
        <f>IF(AQ932="0",BJ932,0)</f>
        <v>0</v>
      </c>
      <c r="AI932" s="34" t="s">
        <v>116</v>
      </c>
      <c r="AJ932" s="55">
        <f>IF(AN932=0,I932,0)</f>
        <v>0</v>
      </c>
      <c r="AK932" s="55">
        <f>IF(AN932=12,I932,0)</f>
        <v>0</v>
      </c>
      <c r="AL932" s="55">
        <f>IF(AN932=21,I932,0)</f>
        <v>0</v>
      </c>
      <c r="AN932" s="55">
        <v>21</v>
      </c>
      <c r="AO932" s="55">
        <f>H932*0.102413793</f>
        <v>0</v>
      </c>
      <c r="AP932" s="55">
        <f>H932*(1-0.102413793)</f>
        <v>0</v>
      </c>
      <c r="AQ932" s="58" t="s">
        <v>125</v>
      </c>
      <c r="AV932" s="55">
        <f>AW932+AX932</f>
        <v>0</v>
      </c>
      <c r="AW932" s="55">
        <f>G932*AO932</f>
        <v>0</v>
      </c>
      <c r="AX932" s="55">
        <f>G932*AP932</f>
        <v>0</v>
      </c>
      <c r="AY932" s="58" t="s">
        <v>1875</v>
      </c>
      <c r="AZ932" s="58" t="s">
        <v>1669</v>
      </c>
      <c r="BA932" s="34" t="s">
        <v>128</v>
      </c>
      <c r="BB932" s="67">
        <v>100011</v>
      </c>
      <c r="BC932" s="55">
        <f>AW932+AX932</f>
        <v>0</v>
      </c>
      <c r="BD932" s="55">
        <f>H932/(100-BE932)*100</f>
        <v>0</v>
      </c>
      <c r="BE932" s="55">
        <v>0</v>
      </c>
      <c r="BF932" s="55">
        <f>K932</f>
        <v>1.249976</v>
      </c>
      <c r="BH932" s="55">
        <f>G932*AO932</f>
        <v>0</v>
      </c>
      <c r="BI932" s="55">
        <f>G932*AP932</f>
        <v>0</v>
      </c>
      <c r="BJ932" s="55">
        <f>G932*H932</f>
        <v>0</v>
      </c>
      <c r="BK932" s="55"/>
      <c r="BL932" s="55">
        <v>764</v>
      </c>
      <c r="BW932" s="55">
        <v>21</v>
      </c>
    </row>
    <row r="933" spans="1:12" ht="13.5" customHeight="1">
      <c r="A933" s="59"/>
      <c r="D933" s="218" t="s">
        <v>1884</v>
      </c>
      <c r="E933" s="219"/>
      <c r="F933" s="219"/>
      <c r="G933" s="219"/>
      <c r="H933" s="219"/>
      <c r="I933" s="219"/>
      <c r="J933" s="219"/>
      <c r="K933" s="219"/>
      <c r="L933" s="221"/>
    </row>
    <row r="934" spans="1:12" ht="14.4">
      <c r="A934" s="59"/>
      <c r="D934" s="60" t="s">
        <v>313</v>
      </c>
      <c r="E934" s="60" t="s">
        <v>1885</v>
      </c>
      <c r="G934" s="68">
        <v>61</v>
      </c>
      <c r="L934" s="69"/>
    </row>
    <row r="935" spans="1:12" ht="14.4">
      <c r="A935" s="59"/>
      <c r="D935" s="60" t="s">
        <v>139</v>
      </c>
      <c r="E935" s="60" t="s">
        <v>1886</v>
      </c>
      <c r="G935" s="68">
        <v>5</v>
      </c>
      <c r="L935" s="69"/>
    </row>
    <row r="936" spans="1:12" ht="14.4">
      <c r="A936" s="59"/>
      <c r="D936" s="60" t="s">
        <v>1887</v>
      </c>
      <c r="E936" s="60" t="s">
        <v>1888</v>
      </c>
      <c r="G936" s="68">
        <v>26.4</v>
      </c>
      <c r="L936" s="69"/>
    </row>
    <row r="937" spans="1:12" ht="14.4">
      <c r="A937" s="59"/>
      <c r="D937" s="60" t="s">
        <v>1889</v>
      </c>
      <c r="E937" s="60" t="s">
        <v>1890</v>
      </c>
      <c r="G937" s="68">
        <v>2.8</v>
      </c>
      <c r="L937" s="69"/>
    </row>
    <row r="938" spans="1:75" ht="13.5" customHeight="1">
      <c r="A938" s="61" t="s">
        <v>1891</v>
      </c>
      <c r="B938" s="62" t="s">
        <v>116</v>
      </c>
      <c r="C938" s="62" t="s">
        <v>1892</v>
      </c>
      <c r="D938" s="224" t="s">
        <v>1893</v>
      </c>
      <c r="E938" s="225"/>
      <c r="F938" s="62" t="s">
        <v>729</v>
      </c>
      <c r="G938" s="63">
        <f>'Stavební rozpočet-vyplnit'!G938</f>
        <v>104.72</v>
      </c>
      <c r="H938" s="63">
        <f>'Stavební rozpočet-vyplnit'!H938</f>
        <v>0</v>
      </c>
      <c r="I938" s="63">
        <f>G938*H938</f>
        <v>0</v>
      </c>
      <c r="J938" s="63">
        <f>'Stavební rozpočet-vyplnit'!J938</f>
        <v>0.00193</v>
      </c>
      <c r="K938" s="63">
        <f>G938*J938</f>
        <v>0.2021096</v>
      </c>
      <c r="L938" s="65" t="s">
        <v>785</v>
      </c>
      <c r="Z938" s="55">
        <f>IF(AQ938="5",BJ938,0)</f>
        <v>0</v>
      </c>
      <c r="AB938" s="55">
        <f>IF(AQ938="1",BH938,0)</f>
        <v>0</v>
      </c>
      <c r="AC938" s="55">
        <f>IF(AQ938="1",BI938,0)</f>
        <v>0</v>
      </c>
      <c r="AD938" s="55">
        <f>IF(AQ938="7",BH938,0)</f>
        <v>0</v>
      </c>
      <c r="AE938" s="55">
        <f>IF(AQ938="7",BI938,0)</f>
        <v>0</v>
      </c>
      <c r="AF938" s="55">
        <f>IF(AQ938="2",BH938,0)</f>
        <v>0</v>
      </c>
      <c r="AG938" s="55">
        <f>IF(AQ938="2",BI938,0)</f>
        <v>0</v>
      </c>
      <c r="AH938" s="55">
        <f>IF(AQ938="0",BJ938,0)</f>
        <v>0</v>
      </c>
      <c r="AI938" s="34" t="s">
        <v>116</v>
      </c>
      <c r="AJ938" s="63">
        <f>IF(AN938=0,I938,0)</f>
        <v>0</v>
      </c>
      <c r="AK938" s="63">
        <f>IF(AN938=12,I938,0)</f>
        <v>0</v>
      </c>
      <c r="AL938" s="63">
        <f>IF(AN938=21,I938,0)</f>
        <v>0</v>
      </c>
      <c r="AN938" s="55">
        <v>21</v>
      </c>
      <c r="AO938" s="55">
        <f>H938*1</f>
        <v>0</v>
      </c>
      <c r="AP938" s="55">
        <f>H938*(1-1)</f>
        <v>0</v>
      </c>
      <c r="AQ938" s="66" t="s">
        <v>125</v>
      </c>
      <c r="AV938" s="55">
        <f>AW938+AX938</f>
        <v>0</v>
      </c>
      <c r="AW938" s="55">
        <f>G938*AO938</f>
        <v>0</v>
      </c>
      <c r="AX938" s="55">
        <f>G938*AP938</f>
        <v>0</v>
      </c>
      <c r="AY938" s="58" t="s">
        <v>1875</v>
      </c>
      <c r="AZ938" s="58" t="s">
        <v>1669</v>
      </c>
      <c r="BA938" s="34" t="s">
        <v>128</v>
      </c>
      <c r="BC938" s="55">
        <f>AW938+AX938</f>
        <v>0</v>
      </c>
      <c r="BD938" s="55">
        <f>H938/(100-BE938)*100</f>
        <v>0</v>
      </c>
      <c r="BE938" s="55">
        <v>0</v>
      </c>
      <c r="BF938" s="55">
        <f>K938</f>
        <v>0.2021096</v>
      </c>
      <c r="BH938" s="63">
        <f>G938*AO938</f>
        <v>0</v>
      </c>
      <c r="BI938" s="63">
        <f>G938*AP938</f>
        <v>0</v>
      </c>
      <c r="BJ938" s="63">
        <f>G938*H938</f>
        <v>0</v>
      </c>
      <c r="BK938" s="63"/>
      <c r="BL938" s="55">
        <v>764</v>
      </c>
      <c r="BW938" s="55">
        <v>21</v>
      </c>
    </row>
    <row r="939" spans="1:12" ht="14.4">
      <c r="A939" s="59"/>
      <c r="D939" s="60" t="s">
        <v>1894</v>
      </c>
      <c r="E939" s="60" t="s">
        <v>4</v>
      </c>
      <c r="G939" s="68">
        <v>95.2</v>
      </c>
      <c r="L939" s="69"/>
    </row>
    <row r="940" spans="1:12" ht="14.4">
      <c r="A940" s="59"/>
      <c r="D940" s="60" t="s">
        <v>1895</v>
      </c>
      <c r="E940" s="60" t="s">
        <v>4</v>
      </c>
      <c r="G940" s="68">
        <v>9.52</v>
      </c>
      <c r="L940" s="69"/>
    </row>
    <row r="941" spans="1:75" ht="13.5" customHeight="1">
      <c r="A941" s="1" t="s">
        <v>1896</v>
      </c>
      <c r="B941" s="2" t="s">
        <v>116</v>
      </c>
      <c r="C941" s="2" t="s">
        <v>1897</v>
      </c>
      <c r="D941" s="147" t="s">
        <v>1898</v>
      </c>
      <c r="E941" s="148"/>
      <c r="F941" s="2" t="s">
        <v>939</v>
      </c>
      <c r="G941" s="55">
        <f>'Stavební rozpočet-vyplnit'!G941</f>
        <v>1.46</v>
      </c>
      <c r="H941" s="55">
        <f>'Stavební rozpočet-vyplnit'!H941</f>
        <v>0</v>
      </c>
      <c r="I941" s="55">
        <f>G941*H941</f>
        <v>0</v>
      </c>
      <c r="J941" s="55">
        <f>'Stavební rozpočet-vyplnit'!J941</f>
        <v>0</v>
      </c>
      <c r="K941" s="55">
        <f>G941*J941</f>
        <v>0</v>
      </c>
      <c r="L941" s="57" t="s">
        <v>785</v>
      </c>
      <c r="Z941" s="55">
        <f>IF(AQ941="5",BJ941,0)</f>
        <v>0</v>
      </c>
      <c r="AB941" s="55">
        <f>IF(AQ941="1",BH941,0)</f>
        <v>0</v>
      </c>
      <c r="AC941" s="55">
        <f>IF(AQ941="1",BI941,0)</f>
        <v>0</v>
      </c>
      <c r="AD941" s="55">
        <f>IF(AQ941="7",BH941,0)</f>
        <v>0</v>
      </c>
      <c r="AE941" s="55">
        <f>IF(AQ941="7",BI941,0)</f>
        <v>0</v>
      </c>
      <c r="AF941" s="55">
        <f>IF(AQ941="2",BH941,0)</f>
        <v>0</v>
      </c>
      <c r="AG941" s="55">
        <f>IF(AQ941="2",BI941,0)</f>
        <v>0</v>
      </c>
      <c r="AH941" s="55">
        <f>IF(AQ941="0",BJ941,0)</f>
        <v>0</v>
      </c>
      <c r="AI941" s="34" t="s">
        <v>116</v>
      </c>
      <c r="AJ941" s="55">
        <f>IF(AN941=0,I941,0)</f>
        <v>0</v>
      </c>
      <c r="AK941" s="55">
        <f>IF(AN941=12,I941,0)</f>
        <v>0</v>
      </c>
      <c r="AL941" s="55">
        <f>IF(AN941=21,I941,0)</f>
        <v>0</v>
      </c>
      <c r="AN941" s="55">
        <v>21</v>
      </c>
      <c r="AO941" s="55">
        <f>H941*0</f>
        <v>0</v>
      </c>
      <c r="AP941" s="55">
        <f>H941*(1-0)</f>
        <v>0</v>
      </c>
      <c r="AQ941" s="58" t="s">
        <v>139</v>
      </c>
      <c r="AV941" s="55">
        <f>AW941+AX941</f>
        <v>0</v>
      </c>
      <c r="AW941" s="55">
        <f>G941*AO941</f>
        <v>0</v>
      </c>
      <c r="AX941" s="55">
        <f>G941*AP941</f>
        <v>0</v>
      </c>
      <c r="AY941" s="58" t="s">
        <v>1875</v>
      </c>
      <c r="AZ941" s="58" t="s">
        <v>1669</v>
      </c>
      <c r="BA941" s="34" t="s">
        <v>128</v>
      </c>
      <c r="BC941" s="55">
        <f>AW941+AX941</f>
        <v>0</v>
      </c>
      <c r="BD941" s="55">
        <f>H941/(100-BE941)*100</f>
        <v>0</v>
      </c>
      <c r="BE941" s="55">
        <v>0</v>
      </c>
      <c r="BF941" s="55">
        <f>K941</f>
        <v>0</v>
      </c>
      <c r="BH941" s="55">
        <f>G941*AO941</f>
        <v>0</v>
      </c>
      <c r="BI941" s="55">
        <f>G941*AP941</f>
        <v>0</v>
      </c>
      <c r="BJ941" s="55">
        <f>G941*H941</f>
        <v>0</v>
      </c>
      <c r="BK941" s="55"/>
      <c r="BL941" s="55">
        <v>764</v>
      </c>
      <c r="BW941" s="55">
        <v>21</v>
      </c>
    </row>
    <row r="942" spans="1:12" ht="14.4">
      <c r="A942" s="59"/>
      <c r="D942" s="60" t="s">
        <v>1899</v>
      </c>
      <c r="E942" s="60" t="s">
        <v>4</v>
      </c>
      <c r="G942" s="68">
        <v>1.46</v>
      </c>
      <c r="L942" s="69"/>
    </row>
    <row r="943" spans="1:47" ht="14.4">
      <c r="A943" s="50" t="s">
        <v>4</v>
      </c>
      <c r="B943" s="51" t="s">
        <v>116</v>
      </c>
      <c r="C943" s="51" t="s">
        <v>1900</v>
      </c>
      <c r="D943" s="222" t="s">
        <v>1901</v>
      </c>
      <c r="E943" s="223"/>
      <c r="F943" s="52" t="s">
        <v>79</v>
      </c>
      <c r="G943" s="52" t="s">
        <v>79</v>
      </c>
      <c r="H943" s="52" t="s">
        <v>79</v>
      </c>
      <c r="I943" s="27">
        <f>SUM(I944:I1048)</f>
        <v>0</v>
      </c>
      <c r="J943" s="34" t="s">
        <v>4</v>
      </c>
      <c r="K943" s="27">
        <f>SUM(K944:K1048)</f>
        <v>2.676819000000001</v>
      </c>
      <c r="L943" s="54" t="s">
        <v>4</v>
      </c>
      <c r="AI943" s="34" t="s">
        <v>116</v>
      </c>
      <c r="AS943" s="27">
        <f>SUM(AJ944:AJ1048)</f>
        <v>0</v>
      </c>
      <c r="AT943" s="27">
        <f>SUM(AK944:AK1048)</f>
        <v>0</v>
      </c>
      <c r="AU943" s="27">
        <f>SUM(AL944:AL1048)</f>
        <v>0</v>
      </c>
    </row>
    <row r="944" spans="1:75" ht="13.5" customHeight="1">
      <c r="A944" s="1" t="s">
        <v>1902</v>
      </c>
      <c r="B944" s="2" t="s">
        <v>116</v>
      </c>
      <c r="C944" s="2" t="s">
        <v>1903</v>
      </c>
      <c r="D944" s="147" t="s">
        <v>1904</v>
      </c>
      <c r="E944" s="148"/>
      <c r="F944" s="2" t="s">
        <v>374</v>
      </c>
      <c r="G944" s="55">
        <f>'Stavební rozpočet-vyplnit'!G944</f>
        <v>1</v>
      </c>
      <c r="H944" s="55">
        <f>'Stavební rozpočet-vyplnit'!H944</f>
        <v>0</v>
      </c>
      <c r="I944" s="55">
        <f>G944*H944</f>
        <v>0</v>
      </c>
      <c r="J944" s="55">
        <f>'Stavební rozpočet-vyplnit'!J944</f>
        <v>0.161</v>
      </c>
      <c r="K944" s="55">
        <f>G944*J944</f>
        <v>0.161</v>
      </c>
      <c r="L944" s="57" t="s">
        <v>124</v>
      </c>
      <c r="Z944" s="55">
        <f>IF(AQ944="5",BJ944,0)</f>
        <v>0</v>
      </c>
      <c r="AB944" s="55">
        <f>IF(AQ944="1",BH944,0)</f>
        <v>0</v>
      </c>
      <c r="AC944" s="55">
        <f>IF(AQ944="1",BI944,0)</f>
        <v>0</v>
      </c>
      <c r="AD944" s="55">
        <f>IF(AQ944="7",BH944,0)</f>
        <v>0</v>
      </c>
      <c r="AE944" s="55">
        <f>IF(AQ944="7",BI944,0)</f>
        <v>0</v>
      </c>
      <c r="AF944" s="55">
        <f>IF(AQ944="2",BH944,0)</f>
        <v>0</v>
      </c>
      <c r="AG944" s="55">
        <f>IF(AQ944="2",BI944,0)</f>
        <v>0</v>
      </c>
      <c r="AH944" s="55">
        <f>IF(AQ944="0",BJ944,0)</f>
        <v>0</v>
      </c>
      <c r="AI944" s="34" t="s">
        <v>116</v>
      </c>
      <c r="AJ944" s="55">
        <f>IF(AN944=0,I944,0)</f>
        <v>0</v>
      </c>
      <c r="AK944" s="55">
        <f>IF(AN944=12,I944,0)</f>
        <v>0</v>
      </c>
      <c r="AL944" s="55">
        <f>IF(AN944=21,I944,0)</f>
        <v>0</v>
      </c>
      <c r="AN944" s="55">
        <v>21</v>
      </c>
      <c r="AO944" s="55">
        <f>H944*0.894117647</f>
        <v>0</v>
      </c>
      <c r="AP944" s="55">
        <f>H944*(1-0.894117647)</f>
        <v>0</v>
      </c>
      <c r="AQ944" s="58" t="s">
        <v>125</v>
      </c>
      <c r="AV944" s="55">
        <f>AW944+AX944</f>
        <v>0</v>
      </c>
      <c r="AW944" s="55">
        <f>G944*AO944</f>
        <v>0</v>
      </c>
      <c r="AX944" s="55">
        <f>G944*AP944</f>
        <v>0</v>
      </c>
      <c r="AY944" s="58" t="s">
        <v>1905</v>
      </c>
      <c r="AZ944" s="58" t="s">
        <v>1669</v>
      </c>
      <c r="BA944" s="34" t="s">
        <v>128</v>
      </c>
      <c r="BB944" s="67">
        <v>100007</v>
      </c>
      <c r="BC944" s="55">
        <f>AW944+AX944</f>
        <v>0</v>
      </c>
      <c r="BD944" s="55">
        <f>H944/(100-BE944)*100</f>
        <v>0</v>
      </c>
      <c r="BE944" s="55">
        <v>0</v>
      </c>
      <c r="BF944" s="55">
        <f>K944</f>
        <v>0.161</v>
      </c>
      <c r="BH944" s="55">
        <f>G944*AO944</f>
        <v>0</v>
      </c>
      <c r="BI944" s="55">
        <f>G944*AP944</f>
        <v>0</v>
      </c>
      <c r="BJ944" s="55">
        <f>G944*H944</f>
        <v>0</v>
      </c>
      <c r="BK944" s="55"/>
      <c r="BL944" s="55">
        <v>766</v>
      </c>
      <c r="BW944" s="55">
        <v>21</v>
      </c>
    </row>
    <row r="945" spans="1:12" ht="13.5" customHeight="1">
      <c r="A945" s="59"/>
      <c r="D945" s="218" t="s">
        <v>1906</v>
      </c>
      <c r="E945" s="219"/>
      <c r="F945" s="219"/>
      <c r="G945" s="219"/>
      <c r="H945" s="219"/>
      <c r="I945" s="219"/>
      <c r="J945" s="219"/>
      <c r="K945" s="219"/>
      <c r="L945" s="221"/>
    </row>
    <row r="946" spans="1:12" ht="14.4">
      <c r="A946" s="59"/>
      <c r="D946" s="60" t="s">
        <v>120</v>
      </c>
      <c r="E946" s="60" t="s">
        <v>4</v>
      </c>
      <c r="G946" s="68">
        <v>1</v>
      </c>
      <c r="L946" s="69"/>
    </row>
    <row r="947" spans="1:75" ht="13.5" customHeight="1">
      <c r="A947" s="1" t="s">
        <v>1907</v>
      </c>
      <c r="B947" s="2" t="s">
        <v>116</v>
      </c>
      <c r="C947" s="2" t="s">
        <v>1908</v>
      </c>
      <c r="D947" s="147" t="s">
        <v>1909</v>
      </c>
      <c r="E947" s="148"/>
      <c r="F947" s="2" t="s">
        <v>174</v>
      </c>
      <c r="G947" s="55">
        <f>'Stavební rozpočet-vyplnit'!G947</f>
        <v>13.3</v>
      </c>
      <c r="H947" s="55">
        <f>'Stavební rozpočet-vyplnit'!H947</f>
        <v>0</v>
      </c>
      <c r="I947" s="55">
        <f>G947*H947</f>
        <v>0</v>
      </c>
      <c r="J947" s="55">
        <f>'Stavební rozpočet-vyplnit'!J947</f>
        <v>3E-05</v>
      </c>
      <c r="K947" s="55">
        <f>G947*J947</f>
        <v>0.00039900000000000005</v>
      </c>
      <c r="L947" s="57" t="s">
        <v>124</v>
      </c>
      <c r="Z947" s="55">
        <f>IF(AQ947="5",BJ947,0)</f>
        <v>0</v>
      </c>
      <c r="AB947" s="55">
        <f>IF(AQ947="1",BH947,0)</f>
        <v>0</v>
      </c>
      <c r="AC947" s="55">
        <f>IF(AQ947="1",BI947,0)</f>
        <v>0</v>
      </c>
      <c r="AD947" s="55">
        <f>IF(AQ947="7",BH947,0)</f>
        <v>0</v>
      </c>
      <c r="AE947" s="55">
        <f>IF(AQ947="7",BI947,0)</f>
        <v>0</v>
      </c>
      <c r="AF947" s="55">
        <f>IF(AQ947="2",BH947,0)</f>
        <v>0</v>
      </c>
      <c r="AG947" s="55">
        <f>IF(AQ947="2",BI947,0)</f>
        <v>0</v>
      </c>
      <c r="AH947" s="55">
        <f>IF(AQ947="0",BJ947,0)</f>
        <v>0</v>
      </c>
      <c r="AI947" s="34" t="s">
        <v>116</v>
      </c>
      <c r="AJ947" s="55">
        <f>IF(AN947=0,I947,0)</f>
        <v>0</v>
      </c>
      <c r="AK947" s="55">
        <f>IF(AN947=12,I947,0)</f>
        <v>0</v>
      </c>
      <c r="AL947" s="55">
        <f>IF(AN947=21,I947,0)</f>
        <v>0</v>
      </c>
      <c r="AN947" s="55">
        <v>21</v>
      </c>
      <c r="AO947" s="55">
        <f>H947*0.032727273</f>
        <v>0</v>
      </c>
      <c r="AP947" s="55">
        <f>H947*(1-0.032727273)</f>
        <v>0</v>
      </c>
      <c r="AQ947" s="58" t="s">
        <v>125</v>
      </c>
      <c r="AV947" s="55">
        <f>AW947+AX947</f>
        <v>0</v>
      </c>
      <c r="AW947" s="55">
        <f>G947*AO947</f>
        <v>0</v>
      </c>
      <c r="AX947" s="55">
        <f>G947*AP947</f>
        <v>0</v>
      </c>
      <c r="AY947" s="58" t="s">
        <v>1905</v>
      </c>
      <c r="AZ947" s="58" t="s">
        <v>1669</v>
      </c>
      <c r="BA947" s="34" t="s">
        <v>128</v>
      </c>
      <c r="BB947" s="67">
        <v>100007</v>
      </c>
      <c r="BC947" s="55">
        <f>AW947+AX947</f>
        <v>0</v>
      </c>
      <c r="BD947" s="55">
        <f>H947/(100-BE947)*100</f>
        <v>0</v>
      </c>
      <c r="BE947" s="55">
        <v>0</v>
      </c>
      <c r="BF947" s="55">
        <f>K947</f>
        <v>0.00039900000000000005</v>
      </c>
      <c r="BH947" s="55">
        <f>G947*AO947</f>
        <v>0</v>
      </c>
      <c r="BI947" s="55">
        <f>G947*AP947</f>
        <v>0</v>
      </c>
      <c r="BJ947" s="55">
        <f>G947*H947</f>
        <v>0</v>
      </c>
      <c r="BK947" s="55"/>
      <c r="BL947" s="55">
        <v>766</v>
      </c>
      <c r="BW947" s="55">
        <v>21</v>
      </c>
    </row>
    <row r="948" spans="1:12" ht="13.5" customHeight="1">
      <c r="A948" s="59"/>
      <c r="D948" s="218" t="s">
        <v>1910</v>
      </c>
      <c r="E948" s="219"/>
      <c r="F948" s="219"/>
      <c r="G948" s="219"/>
      <c r="H948" s="219"/>
      <c r="I948" s="219"/>
      <c r="J948" s="219"/>
      <c r="K948" s="219"/>
      <c r="L948" s="221"/>
    </row>
    <row r="949" spans="1:12" ht="14.4">
      <c r="A949" s="59"/>
      <c r="D949" s="60" t="s">
        <v>1911</v>
      </c>
      <c r="E949" s="60" t="s">
        <v>4</v>
      </c>
      <c r="G949" s="68">
        <v>13.3</v>
      </c>
      <c r="L949" s="69"/>
    </row>
    <row r="950" spans="1:75" ht="13.5" customHeight="1">
      <c r="A950" s="61" t="s">
        <v>1912</v>
      </c>
      <c r="B950" s="62" t="s">
        <v>116</v>
      </c>
      <c r="C950" s="62" t="s">
        <v>1913</v>
      </c>
      <c r="D950" s="224" t="s">
        <v>1914</v>
      </c>
      <c r="E950" s="225"/>
      <c r="F950" s="62" t="s">
        <v>174</v>
      </c>
      <c r="G950" s="63">
        <f>'Stavební rozpočet-vyplnit'!G950</f>
        <v>10</v>
      </c>
      <c r="H950" s="63">
        <f>'Stavební rozpočet-vyplnit'!H950</f>
        <v>0</v>
      </c>
      <c r="I950" s="63">
        <f>G950*H950</f>
        <v>0</v>
      </c>
      <c r="J950" s="63">
        <f>'Stavební rozpočet-vyplnit'!J950</f>
        <v>0.008</v>
      </c>
      <c r="K950" s="63">
        <f>G950*J950</f>
        <v>0.08</v>
      </c>
      <c r="L950" s="65" t="s">
        <v>124</v>
      </c>
      <c r="Z950" s="55">
        <f>IF(AQ950="5",BJ950,0)</f>
        <v>0</v>
      </c>
      <c r="AB950" s="55">
        <f>IF(AQ950="1",BH950,0)</f>
        <v>0</v>
      </c>
      <c r="AC950" s="55">
        <f>IF(AQ950="1",BI950,0)</f>
        <v>0</v>
      </c>
      <c r="AD950" s="55">
        <f>IF(AQ950="7",BH950,0)</f>
        <v>0</v>
      </c>
      <c r="AE950" s="55">
        <f>IF(AQ950="7",BI950,0)</f>
        <v>0</v>
      </c>
      <c r="AF950" s="55">
        <f>IF(AQ950="2",BH950,0)</f>
        <v>0</v>
      </c>
      <c r="AG950" s="55">
        <f>IF(AQ950="2",BI950,0)</f>
        <v>0</v>
      </c>
      <c r="AH950" s="55">
        <f>IF(AQ950="0",BJ950,0)</f>
        <v>0</v>
      </c>
      <c r="AI950" s="34" t="s">
        <v>116</v>
      </c>
      <c r="AJ950" s="63">
        <f>IF(AN950=0,I950,0)</f>
        <v>0</v>
      </c>
      <c r="AK950" s="63">
        <f>IF(AN950=12,I950,0)</f>
        <v>0</v>
      </c>
      <c r="AL950" s="63">
        <f>IF(AN950=21,I950,0)</f>
        <v>0</v>
      </c>
      <c r="AN950" s="55">
        <v>21</v>
      </c>
      <c r="AO950" s="55">
        <f>H950*1</f>
        <v>0</v>
      </c>
      <c r="AP950" s="55">
        <f>H950*(1-1)</f>
        <v>0</v>
      </c>
      <c r="AQ950" s="66" t="s">
        <v>125</v>
      </c>
      <c r="AV950" s="55">
        <f>AW950+AX950</f>
        <v>0</v>
      </c>
      <c r="AW950" s="55">
        <f>G950*AO950</f>
        <v>0</v>
      </c>
      <c r="AX950" s="55">
        <f>G950*AP950</f>
        <v>0</v>
      </c>
      <c r="AY950" s="58" t="s">
        <v>1905</v>
      </c>
      <c r="AZ950" s="58" t="s">
        <v>1669</v>
      </c>
      <c r="BA950" s="34" t="s">
        <v>128</v>
      </c>
      <c r="BC950" s="55">
        <f>AW950+AX950</f>
        <v>0</v>
      </c>
      <c r="BD950" s="55">
        <f>H950/(100-BE950)*100</f>
        <v>0</v>
      </c>
      <c r="BE950" s="55">
        <v>0</v>
      </c>
      <c r="BF950" s="55">
        <f>K950</f>
        <v>0.08</v>
      </c>
      <c r="BH950" s="63">
        <f>G950*AO950</f>
        <v>0</v>
      </c>
      <c r="BI950" s="63">
        <f>G950*AP950</f>
        <v>0</v>
      </c>
      <c r="BJ950" s="63">
        <f>G950*H950</f>
        <v>0</v>
      </c>
      <c r="BK950" s="63"/>
      <c r="BL950" s="55">
        <v>766</v>
      </c>
      <c r="BW950" s="55">
        <v>21</v>
      </c>
    </row>
    <row r="951" spans="1:12" ht="14.4">
      <c r="A951" s="59"/>
      <c r="D951" s="60" t="s">
        <v>1915</v>
      </c>
      <c r="E951" s="60" t="s">
        <v>4</v>
      </c>
      <c r="G951" s="68">
        <v>10</v>
      </c>
      <c r="L951" s="69"/>
    </row>
    <row r="952" spans="1:75" ht="13.5" customHeight="1">
      <c r="A952" s="61" t="s">
        <v>1916</v>
      </c>
      <c r="B952" s="62" t="s">
        <v>116</v>
      </c>
      <c r="C952" s="62" t="s">
        <v>1913</v>
      </c>
      <c r="D952" s="224" t="s">
        <v>1917</v>
      </c>
      <c r="E952" s="225"/>
      <c r="F952" s="62" t="s">
        <v>174</v>
      </c>
      <c r="G952" s="63">
        <f>'Stavební rozpočet-vyplnit'!G952</f>
        <v>3.3</v>
      </c>
      <c r="H952" s="63">
        <f>'Stavební rozpočet-vyplnit'!H952</f>
        <v>0</v>
      </c>
      <c r="I952" s="63">
        <f>G952*H952</f>
        <v>0</v>
      </c>
      <c r="J952" s="63">
        <f>'Stavební rozpočet-vyplnit'!J952</f>
        <v>0.008</v>
      </c>
      <c r="K952" s="63">
        <f>G952*J952</f>
        <v>0.0264</v>
      </c>
      <c r="L952" s="65" t="s">
        <v>124</v>
      </c>
      <c r="Z952" s="55">
        <f>IF(AQ952="5",BJ952,0)</f>
        <v>0</v>
      </c>
      <c r="AB952" s="55">
        <f>IF(AQ952="1",BH952,0)</f>
        <v>0</v>
      </c>
      <c r="AC952" s="55">
        <f>IF(AQ952="1",BI952,0)</f>
        <v>0</v>
      </c>
      <c r="AD952" s="55">
        <f>IF(AQ952="7",BH952,0)</f>
        <v>0</v>
      </c>
      <c r="AE952" s="55">
        <f>IF(AQ952="7",BI952,0)</f>
        <v>0</v>
      </c>
      <c r="AF952" s="55">
        <f>IF(AQ952="2",BH952,0)</f>
        <v>0</v>
      </c>
      <c r="AG952" s="55">
        <f>IF(AQ952="2",BI952,0)</f>
        <v>0</v>
      </c>
      <c r="AH952" s="55">
        <f>IF(AQ952="0",BJ952,0)</f>
        <v>0</v>
      </c>
      <c r="AI952" s="34" t="s">
        <v>116</v>
      </c>
      <c r="AJ952" s="63">
        <f>IF(AN952=0,I952,0)</f>
        <v>0</v>
      </c>
      <c r="AK952" s="63">
        <f>IF(AN952=12,I952,0)</f>
        <v>0</v>
      </c>
      <c r="AL952" s="63">
        <f>IF(AN952=21,I952,0)</f>
        <v>0</v>
      </c>
      <c r="AN952" s="55">
        <v>21</v>
      </c>
      <c r="AO952" s="55">
        <f>H952*1</f>
        <v>0</v>
      </c>
      <c r="AP952" s="55">
        <f>H952*(1-1)</f>
        <v>0</v>
      </c>
      <c r="AQ952" s="66" t="s">
        <v>125</v>
      </c>
      <c r="AV952" s="55">
        <f>AW952+AX952</f>
        <v>0</v>
      </c>
      <c r="AW952" s="55">
        <f>G952*AO952</f>
        <v>0</v>
      </c>
      <c r="AX952" s="55">
        <f>G952*AP952</f>
        <v>0</v>
      </c>
      <c r="AY952" s="58" t="s">
        <v>1905</v>
      </c>
      <c r="AZ952" s="58" t="s">
        <v>1669</v>
      </c>
      <c r="BA952" s="34" t="s">
        <v>128</v>
      </c>
      <c r="BC952" s="55">
        <f>AW952+AX952</f>
        <v>0</v>
      </c>
      <c r="BD952" s="55">
        <f>H952/(100-BE952)*100</f>
        <v>0</v>
      </c>
      <c r="BE952" s="55">
        <v>0</v>
      </c>
      <c r="BF952" s="55">
        <f>K952</f>
        <v>0.0264</v>
      </c>
      <c r="BH952" s="63">
        <f>G952*AO952</f>
        <v>0</v>
      </c>
      <c r="BI952" s="63">
        <f>G952*AP952</f>
        <v>0</v>
      </c>
      <c r="BJ952" s="63">
        <f>G952*H952</f>
        <v>0</v>
      </c>
      <c r="BK952" s="63"/>
      <c r="BL952" s="55">
        <v>766</v>
      </c>
      <c r="BW952" s="55">
        <v>21</v>
      </c>
    </row>
    <row r="953" spans="1:12" ht="14.4">
      <c r="A953" s="59"/>
      <c r="D953" s="60" t="s">
        <v>1918</v>
      </c>
      <c r="E953" s="60" t="s">
        <v>4</v>
      </c>
      <c r="G953" s="68">
        <v>3.3</v>
      </c>
      <c r="L953" s="69"/>
    </row>
    <row r="954" spans="1:75" ht="13.5" customHeight="1">
      <c r="A954" s="1" t="s">
        <v>1919</v>
      </c>
      <c r="B954" s="2" t="s">
        <v>116</v>
      </c>
      <c r="C954" s="2" t="s">
        <v>1920</v>
      </c>
      <c r="D954" s="147" t="s">
        <v>1921</v>
      </c>
      <c r="E954" s="148"/>
      <c r="F954" s="2" t="s">
        <v>374</v>
      </c>
      <c r="G954" s="55">
        <f>'Stavební rozpočet-vyplnit'!G954</f>
        <v>8</v>
      </c>
      <c r="H954" s="55">
        <f>'Stavební rozpočet-vyplnit'!H954</f>
        <v>0</v>
      </c>
      <c r="I954" s="55">
        <f>G954*H954</f>
        <v>0</v>
      </c>
      <c r="J954" s="55">
        <f>'Stavební rozpočet-vyplnit'!J954</f>
        <v>0.04589</v>
      </c>
      <c r="K954" s="55">
        <f>G954*J954</f>
        <v>0.36712</v>
      </c>
      <c r="L954" s="57" t="s">
        <v>124</v>
      </c>
      <c r="Z954" s="55">
        <f>IF(AQ954="5",BJ954,0)</f>
        <v>0</v>
      </c>
      <c r="AB954" s="55">
        <f>IF(AQ954="1",BH954,0)</f>
        <v>0</v>
      </c>
      <c r="AC954" s="55">
        <f>IF(AQ954="1",BI954,0)</f>
        <v>0</v>
      </c>
      <c r="AD954" s="55">
        <f>IF(AQ954="7",BH954,0)</f>
        <v>0</v>
      </c>
      <c r="AE954" s="55">
        <f>IF(AQ954="7",BI954,0)</f>
        <v>0</v>
      </c>
      <c r="AF954" s="55">
        <f>IF(AQ954="2",BH954,0)</f>
        <v>0</v>
      </c>
      <c r="AG954" s="55">
        <f>IF(AQ954="2",BI954,0)</f>
        <v>0</v>
      </c>
      <c r="AH954" s="55">
        <f>IF(AQ954="0",BJ954,0)</f>
        <v>0</v>
      </c>
      <c r="AI954" s="34" t="s">
        <v>116</v>
      </c>
      <c r="AJ954" s="55">
        <f>IF(AN954=0,I954,0)</f>
        <v>0</v>
      </c>
      <c r="AK954" s="55">
        <f>IF(AN954=12,I954,0)</f>
        <v>0</v>
      </c>
      <c r="AL954" s="55">
        <f>IF(AN954=21,I954,0)</f>
        <v>0</v>
      </c>
      <c r="AN954" s="55">
        <v>21</v>
      </c>
      <c r="AO954" s="55">
        <f>H954*0.937927176</f>
        <v>0</v>
      </c>
      <c r="AP954" s="55">
        <f>H954*(1-0.937927176)</f>
        <v>0</v>
      </c>
      <c r="AQ954" s="58" t="s">
        <v>125</v>
      </c>
      <c r="AV954" s="55">
        <f>AW954+AX954</f>
        <v>0</v>
      </c>
      <c r="AW954" s="55">
        <f>G954*AO954</f>
        <v>0</v>
      </c>
      <c r="AX954" s="55">
        <f>G954*AP954</f>
        <v>0</v>
      </c>
      <c r="AY954" s="58" t="s">
        <v>1905</v>
      </c>
      <c r="AZ954" s="58" t="s">
        <v>1669</v>
      </c>
      <c r="BA954" s="34" t="s">
        <v>128</v>
      </c>
      <c r="BB954" s="67">
        <v>100007</v>
      </c>
      <c r="BC954" s="55">
        <f>AW954+AX954</f>
        <v>0</v>
      </c>
      <c r="BD954" s="55">
        <f>H954/(100-BE954)*100</f>
        <v>0</v>
      </c>
      <c r="BE954" s="55">
        <v>0</v>
      </c>
      <c r="BF954" s="55">
        <f>K954</f>
        <v>0.36712</v>
      </c>
      <c r="BH954" s="55">
        <f>G954*AO954</f>
        <v>0</v>
      </c>
      <c r="BI954" s="55">
        <f>G954*AP954</f>
        <v>0</v>
      </c>
      <c r="BJ954" s="55">
        <f>G954*H954</f>
        <v>0</v>
      </c>
      <c r="BK954" s="55"/>
      <c r="BL954" s="55">
        <v>766</v>
      </c>
      <c r="BW954" s="55">
        <v>21</v>
      </c>
    </row>
    <row r="955" spans="1:12" ht="13.5" customHeight="1">
      <c r="A955" s="59"/>
      <c r="D955" s="218" t="s">
        <v>1922</v>
      </c>
      <c r="E955" s="219"/>
      <c r="F955" s="219"/>
      <c r="G955" s="219"/>
      <c r="H955" s="219"/>
      <c r="I955" s="219"/>
      <c r="J955" s="219"/>
      <c r="K955" s="219"/>
      <c r="L955" s="221"/>
    </row>
    <row r="956" spans="1:12" ht="14.4">
      <c r="A956" s="59"/>
      <c r="D956" s="60" t="s">
        <v>147</v>
      </c>
      <c r="E956" s="60" t="s">
        <v>4</v>
      </c>
      <c r="G956" s="68">
        <v>8</v>
      </c>
      <c r="L956" s="69"/>
    </row>
    <row r="957" spans="1:75" ht="13.5" customHeight="1">
      <c r="A957" s="1" t="s">
        <v>1923</v>
      </c>
      <c r="B957" s="2" t="s">
        <v>116</v>
      </c>
      <c r="C957" s="2" t="s">
        <v>1924</v>
      </c>
      <c r="D957" s="147" t="s">
        <v>1925</v>
      </c>
      <c r="E957" s="148"/>
      <c r="F957" s="2" t="s">
        <v>374</v>
      </c>
      <c r="G957" s="55">
        <f>'Stavební rozpočet-vyplnit'!G957</f>
        <v>5</v>
      </c>
      <c r="H957" s="55">
        <f>'Stavební rozpočet-vyplnit'!H957</f>
        <v>0</v>
      </c>
      <c r="I957" s="55">
        <f>G957*H957</f>
        <v>0</v>
      </c>
      <c r="J957" s="55">
        <f>'Stavební rozpočet-vyplnit'!J957</f>
        <v>0.00028</v>
      </c>
      <c r="K957" s="55">
        <f>G957*J957</f>
        <v>0.0013999999999999998</v>
      </c>
      <c r="L957" s="57" t="s">
        <v>785</v>
      </c>
      <c r="Z957" s="55">
        <f>IF(AQ957="5",BJ957,0)</f>
        <v>0</v>
      </c>
      <c r="AB957" s="55">
        <f>IF(AQ957="1",BH957,0)</f>
        <v>0</v>
      </c>
      <c r="AC957" s="55">
        <f>IF(AQ957="1",BI957,0)</f>
        <v>0</v>
      </c>
      <c r="AD957" s="55">
        <f>IF(AQ957="7",BH957,0)</f>
        <v>0</v>
      </c>
      <c r="AE957" s="55">
        <f>IF(AQ957="7",BI957,0)</f>
        <v>0</v>
      </c>
      <c r="AF957" s="55">
        <f>IF(AQ957="2",BH957,0)</f>
        <v>0</v>
      </c>
      <c r="AG957" s="55">
        <f>IF(AQ957="2",BI957,0)</f>
        <v>0</v>
      </c>
      <c r="AH957" s="55">
        <f>IF(AQ957="0",BJ957,0)</f>
        <v>0</v>
      </c>
      <c r="AI957" s="34" t="s">
        <v>116</v>
      </c>
      <c r="AJ957" s="55">
        <f>IF(AN957=0,I957,0)</f>
        <v>0</v>
      </c>
      <c r="AK957" s="55">
        <f>IF(AN957=12,I957,0)</f>
        <v>0</v>
      </c>
      <c r="AL957" s="55">
        <f>IF(AN957=21,I957,0)</f>
        <v>0</v>
      </c>
      <c r="AN957" s="55">
        <v>21</v>
      </c>
      <c r="AO957" s="55">
        <f>H957*0.026666667</f>
        <v>0</v>
      </c>
      <c r="AP957" s="55">
        <f>H957*(1-0.026666667)</f>
        <v>0</v>
      </c>
      <c r="AQ957" s="58" t="s">
        <v>125</v>
      </c>
      <c r="AV957" s="55">
        <f>AW957+AX957</f>
        <v>0</v>
      </c>
      <c r="AW957" s="55">
        <f>G957*AO957</f>
        <v>0</v>
      </c>
      <c r="AX957" s="55">
        <f>G957*AP957</f>
        <v>0</v>
      </c>
      <c r="AY957" s="58" t="s">
        <v>1905</v>
      </c>
      <c r="AZ957" s="58" t="s">
        <v>1669</v>
      </c>
      <c r="BA957" s="34" t="s">
        <v>128</v>
      </c>
      <c r="BB957" s="67">
        <v>100007</v>
      </c>
      <c r="BC957" s="55">
        <f>AW957+AX957</f>
        <v>0</v>
      </c>
      <c r="BD957" s="55">
        <f>H957/(100-BE957)*100</f>
        <v>0</v>
      </c>
      <c r="BE957" s="55">
        <v>0</v>
      </c>
      <c r="BF957" s="55">
        <f>K957</f>
        <v>0.0013999999999999998</v>
      </c>
      <c r="BH957" s="55">
        <f>G957*AO957</f>
        <v>0</v>
      </c>
      <c r="BI957" s="55">
        <f>G957*AP957</f>
        <v>0</v>
      </c>
      <c r="BJ957" s="55">
        <f>G957*H957</f>
        <v>0</v>
      </c>
      <c r="BK957" s="55"/>
      <c r="BL957" s="55">
        <v>766</v>
      </c>
      <c r="BW957" s="55">
        <v>21</v>
      </c>
    </row>
    <row r="958" spans="1:12" ht="14.4">
      <c r="A958" s="59"/>
      <c r="D958" s="60" t="s">
        <v>139</v>
      </c>
      <c r="E958" s="60" t="s">
        <v>4</v>
      </c>
      <c r="G958" s="68">
        <v>5</v>
      </c>
      <c r="L958" s="69"/>
    </row>
    <row r="959" spans="1:75" ht="27" customHeight="1">
      <c r="A959" s="1" t="s">
        <v>1926</v>
      </c>
      <c r="B959" s="2" t="s">
        <v>116</v>
      </c>
      <c r="C959" s="2" t="s">
        <v>1927</v>
      </c>
      <c r="D959" s="147" t="s">
        <v>1928</v>
      </c>
      <c r="E959" s="148"/>
      <c r="F959" s="2" t="s">
        <v>123</v>
      </c>
      <c r="G959" s="55">
        <f>'Stavební rozpočet-vyplnit'!G959</f>
        <v>3</v>
      </c>
      <c r="H959" s="55">
        <f>'Stavební rozpočet-vyplnit'!H959</f>
        <v>0</v>
      </c>
      <c r="I959" s="55">
        <f>G959*H959</f>
        <v>0</v>
      </c>
      <c r="J959" s="55">
        <f>'Stavební rozpočet-vyplnit'!J959</f>
        <v>0.067</v>
      </c>
      <c r="K959" s="55">
        <f>G959*J959</f>
        <v>0.201</v>
      </c>
      <c r="L959" s="57" t="s">
        <v>124</v>
      </c>
      <c r="Z959" s="55">
        <f>IF(AQ959="5",BJ959,0)</f>
        <v>0</v>
      </c>
      <c r="AB959" s="55">
        <f>IF(AQ959="1",BH959,0)</f>
        <v>0</v>
      </c>
      <c r="AC959" s="55">
        <f>IF(AQ959="1",BI959,0)</f>
        <v>0</v>
      </c>
      <c r="AD959" s="55">
        <f>IF(AQ959="7",BH959,0)</f>
        <v>0</v>
      </c>
      <c r="AE959" s="55">
        <f>IF(AQ959="7",BI959,0)</f>
        <v>0</v>
      </c>
      <c r="AF959" s="55">
        <f>IF(AQ959="2",BH959,0)</f>
        <v>0</v>
      </c>
      <c r="AG959" s="55">
        <f>IF(AQ959="2",BI959,0)</f>
        <v>0</v>
      </c>
      <c r="AH959" s="55">
        <f>IF(AQ959="0",BJ959,0)</f>
        <v>0</v>
      </c>
      <c r="AI959" s="34" t="s">
        <v>116</v>
      </c>
      <c r="AJ959" s="55">
        <f>IF(AN959=0,I959,0)</f>
        <v>0</v>
      </c>
      <c r="AK959" s="55">
        <f>IF(AN959=12,I959,0)</f>
        <v>0</v>
      </c>
      <c r="AL959" s="55">
        <f>IF(AN959=21,I959,0)</f>
        <v>0</v>
      </c>
      <c r="AN959" s="55">
        <v>21</v>
      </c>
      <c r="AO959" s="55">
        <f>H959*0.884476534</f>
        <v>0</v>
      </c>
      <c r="AP959" s="55">
        <f>H959*(1-0.884476534)</f>
        <v>0</v>
      </c>
      <c r="AQ959" s="58" t="s">
        <v>125</v>
      </c>
      <c r="AV959" s="55">
        <f>AW959+AX959</f>
        <v>0</v>
      </c>
      <c r="AW959" s="55">
        <f>G959*AO959</f>
        <v>0</v>
      </c>
      <c r="AX959" s="55">
        <f>G959*AP959</f>
        <v>0</v>
      </c>
      <c r="AY959" s="58" t="s">
        <v>1905</v>
      </c>
      <c r="AZ959" s="58" t="s">
        <v>1669</v>
      </c>
      <c r="BA959" s="34" t="s">
        <v>128</v>
      </c>
      <c r="BB959" s="67">
        <v>100007</v>
      </c>
      <c r="BC959" s="55">
        <f>AW959+AX959</f>
        <v>0</v>
      </c>
      <c r="BD959" s="55">
        <f>H959/(100-BE959)*100</f>
        <v>0</v>
      </c>
      <c r="BE959" s="55">
        <v>0</v>
      </c>
      <c r="BF959" s="55">
        <f>K959</f>
        <v>0.201</v>
      </c>
      <c r="BH959" s="55">
        <f>G959*AO959</f>
        <v>0</v>
      </c>
      <c r="BI959" s="55">
        <f>G959*AP959</f>
        <v>0</v>
      </c>
      <c r="BJ959" s="55">
        <f>G959*H959</f>
        <v>0</v>
      </c>
      <c r="BK959" s="55"/>
      <c r="BL959" s="55">
        <v>766</v>
      </c>
      <c r="BW959" s="55">
        <v>21</v>
      </c>
    </row>
    <row r="960" spans="1:12" ht="13.5" customHeight="1">
      <c r="A960" s="59"/>
      <c r="D960" s="218" t="s">
        <v>1929</v>
      </c>
      <c r="E960" s="219"/>
      <c r="F960" s="219"/>
      <c r="G960" s="219"/>
      <c r="H960" s="219"/>
      <c r="I960" s="219"/>
      <c r="J960" s="219"/>
      <c r="K960" s="219"/>
      <c r="L960" s="221"/>
    </row>
    <row r="961" spans="1:12" ht="14.4">
      <c r="A961" s="59"/>
      <c r="D961" s="60" t="s">
        <v>133</v>
      </c>
      <c r="E961" s="60" t="s">
        <v>4</v>
      </c>
      <c r="G961" s="68">
        <v>3</v>
      </c>
      <c r="L961" s="69"/>
    </row>
    <row r="962" spans="1:75" ht="13.5" customHeight="1">
      <c r="A962" s="61" t="s">
        <v>1930</v>
      </c>
      <c r="B962" s="62" t="s">
        <v>116</v>
      </c>
      <c r="C962" s="62" t="s">
        <v>1931</v>
      </c>
      <c r="D962" s="224" t="s">
        <v>1932</v>
      </c>
      <c r="E962" s="225"/>
      <c r="F962" s="62" t="s">
        <v>374</v>
      </c>
      <c r="G962" s="63">
        <f>'Stavební rozpočet-vyplnit'!G962</f>
        <v>5</v>
      </c>
      <c r="H962" s="63">
        <f>'Stavební rozpočet-vyplnit'!H962</f>
        <v>0</v>
      </c>
      <c r="I962" s="63">
        <f>G962*H962</f>
        <v>0</v>
      </c>
      <c r="J962" s="63">
        <f>'Stavební rozpočet-vyplnit'!J962</f>
        <v>0.0009</v>
      </c>
      <c r="K962" s="63">
        <f>G962*J962</f>
        <v>0.0045</v>
      </c>
      <c r="L962" s="65" t="s">
        <v>785</v>
      </c>
      <c r="Z962" s="55">
        <f>IF(AQ962="5",BJ962,0)</f>
        <v>0</v>
      </c>
      <c r="AB962" s="55">
        <f>IF(AQ962="1",BH962,0)</f>
        <v>0</v>
      </c>
      <c r="AC962" s="55">
        <f>IF(AQ962="1",BI962,0)</f>
        <v>0</v>
      </c>
      <c r="AD962" s="55">
        <f>IF(AQ962="7",BH962,0)</f>
        <v>0</v>
      </c>
      <c r="AE962" s="55">
        <f>IF(AQ962="7",BI962,0)</f>
        <v>0</v>
      </c>
      <c r="AF962" s="55">
        <f>IF(AQ962="2",BH962,0)</f>
        <v>0</v>
      </c>
      <c r="AG962" s="55">
        <f>IF(AQ962="2",BI962,0)</f>
        <v>0</v>
      </c>
      <c r="AH962" s="55">
        <f>IF(AQ962="0",BJ962,0)</f>
        <v>0</v>
      </c>
      <c r="AI962" s="34" t="s">
        <v>116</v>
      </c>
      <c r="AJ962" s="63">
        <f>IF(AN962=0,I962,0)</f>
        <v>0</v>
      </c>
      <c r="AK962" s="63">
        <f>IF(AN962=12,I962,0)</f>
        <v>0</v>
      </c>
      <c r="AL962" s="63">
        <f>IF(AN962=21,I962,0)</f>
        <v>0</v>
      </c>
      <c r="AN962" s="55">
        <v>21</v>
      </c>
      <c r="AO962" s="55">
        <f>H962*1</f>
        <v>0</v>
      </c>
      <c r="AP962" s="55">
        <f>H962*(1-1)</f>
        <v>0</v>
      </c>
      <c r="AQ962" s="66" t="s">
        <v>125</v>
      </c>
      <c r="AV962" s="55">
        <f>AW962+AX962</f>
        <v>0</v>
      </c>
      <c r="AW962" s="55">
        <f>G962*AO962</f>
        <v>0</v>
      </c>
      <c r="AX962" s="55">
        <f>G962*AP962</f>
        <v>0</v>
      </c>
      <c r="AY962" s="58" t="s">
        <v>1905</v>
      </c>
      <c r="AZ962" s="58" t="s">
        <v>1669</v>
      </c>
      <c r="BA962" s="34" t="s">
        <v>128</v>
      </c>
      <c r="BC962" s="55">
        <f>AW962+AX962</f>
        <v>0</v>
      </c>
      <c r="BD962" s="55">
        <f>H962/(100-BE962)*100</f>
        <v>0</v>
      </c>
      <c r="BE962" s="55">
        <v>0</v>
      </c>
      <c r="BF962" s="55">
        <f>K962</f>
        <v>0.0045</v>
      </c>
      <c r="BH962" s="63">
        <f>G962*AO962</f>
        <v>0</v>
      </c>
      <c r="BI962" s="63">
        <f>G962*AP962</f>
        <v>0</v>
      </c>
      <c r="BJ962" s="63">
        <f>G962*H962</f>
        <v>0</v>
      </c>
      <c r="BK962" s="63"/>
      <c r="BL962" s="55">
        <v>766</v>
      </c>
      <c r="BW962" s="55">
        <v>21</v>
      </c>
    </row>
    <row r="963" spans="1:12" ht="14.4">
      <c r="A963" s="59"/>
      <c r="D963" s="60" t="s">
        <v>139</v>
      </c>
      <c r="E963" s="60" t="s">
        <v>4</v>
      </c>
      <c r="G963" s="68">
        <v>5</v>
      </c>
      <c r="L963" s="69"/>
    </row>
    <row r="964" spans="1:75" ht="27" customHeight="1">
      <c r="A964" s="1" t="s">
        <v>1933</v>
      </c>
      <c r="B964" s="2" t="s">
        <v>116</v>
      </c>
      <c r="C964" s="2" t="s">
        <v>1934</v>
      </c>
      <c r="D964" s="147" t="s">
        <v>1935</v>
      </c>
      <c r="E964" s="148"/>
      <c r="F964" s="2" t="s">
        <v>123</v>
      </c>
      <c r="G964" s="55">
        <f>'Stavební rozpočet-vyplnit'!G964</f>
        <v>1</v>
      </c>
      <c r="H964" s="55">
        <f>'Stavební rozpočet-vyplnit'!H964</f>
        <v>0</v>
      </c>
      <c r="I964" s="55">
        <f>G964*H964</f>
        <v>0</v>
      </c>
      <c r="J964" s="55">
        <f>'Stavební rozpočet-vyplnit'!J964</f>
        <v>0.067</v>
      </c>
      <c r="K964" s="55">
        <f>G964*J964</f>
        <v>0.067</v>
      </c>
      <c r="L964" s="57" t="s">
        <v>124</v>
      </c>
      <c r="Z964" s="55">
        <f>IF(AQ964="5",BJ964,0)</f>
        <v>0</v>
      </c>
      <c r="AB964" s="55">
        <f>IF(AQ964="1",BH964,0)</f>
        <v>0</v>
      </c>
      <c r="AC964" s="55">
        <f>IF(AQ964="1",BI964,0)</f>
        <v>0</v>
      </c>
      <c r="AD964" s="55">
        <f>IF(AQ964="7",BH964,0)</f>
        <v>0</v>
      </c>
      <c r="AE964" s="55">
        <f>IF(AQ964="7",BI964,0)</f>
        <v>0</v>
      </c>
      <c r="AF964" s="55">
        <f>IF(AQ964="2",BH964,0)</f>
        <v>0</v>
      </c>
      <c r="AG964" s="55">
        <f>IF(AQ964="2",BI964,0)</f>
        <v>0</v>
      </c>
      <c r="AH964" s="55">
        <f>IF(AQ964="0",BJ964,0)</f>
        <v>0</v>
      </c>
      <c r="AI964" s="34" t="s">
        <v>116</v>
      </c>
      <c r="AJ964" s="55">
        <f>IF(AN964=0,I964,0)</f>
        <v>0</v>
      </c>
      <c r="AK964" s="55">
        <f>IF(AN964=12,I964,0)</f>
        <v>0</v>
      </c>
      <c r="AL964" s="55">
        <f>IF(AN964=21,I964,0)</f>
        <v>0</v>
      </c>
      <c r="AN964" s="55">
        <v>21</v>
      </c>
      <c r="AO964" s="55">
        <f>H964*0.855345912</f>
        <v>0</v>
      </c>
      <c r="AP964" s="55">
        <f>H964*(1-0.855345912)</f>
        <v>0</v>
      </c>
      <c r="AQ964" s="58" t="s">
        <v>125</v>
      </c>
      <c r="AV964" s="55">
        <f>AW964+AX964</f>
        <v>0</v>
      </c>
      <c r="AW964" s="55">
        <f>G964*AO964</f>
        <v>0</v>
      </c>
      <c r="AX964" s="55">
        <f>G964*AP964</f>
        <v>0</v>
      </c>
      <c r="AY964" s="58" t="s">
        <v>1905</v>
      </c>
      <c r="AZ964" s="58" t="s">
        <v>1669</v>
      </c>
      <c r="BA964" s="34" t="s">
        <v>128</v>
      </c>
      <c r="BB964" s="67">
        <v>100007</v>
      </c>
      <c r="BC964" s="55">
        <f>AW964+AX964</f>
        <v>0</v>
      </c>
      <c r="BD964" s="55">
        <f>H964/(100-BE964)*100</f>
        <v>0</v>
      </c>
      <c r="BE964" s="55">
        <v>0</v>
      </c>
      <c r="BF964" s="55">
        <f>K964</f>
        <v>0.067</v>
      </c>
      <c r="BH964" s="55">
        <f>G964*AO964</f>
        <v>0</v>
      </c>
      <c r="BI964" s="55">
        <f>G964*AP964</f>
        <v>0</v>
      </c>
      <c r="BJ964" s="55">
        <f>G964*H964</f>
        <v>0</v>
      </c>
      <c r="BK964" s="55"/>
      <c r="BL964" s="55">
        <v>766</v>
      </c>
      <c r="BW964" s="55">
        <v>21</v>
      </c>
    </row>
    <row r="965" spans="1:12" ht="13.5" customHeight="1">
      <c r="A965" s="59"/>
      <c r="D965" s="218" t="s">
        <v>1936</v>
      </c>
      <c r="E965" s="219"/>
      <c r="F965" s="219"/>
      <c r="G965" s="219"/>
      <c r="H965" s="219"/>
      <c r="I965" s="219"/>
      <c r="J965" s="219"/>
      <c r="K965" s="219"/>
      <c r="L965" s="221"/>
    </row>
    <row r="966" spans="1:12" ht="14.4">
      <c r="A966" s="59"/>
      <c r="D966" s="60" t="s">
        <v>120</v>
      </c>
      <c r="E966" s="60" t="s">
        <v>4</v>
      </c>
      <c r="G966" s="68">
        <v>1</v>
      </c>
      <c r="L966" s="69"/>
    </row>
    <row r="967" spans="1:75" ht="27" customHeight="1">
      <c r="A967" s="1" t="s">
        <v>1937</v>
      </c>
      <c r="B967" s="2" t="s">
        <v>116</v>
      </c>
      <c r="C967" s="2" t="s">
        <v>1938</v>
      </c>
      <c r="D967" s="147" t="s">
        <v>1939</v>
      </c>
      <c r="E967" s="148"/>
      <c r="F967" s="2" t="s">
        <v>123</v>
      </c>
      <c r="G967" s="55">
        <f>'Stavební rozpočet-vyplnit'!G967</f>
        <v>3</v>
      </c>
      <c r="H967" s="55">
        <f>'Stavební rozpočet-vyplnit'!H967</f>
        <v>0</v>
      </c>
      <c r="I967" s="55">
        <f>G967*H967</f>
        <v>0</v>
      </c>
      <c r="J967" s="55">
        <f>'Stavební rozpočet-vyplnit'!J967</f>
        <v>0.067</v>
      </c>
      <c r="K967" s="55">
        <f>G967*J967</f>
        <v>0.201</v>
      </c>
      <c r="L967" s="57" t="s">
        <v>124</v>
      </c>
      <c r="Z967" s="55">
        <f>IF(AQ967="5",BJ967,0)</f>
        <v>0</v>
      </c>
      <c r="AB967" s="55">
        <f>IF(AQ967="1",BH967,0)</f>
        <v>0</v>
      </c>
      <c r="AC967" s="55">
        <f>IF(AQ967="1",BI967,0)</f>
        <v>0</v>
      </c>
      <c r="AD967" s="55">
        <f>IF(AQ967="7",BH967,0)</f>
        <v>0</v>
      </c>
      <c r="AE967" s="55">
        <f>IF(AQ967="7",BI967,0)</f>
        <v>0</v>
      </c>
      <c r="AF967" s="55">
        <f>IF(AQ967="2",BH967,0)</f>
        <v>0</v>
      </c>
      <c r="AG967" s="55">
        <f>IF(AQ967="2",BI967,0)</f>
        <v>0</v>
      </c>
      <c r="AH967" s="55">
        <f>IF(AQ967="0",BJ967,0)</f>
        <v>0</v>
      </c>
      <c r="AI967" s="34" t="s">
        <v>116</v>
      </c>
      <c r="AJ967" s="55">
        <f>IF(AN967=0,I967,0)</f>
        <v>0</v>
      </c>
      <c r="AK967" s="55">
        <f>IF(AN967=12,I967,0)</f>
        <v>0</v>
      </c>
      <c r="AL967" s="55">
        <f>IF(AN967=21,I967,0)</f>
        <v>0</v>
      </c>
      <c r="AN967" s="55">
        <v>21</v>
      </c>
      <c r="AO967" s="55">
        <f>H967*0.880829016</f>
        <v>0</v>
      </c>
      <c r="AP967" s="55">
        <f>H967*(1-0.880829016)</f>
        <v>0</v>
      </c>
      <c r="AQ967" s="58" t="s">
        <v>125</v>
      </c>
      <c r="AV967" s="55">
        <f>AW967+AX967</f>
        <v>0</v>
      </c>
      <c r="AW967" s="55">
        <f>G967*AO967</f>
        <v>0</v>
      </c>
      <c r="AX967" s="55">
        <f>G967*AP967</f>
        <v>0</v>
      </c>
      <c r="AY967" s="58" t="s">
        <v>1905</v>
      </c>
      <c r="AZ967" s="58" t="s">
        <v>1669</v>
      </c>
      <c r="BA967" s="34" t="s">
        <v>128</v>
      </c>
      <c r="BC967" s="55">
        <f>AW967+AX967</f>
        <v>0</v>
      </c>
      <c r="BD967" s="55">
        <f>H967/(100-BE967)*100</f>
        <v>0</v>
      </c>
      <c r="BE967" s="55">
        <v>0</v>
      </c>
      <c r="BF967" s="55">
        <f>K967</f>
        <v>0.201</v>
      </c>
      <c r="BH967" s="55">
        <f>G967*AO967</f>
        <v>0</v>
      </c>
      <c r="BI967" s="55">
        <f>G967*AP967</f>
        <v>0</v>
      </c>
      <c r="BJ967" s="55">
        <f>G967*H967</f>
        <v>0</v>
      </c>
      <c r="BK967" s="55"/>
      <c r="BL967" s="55">
        <v>766</v>
      </c>
      <c r="BW967" s="55">
        <v>21</v>
      </c>
    </row>
    <row r="968" spans="1:12" ht="13.5" customHeight="1">
      <c r="A968" s="59"/>
      <c r="D968" s="218" t="s">
        <v>1936</v>
      </c>
      <c r="E968" s="219"/>
      <c r="F968" s="219"/>
      <c r="G968" s="219"/>
      <c r="H968" s="219"/>
      <c r="I968" s="219"/>
      <c r="J968" s="219"/>
      <c r="K968" s="219"/>
      <c r="L968" s="221"/>
    </row>
    <row r="969" spans="1:12" ht="14.4">
      <c r="A969" s="59"/>
      <c r="D969" s="60" t="s">
        <v>133</v>
      </c>
      <c r="E969" s="60" t="s">
        <v>4</v>
      </c>
      <c r="G969" s="68">
        <v>3</v>
      </c>
      <c r="L969" s="69"/>
    </row>
    <row r="970" spans="1:75" ht="27" customHeight="1">
      <c r="A970" s="1" t="s">
        <v>1940</v>
      </c>
      <c r="B970" s="2" t="s">
        <v>116</v>
      </c>
      <c r="C970" s="2" t="s">
        <v>1941</v>
      </c>
      <c r="D970" s="147" t="s">
        <v>1942</v>
      </c>
      <c r="E970" s="148"/>
      <c r="F970" s="2" t="s">
        <v>123</v>
      </c>
      <c r="G970" s="55">
        <f>'Stavební rozpočet-vyplnit'!G970</f>
        <v>1</v>
      </c>
      <c r="H970" s="55">
        <f>'Stavební rozpočet-vyplnit'!H970</f>
        <v>0</v>
      </c>
      <c r="I970" s="55">
        <f>G970*H970</f>
        <v>0</v>
      </c>
      <c r="J970" s="55">
        <f>'Stavební rozpočet-vyplnit'!J970</f>
        <v>0.067</v>
      </c>
      <c r="K970" s="55">
        <f>G970*J970</f>
        <v>0.067</v>
      </c>
      <c r="L970" s="57" t="s">
        <v>124</v>
      </c>
      <c r="Z970" s="55">
        <f>IF(AQ970="5",BJ970,0)</f>
        <v>0</v>
      </c>
      <c r="AB970" s="55">
        <f>IF(AQ970="1",BH970,0)</f>
        <v>0</v>
      </c>
      <c r="AC970" s="55">
        <f>IF(AQ970="1",BI970,0)</f>
        <v>0</v>
      </c>
      <c r="AD970" s="55">
        <f>IF(AQ970="7",BH970,0)</f>
        <v>0</v>
      </c>
      <c r="AE970" s="55">
        <f>IF(AQ970="7",BI970,0)</f>
        <v>0</v>
      </c>
      <c r="AF970" s="55">
        <f>IF(AQ970="2",BH970,0)</f>
        <v>0</v>
      </c>
      <c r="AG970" s="55">
        <f>IF(AQ970="2",BI970,0)</f>
        <v>0</v>
      </c>
      <c r="AH970" s="55">
        <f>IF(AQ970="0",BJ970,0)</f>
        <v>0</v>
      </c>
      <c r="AI970" s="34" t="s">
        <v>116</v>
      </c>
      <c r="AJ970" s="55">
        <f>IF(AN970=0,I970,0)</f>
        <v>0</v>
      </c>
      <c r="AK970" s="55">
        <f>IF(AN970=12,I970,0)</f>
        <v>0</v>
      </c>
      <c r="AL970" s="55">
        <f>IF(AN970=21,I970,0)</f>
        <v>0</v>
      </c>
      <c r="AN970" s="55">
        <v>21</v>
      </c>
      <c r="AO970" s="55">
        <f>H970*0.931711928</f>
        <v>0</v>
      </c>
      <c r="AP970" s="55">
        <f>H970*(1-0.931711928)</f>
        <v>0</v>
      </c>
      <c r="AQ970" s="58" t="s">
        <v>125</v>
      </c>
      <c r="AV970" s="55">
        <f>AW970+AX970</f>
        <v>0</v>
      </c>
      <c r="AW970" s="55">
        <f>G970*AO970</f>
        <v>0</v>
      </c>
      <c r="AX970" s="55">
        <f>G970*AP970</f>
        <v>0</v>
      </c>
      <c r="AY970" s="58" t="s">
        <v>1905</v>
      </c>
      <c r="AZ970" s="58" t="s">
        <v>1669</v>
      </c>
      <c r="BA970" s="34" t="s">
        <v>128</v>
      </c>
      <c r="BB970" s="67">
        <v>100007</v>
      </c>
      <c r="BC970" s="55">
        <f>AW970+AX970</f>
        <v>0</v>
      </c>
      <c r="BD970" s="55">
        <f>H970/(100-BE970)*100</f>
        <v>0</v>
      </c>
      <c r="BE970" s="55">
        <v>0</v>
      </c>
      <c r="BF970" s="55">
        <f>K970</f>
        <v>0.067</v>
      </c>
      <c r="BH970" s="55">
        <f>G970*AO970</f>
        <v>0</v>
      </c>
      <c r="BI970" s="55">
        <f>G970*AP970</f>
        <v>0</v>
      </c>
      <c r="BJ970" s="55">
        <f>G970*H970</f>
        <v>0</v>
      </c>
      <c r="BK970" s="55"/>
      <c r="BL970" s="55">
        <v>766</v>
      </c>
      <c r="BW970" s="55">
        <v>21</v>
      </c>
    </row>
    <row r="971" spans="1:12" ht="13.5" customHeight="1">
      <c r="A971" s="59"/>
      <c r="D971" s="218" t="s">
        <v>1943</v>
      </c>
      <c r="E971" s="219"/>
      <c r="F971" s="219"/>
      <c r="G971" s="219"/>
      <c r="H971" s="219"/>
      <c r="I971" s="219"/>
      <c r="J971" s="219"/>
      <c r="K971" s="219"/>
      <c r="L971" s="221"/>
    </row>
    <row r="972" spans="1:12" ht="14.4">
      <c r="A972" s="59"/>
      <c r="D972" s="60" t="s">
        <v>120</v>
      </c>
      <c r="E972" s="60" t="s">
        <v>4</v>
      </c>
      <c r="G972" s="68">
        <v>1</v>
      </c>
      <c r="L972" s="69"/>
    </row>
    <row r="973" spans="1:75" ht="27" customHeight="1">
      <c r="A973" s="1" t="s">
        <v>1944</v>
      </c>
      <c r="B973" s="2" t="s">
        <v>116</v>
      </c>
      <c r="C973" s="2" t="s">
        <v>1945</v>
      </c>
      <c r="D973" s="147" t="s">
        <v>1946</v>
      </c>
      <c r="E973" s="148"/>
      <c r="F973" s="2" t="s">
        <v>374</v>
      </c>
      <c r="G973" s="55">
        <f>'Stavební rozpočet-vyplnit'!G973</f>
        <v>1</v>
      </c>
      <c r="H973" s="55">
        <f>'Stavební rozpočet-vyplnit'!H973</f>
        <v>0</v>
      </c>
      <c r="I973" s="55">
        <f>G973*H973</f>
        <v>0</v>
      </c>
      <c r="J973" s="55">
        <f>'Stavební rozpočet-vyplnit'!J973</f>
        <v>0.06</v>
      </c>
      <c r="K973" s="55">
        <f>G973*J973</f>
        <v>0.06</v>
      </c>
      <c r="L973" s="57" t="s">
        <v>124</v>
      </c>
      <c r="Z973" s="55">
        <f>IF(AQ973="5",BJ973,0)</f>
        <v>0</v>
      </c>
      <c r="AB973" s="55">
        <f>IF(AQ973="1",BH973,0)</f>
        <v>0</v>
      </c>
      <c r="AC973" s="55">
        <f>IF(AQ973="1",BI973,0)</f>
        <v>0</v>
      </c>
      <c r="AD973" s="55">
        <f>IF(AQ973="7",BH973,0)</f>
        <v>0</v>
      </c>
      <c r="AE973" s="55">
        <f>IF(AQ973="7",BI973,0)</f>
        <v>0</v>
      </c>
      <c r="AF973" s="55">
        <f>IF(AQ973="2",BH973,0)</f>
        <v>0</v>
      </c>
      <c r="AG973" s="55">
        <f>IF(AQ973="2",BI973,0)</f>
        <v>0</v>
      </c>
      <c r="AH973" s="55">
        <f>IF(AQ973="0",BJ973,0)</f>
        <v>0</v>
      </c>
      <c r="AI973" s="34" t="s">
        <v>116</v>
      </c>
      <c r="AJ973" s="55">
        <f>IF(AN973=0,I973,0)</f>
        <v>0</v>
      </c>
      <c r="AK973" s="55">
        <f>IF(AN973=12,I973,0)</f>
        <v>0</v>
      </c>
      <c r="AL973" s="55">
        <f>IF(AN973=21,I973,0)</f>
        <v>0</v>
      </c>
      <c r="AN973" s="55">
        <v>21</v>
      </c>
      <c r="AO973" s="55">
        <f>H973*0.927710843</f>
        <v>0</v>
      </c>
      <c r="AP973" s="55">
        <f>H973*(1-0.927710843)</f>
        <v>0</v>
      </c>
      <c r="AQ973" s="58" t="s">
        <v>125</v>
      </c>
      <c r="AV973" s="55">
        <f>AW973+AX973</f>
        <v>0</v>
      </c>
      <c r="AW973" s="55">
        <f>G973*AO973</f>
        <v>0</v>
      </c>
      <c r="AX973" s="55">
        <f>G973*AP973</f>
        <v>0</v>
      </c>
      <c r="AY973" s="58" t="s">
        <v>1905</v>
      </c>
      <c r="AZ973" s="58" t="s">
        <v>1669</v>
      </c>
      <c r="BA973" s="34" t="s">
        <v>128</v>
      </c>
      <c r="BB973" s="67">
        <v>100007</v>
      </c>
      <c r="BC973" s="55">
        <f>AW973+AX973</f>
        <v>0</v>
      </c>
      <c r="BD973" s="55">
        <f>H973/(100-BE973)*100</f>
        <v>0</v>
      </c>
      <c r="BE973" s="55">
        <v>0</v>
      </c>
      <c r="BF973" s="55">
        <f>K973</f>
        <v>0.06</v>
      </c>
      <c r="BH973" s="55">
        <f>G973*AO973</f>
        <v>0</v>
      </c>
      <c r="BI973" s="55">
        <f>G973*AP973</f>
        <v>0</v>
      </c>
      <c r="BJ973" s="55">
        <f>G973*H973</f>
        <v>0</v>
      </c>
      <c r="BK973" s="55"/>
      <c r="BL973" s="55">
        <v>766</v>
      </c>
      <c r="BW973" s="55">
        <v>21</v>
      </c>
    </row>
    <row r="974" spans="1:12" ht="13.5" customHeight="1">
      <c r="A974" s="59"/>
      <c r="D974" s="218" t="s">
        <v>1947</v>
      </c>
      <c r="E974" s="219"/>
      <c r="F974" s="219"/>
      <c r="G974" s="219"/>
      <c r="H974" s="219"/>
      <c r="I974" s="219"/>
      <c r="J974" s="219"/>
      <c r="K974" s="219"/>
      <c r="L974" s="221"/>
    </row>
    <row r="975" spans="1:12" ht="14.4">
      <c r="A975" s="59"/>
      <c r="D975" s="60" t="s">
        <v>120</v>
      </c>
      <c r="E975" s="60" t="s">
        <v>4</v>
      </c>
      <c r="G975" s="68">
        <v>1</v>
      </c>
      <c r="L975" s="69"/>
    </row>
    <row r="976" spans="1:75" ht="27" customHeight="1">
      <c r="A976" s="1" t="s">
        <v>1948</v>
      </c>
      <c r="B976" s="2" t="s">
        <v>116</v>
      </c>
      <c r="C976" s="2" t="s">
        <v>1949</v>
      </c>
      <c r="D976" s="147" t="s">
        <v>1950</v>
      </c>
      <c r="E976" s="148"/>
      <c r="F976" s="2" t="s">
        <v>374</v>
      </c>
      <c r="G976" s="55">
        <f>'Stavební rozpočet-vyplnit'!G976</f>
        <v>1</v>
      </c>
      <c r="H976" s="55">
        <f>'Stavební rozpočet-vyplnit'!H976</f>
        <v>0</v>
      </c>
      <c r="I976" s="55">
        <f>G976*H976</f>
        <v>0</v>
      </c>
      <c r="J976" s="55">
        <f>'Stavební rozpočet-vyplnit'!J976</f>
        <v>0.06</v>
      </c>
      <c r="K976" s="55">
        <f>G976*J976</f>
        <v>0.06</v>
      </c>
      <c r="L976" s="57" t="s">
        <v>124</v>
      </c>
      <c r="Z976" s="55">
        <f>IF(AQ976="5",BJ976,0)</f>
        <v>0</v>
      </c>
      <c r="AB976" s="55">
        <f>IF(AQ976="1",BH976,0)</f>
        <v>0</v>
      </c>
      <c r="AC976" s="55">
        <f>IF(AQ976="1",BI976,0)</f>
        <v>0</v>
      </c>
      <c r="AD976" s="55">
        <f>IF(AQ976="7",BH976,0)</f>
        <v>0</v>
      </c>
      <c r="AE976" s="55">
        <f>IF(AQ976="7",BI976,0)</f>
        <v>0</v>
      </c>
      <c r="AF976" s="55">
        <f>IF(AQ976="2",BH976,0)</f>
        <v>0</v>
      </c>
      <c r="AG976" s="55">
        <f>IF(AQ976="2",BI976,0)</f>
        <v>0</v>
      </c>
      <c r="AH976" s="55">
        <f>IF(AQ976="0",BJ976,0)</f>
        <v>0</v>
      </c>
      <c r="AI976" s="34" t="s">
        <v>116</v>
      </c>
      <c r="AJ976" s="55">
        <f>IF(AN976=0,I976,0)</f>
        <v>0</v>
      </c>
      <c r="AK976" s="55">
        <f>IF(AN976=12,I976,0)</f>
        <v>0</v>
      </c>
      <c r="AL976" s="55">
        <f>IF(AN976=21,I976,0)</f>
        <v>0</v>
      </c>
      <c r="AN976" s="55">
        <v>21</v>
      </c>
      <c r="AO976" s="55">
        <f>H976*0.927710843</f>
        <v>0</v>
      </c>
      <c r="AP976" s="55">
        <f>H976*(1-0.927710843)</f>
        <v>0</v>
      </c>
      <c r="AQ976" s="58" t="s">
        <v>125</v>
      </c>
      <c r="AV976" s="55">
        <f>AW976+AX976</f>
        <v>0</v>
      </c>
      <c r="AW976" s="55">
        <f>G976*AO976</f>
        <v>0</v>
      </c>
      <c r="AX976" s="55">
        <f>G976*AP976</f>
        <v>0</v>
      </c>
      <c r="AY976" s="58" t="s">
        <v>1905</v>
      </c>
      <c r="AZ976" s="58" t="s">
        <v>1669</v>
      </c>
      <c r="BA976" s="34" t="s">
        <v>128</v>
      </c>
      <c r="BB976" s="67">
        <v>100007</v>
      </c>
      <c r="BC976" s="55">
        <f>AW976+AX976</f>
        <v>0</v>
      </c>
      <c r="BD976" s="55">
        <f>H976/(100-BE976)*100</f>
        <v>0</v>
      </c>
      <c r="BE976" s="55">
        <v>0</v>
      </c>
      <c r="BF976" s="55">
        <f>K976</f>
        <v>0.06</v>
      </c>
      <c r="BH976" s="55">
        <f>G976*AO976</f>
        <v>0</v>
      </c>
      <c r="BI976" s="55">
        <f>G976*AP976</f>
        <v>0</v>
      </c>
      <c r="BJ976" s="55">
        <f>G976*H976</f>
        <v>0</v>
      </c>
      <c r="BK976" s="55"/>
      <c r="BL976" s="55">
        <v>766</v>
      </c>
      <c r="BW976" s="55">
        <v>21</v>
      </c>
    </row>
    <row r="977" spans="1:12" ht="13.5" customHeight="1">
      <c r="A977" s="59"/>
      <c r="D977" s="218" t="s">
        <v>1947</v>
      </c>
      <c r="E977" s="219"/>
      <c r="F977" s="219"/>
      <c r="G977" s="219"/>
      <c r="H977" s="219"/>
      <c r="I977" s="219"/>
      <c r="J977" s="219"/>
      <c r="K977" s="219"/>
      <c r="L977" s="221"/>
    </row>
    <row r="978" spans="1:12" ht="14.4">
      <c r="A978" s="59"/>
      <c r="D978" s="60" t="s">
        <v>120</v>
      </c>
      <c r="E978" s="60" t="s">
        <v>4</v>
      </c>
      <c r="G978" s="68">
        <v>1</v>
      </c>
      <c r="L978" s="69"/>
    </row>
    <row r="979" spans="1:75" ht="27" customHeight="1">
      <c r="A979" s="1" t="s">
        <v>1951</v>
      </c>
      <c r="B979" s="2" t="s">
        <v>116</v>
      </c>
      <c r="C979" s="2" t="s">
        <v>1952</v>
      </c>
      <c r="D979" s="147" t="s">
        <v>1953</v>
      </c>
      <c r="E979" s="148"/>
      <c r="F979" s="2" t="s">
        <v>374</v>
      </c>
      <c r="G979" s="55">
        <f>'Stavební rozpočet-vyplnit'!G979</f>
        <v>1</v>
      </c>
      <c r="H979" s="55">
        <f>'Stavební rozpočet-vyplnit'!H979</f>
        <v>0</v>
      </c>
      <c r="I979" s="55">
        <f>G979*H979</f>
        <v>0</v>
      </c>
      <c r="J979" s="55">
        <f>'Stavební rozpočet-vyplnit'!J979</f>
        <v>0.06</v>
      </c>
      <c r="K979" s="55">
        <f>G979*J979</f>
        <v>0.06</v>
      </c>
      <c r="L979" s="57" t="s">
        <v>124</v>
      </c>
      <c r="Z979" s="55">
        <f>IF(AQ979="5",BJ979,0)</f>
        <v>0</v>
      </c>
      <c r="AB979" s="55">
        <f>IF(AQ979="1",BH979,0)</f>
        <v>0</v>
      </c>
      <c r="AC979" s="55">
        <f>IF(AQ979="1",BI979,0)</f>
        <v>0</v>
      </c>
      <c r="AD979" s="55">
        <f>IF(AQ979="7",BH979,0)</f>
        <v>0</v>
      </c>
      <c r="AE979" s="55">
        <f>IF(AQ979="7",BI979,0)</f>
        <v>0</v>
      </c>
      <c r="AF979" s="55">
        <f>IF(AQ979="2",BH979,0)</f>
        <v>0</v>
      </c>
      <c r="AG979" s="55">
        <f>IF(AQ979="2",BI979,0)</f>
        <v>0</v>
      </c>
      <c r="AH979" s="55">
        <f>IF(AQ979="0",BJ979,0)</f>
        <v>0</v>
      </c>
      <c r="AI979" s="34" t="s">
        <v>116</v>
      </c>
      <c r="AJ979" s="55">
        <f>IF(AN979=0,I979,0)</f>
        <v>0</v>
      </c>
      <c r="AK979" s="55">
        <f>IF(AN979=12,I979,0)</f>
        <v>0</v>
      </c>
      <c r="AL979" s="55">
        <f>IF(AN979=21,I979,0)</f>
        <v>0</v>
      </c>
      <c r="AN979" s="55">
        <v>21</v>
      </c>
      <c r="AO979" s="55">
        <f>H979*0.927710843</f>
        <v>0</v>
      </c>
      <c r="AP979" s="55">
        <f>H979*(1-0.927710843)</f>
        <v>0</v>
      </c>
      <c r="AQ979" s="58" t="s">
        <v>125</v>
      </c>
      <c r="AV979" s="55">
        <f>AW979+AX979</f>
        <v>0</v>
      </c>
      <c r="AW979" s="55">
        <f>G979*AO979</f>
        <v>0</v>
      </c>
      <c r="AX979" s="55">
        <f>G979*AP979</f>
        <v>0</v>
      </c>
      <c r="AY979" s="58" t="s">
        <v>1905</v>
      </c>
      <c r="AZ979" s="58" t="s">
        <v>1669</v>
      </c>
      <c r="BA979" s="34" t="s">
        <v>128</v>
      </c>
      <c r="BB979" s="67">
        <v>100007</v>
      </c>
      <c r="BC979" s="55">
        <f>AW979+AX979</f>
        <v>0</v>
      </c>
      <c r="BD979" s="55">
        <f>H979/(100-BE979)*100</f>
        <v>0</v>
      </c>
      <c r="BE979" s="55">
        <v>0</v>
      </c>
      <c r="BF979" s="55">
        <f>K979</f>
        <v>0.06</v>
      </c>
      <c r="BH979" s="55">
        <f>G979*AO979</f>
        <v>0</v>
      </c>
      <c r="BI979" s="55">
        <f>G979*AP979</f>
        <v>0</v>
      </c>
      <c r="BJ979" s="55">
        <f>G979*H979</f>
        <v>0</v>
      </c>
      <c r="BK979" s="55"/>
      <c r="BL979" s="55">
        <v>766</v>
      </c>
      <c r="BW979" s="55">
        <v>21</v>
      </c>
    </row>
    <row r="980" spans="1:12" ht="13.5" customHeight="1">
      <c r="A980" s="59"/>
      <c r="D980" s="218" t="s">
        <v>1947</v>
      </c>
      <c r="E980" s="219"/>
      <c r="F980" s="219"/>
      <c r="G980" s="219"/>
      <c r="H980" s="219"/>
      <c r="I980" s="219"/>
      <c r="J980" s="219"/>
      <c r="K980" s="219"/>
      <c r="L980" s="221"/>
    </row>
    <row r="981" spans="1:12" ht="14.4">
      <c r="A981" s="59"/>
      <c r="D981" s="60" t="s">
        <v>120</v>
      </c>
      <c r="E981" s="60" t="s">
        <v>4</v>
      </c>
      <c r="G981" s="68">
        <v>1</v>
      </c>
      <c r="L981" s="69"/>
    </row>
    <row r="982" spans="1:75" ht="27" customHeight="1">
      <c r="A982" s="1" t="s">
        <v>1954</v>
      </c>
      <c r="B982" s="2" t="s">
        <v>116</v>
      </c>
      <c r="C982" s="2" t="s">
        <v>1955</v>
      </c>
      <c r="D982" s="147" t="s">
        <v>1956</v>
      </c>
      <c r="E982" s="148"/>
      <c r="F982" s="2" t="s">
        <v>374</v>
      </c>
      <c r="G982" s="55">
        <f>'Stavební rozpočet-vyplnit'!G982</f>
        <v>1</v>
      </c>
      <c r="H982" s="55">
        <f>'Stavební rozpočet-vyplnit'!H982</f>
        <v>0</v>
      </c>
      <c r="I982" s="55">
        <f>G982*H982</f>
        <v>0</v>
      </c>
      <c r="J982" s="55">
        <f>'Stavební rozpočet-vyplnit'!J982</f>
        <v>0.06</v>
      </c>
      <c r="K982" s="55">
        <f>G982*J982</f>
        <v>0.06</v>
      </c>
      <c r="L982" s="57" t="s">
        <v>124</v>
      </c>
      <c r="Z982" s="55">
        <f>IF(AQ982="5",BJ982,0)</f>
        <v>0</v>
      </c>
      <c r="AB982" s="55">
        <f>IF(AQ982="1",BH982,0)</f>
        <v>0</v>
      </c>
      <c r="AC982" s="55">
        <f>IF(AQ982="1",BI982,0)</f>
        <v>0</v>
      </c>
      <c r="AD982" s="55">
        <f>IF(AQ982="7",BH982,0)</f>
        <v>0</v>
      </c>
      <c r="AE982" s="55">
        <f>IF(AQ982="7",BI982,0)</f>
        <v>0</v>
      </c>
      <c r="AF982" s="55">
        <f>IF(AQ982="2",BH982,0)</f>
        <v>0</v>
      </c>
      <c r="AG982" s="55">
        <f>IF(AQ982="2",BI982,0)</f>
        <v>0</v>
      </c>
      <c r="AH982" s="55">
        <f>IF(AQ982="0",BJ982,0)</f>
        <v>0</v>
      </c>
      <c r="AI982" s="34" t="s">
        <v>116</v>
      </c>
      <c r="AJ982" s="55">
        <f>IF(AN982=0,I982,0)</f>
        <v>0</v>
      </c>
      <c r="AK982" s="55">
        <f>IF(AN982=12,I982,0)</f>
        <v>0</v>
      </c>
      <c r="AL982" s="55">
        <f>IF(AN982=21,I982,0)</f>
        <v>0</v>
      </c>
      <c r="AN982" s="55">
        <v>21</v>
      </c>
      <c r="AO982" s="55">
        <f>H982*0.927710843</f>
        <v>0</v>
      </c>
      <c r="AP982" s="55">
        <f>H982*(1-0.927710843)</f>
        <v>0</v>
      </c>
      <c r="AQ982" s="58" t="s">
        <v>125</v>
      </c>
      <c r="AV982" s="55">
        <f>AW982+AX982</f>
        <v>0</v>
      </c>
      <c r="AW982" s="55">
        <f>G982*AO982</f>
        <v>0</v>
      </c>
      <c r="AX982" s="55">
        <f>G982*AP982</f>
        <v>0</v>
      </c>
      <c r="AY982" s="58" t="s">
        <v>1905</v>
      </c>
      <c r="AZ982" s="58" t="s">
        <v>1669</v>
      </c>
      <c r="BA982" s="34" t="s">
        <v>128</v>
      </c>
      <c r="BB982" s="67">
        <v>100007</v>
      </c>
      <c r="BC982" s="55">
        <f>AW982+AX982</f>
        <v>0</v>
      </c>
      <c r="BD982" s="55">
        <f>H982/(100-BE982)*100</f>
        <v>0</v>
      </c>
      <c r="BE982" s="55">
        <v>0</v>
      </c>
      <c r="BF982" s="55">
        <f>K982</f>
        <v>0.06</v>
      </c>
      <c r="BH982" s="55">
        <f>G982*AO982</f>
        <v>0</v>
      </c>
      <c r="BI982" s="55">
        <f>G982*AP982</f>
        <v>0</v>
      </c>
      <c r="BJ982" s="55">
        <f>G982*H982</f>
        <v>0</v>
      </c>
      <c r="BK982" s="55"/>
      <c r="BL982" s="55">
        <v>766</v>
      </c>
      <c r="BW982" s="55">
        <v>21</v>
      </c>
    </row>
    <row r="983" spans="1:12" ht="13.5" customHeight="1">
      <c r="A983" s="59"/>
      <c r="D983" s="218" t="s">
        <v>1947</v>
      </c>
      <c r="E983" s="219"/>
      <c r="F983" s="219"/>
      <c r="G983" s="219"/>
      <c r="H983" s="219"/>
      <c r="I983" s="219"/>
      <c r="J983" s="219"/>
      <c r="K983" s="219"/>
      <c r="L983" s="221"/>
    </row>
    <row r="984" spans="1:12" ht="14.4">
      <c r="A984" s="59"/>
      <c r="D984" s="60" t="s">
        <v>120</v>
      </c>
      <c r="E984" s="60" t="s">
        <v>4</v>
      </c>
      <c r="G984" s="68">
        <v>1</v>
      </c>
      <c r="L984" s="69"/>
    </row>
    <row r="985" spans="1:75" ht="27" customHeight="1">
      <c r="A985" s="1" t="s">
        <v>1957</v>
      </c>
      <c r="B985" s="2" t="s">
        <v>116</v>
      </c>
      <c r="C985" s="2" t="s">
        <v>1958</v>
      </c>
      <c r="D985" s="147" t="s">
        <v>1959</v>
      </c>
      <c r="E985" s="148"/>
      <c r="F985" s="2" t="s">
        <v>374</v>
      </c>
      <c r="G985" s="55">
        <f>'Stavební rozpočet-vyplnit'!G985</f>
        <v>1</v>
      </c>
      <c r="H985" s="55">
        <f>'Stavební rozpočet-vyplnit'!H985</f>
        <v>0</v>
      </c>
      <c r="I985" s="55">
        <f>G985*H985</f>
        <v>0</v>
      </c>
      <c r="J985" s="55">
        <f>'Stavební rozpočet-vyplnit'!J985</f>
        <v>0.06</v>
      </c>
      <c r="K985" s="55">
        <f>G985*J985</f>
        <v>0.06</v>
      </c>
      <c r="L985" s="57" t="s">
        <v>124</v>
      </c>
      <c r="Z985" s="55">
        <f>IF(AQ985="5",BJ985,0)</f>
        <v>0</v>
      </c>
      <c r="AB985" s="55">
        <f>IF(AQ985="1",BH985,0)</f>
        <v>0</v>
      </c>
      <c r="AC985" s="55">
        <f>IF(AQ985="1",BI985,0)</f>
        <v>0</v>
      </c>
      <c r="AD985" s="55">
        <f>IF(AQ985="7",BH985,0)</f>
        <v>0</v>
      </c>
      <c r="AE985" s="55">
        <f>IF(AQ985="7",BI985,0)</f>
        <v>0</v>
      </c>
      <c r="AF985" s="55">
        <f>IF(AQ985="2",BH985,0)</f>
        <v>0</v>
      </c>
      <c r="AG985" s="55">
        <f>IF(AQ985="2",BI985,0)</f>
        <v>0</v>
      </c>
      <c r="AH985" s="55">
        <f>IF(AQ985="0",BJ985,0)</f>
        <v>0</v>
      </c>
      <c r="AI985" s="34" t="s">
        <v>116</v>
      </c>
      <c r="AJ985" s="55">
        <f>IF(AN985=0,I985,0)</f>
        <v>0</v>
      </c>
      <c r="AK985" s="55">
        <f>IF(AN985=12,I985,0)</f>
        <v>0</v>
      </c>
      <c r="AL985" s="55">
        <f>IF(AN985=21,I985,0)</f>
        <v>0</v>
      </c>
      <c r="AN985" s="55">
        <v>21</v>
      </c>
      <c r="AO985" s="55">
        <f>H985*0.954198473</f>
        <v>0</v>
      </c>
      <c r="AP985" s="55">
        <f>H985*(1-0.954198473)</f>
        <v>0</v>
      </c>
      <c r="AQ985" s="58" t="s">
        <v>125</v>
      </c>
      <c r="AV985" s="55">
        <f>AW985+AX985</f>
        <v>0</v>
      </c>
      <c r="AW985" s="55">
        <f>G985*AO985</f>
        <v>0</v>
      </c>
      <c r="AX985" s="55">
        <f>G985*AP985</f>
        <v>0</v>
      </c>
      <c r="AY985" s="58" t="s">
        <v>1905</v>
      </c>
      <c r="AZ985" s="58" t="s">
        <v>1669</v>
      </c>
      <c r="BA985" s="34" t="s">
        <v>128</v>
      </c>
      <c r="BB985" s="67">
        <v>100007</v>
      </c>
      <c r="BC985" s="55">
        <f>AW985+AX985</f>
        <v>0</v>
      </c>
      <c r="BD985" s="55">
        <f>H985/(100-BE985)*100</f>
        <v>0</v>
      </c>
      <c r="BE985" s="55">
        <v>0</v>
      </c>
      <c r="BF985" s="55">
        <f>K985</f>
        <v>0.06</v>
      </c>
      <c r="BH985" s="55">
        <f>G985*AO985</f>
        <v>0</v>
      </c>
      <c r="BI985" s="55">
        <f>G985*AP985</f>
        <v>0</v>
      </c>
      <c r="BJ985" s="55">
        <f>G985*H985</f>
        <v>0</v>
      </c>
      <c r="BK985" s="55"/>
      <c r="BL985" s="55">
        <v>766</v>
      </c>
      <c r="BW985" s="55">
        <v>21</v>
      </c>
    </row>
    <row r="986" spans="1:12" ht="13.5" customHeight="1">
      <c r="A986" s="59"/>
      <c r="D986" s="218" t="s">
        <v>1947</v>
      </c>
      <c r="E986" s="219"/>
      <c r="F986" s="219"/>
      <c r="G986" s="219"/>
      <c r="H986" s="219"/>
      <c r="I986" s="219"/>
      <c r="J986" s="219"/>
      <c r="K986" s="219"/>
      <c r="L986" s="221"/>
    </row>
    <row r="987" spans="1:12" ht="14.4">
      <c r="A987" s="59"/>
      <c r="D987" s="60" t="s">
        <v>120</v>
      </c>
      <c r="E987" s="60" t="s">
        <v>4</v>
      </c>
      <c r="G987" s="68">
        <v>1</v>
      </c>
      <c r="L987" s="69"/>
    </row>
    <row r="988" spans="1:75" ht="27" customHeight="1">
      <c r="A988" s="1" t="s">
        <v>1960</v>
      </c>
      <c r="B988" s="2" t="s">
        <v>116</v>
      </c>
      <c r="C988" s="2" t="s">
        <v>1961</v>
      </c>
      <c r="D988" s="147" t="s">
        <v>1962</v>
      </c>
      <c r="E988" s="148"/>
      <c r="F988" s="2" t="s">
        <v>374</v>
      </c>
      <c r="G988" s="55">
        <f>'Stavební rozpočet-vyplnit'!G988</f>
        <v>1</v>
      </c>
      <c r="H988" s="55">
        <f>'Stavební rozpočet-vyplnit'!H988</f>
        <v>0</v>
      </c>
      <c r="I988" s="55">
        <f>G988*H988</f>
        <v>0</v>
      </c>
      <c r="J988" s="55">
        <f>'Stavební rozpočet-vyplnit'!J988</f>
        <v>0.06</v>
      </c>
      <c r="K988" s="55">
        <f>G988*J988</f>
        <v>0.06</v>
      </c>
      <c r="L988" s="57" t="s">
        <v>124</v>
      </c>
      <c r="Z988" s="55">
        <f>IF(AQ988="5",BJ988,0)</f>
        <v>0</v>
      </c>
      <c r="AB988" s="55">
        <f>IF(AQ988="1",BH988,0)</f>
        <v>0</v>
      </c>
      <c r="AC988" s="55">
        <f>IF(AQ988="1",BI988,0)</f>
        <v>0</v>
      </c>
      <c r="AD988" s="55">
        <f>IF(AQ988="7",BH988,0)</f>
        <v>0</v>
      </c>
      <c r="AE988" s="55">
        <f>IF(AQ988="7",BI988,0)</f>
        <v>0</v>
      </c>
      <c r="AF988" s="55">
        <f>IF(AQ988="2",BH988,0)</f>
        <v>0</v>
      </c>
      <c r="AG988" s="55">
        <f>IF(AQ988="2",BI988,0)</f>
        <v>0</v>
      </c>
      <c r="AH988" s="55">
        <f>IF(AQ988="0",BJ988,0)</f>
        <v>0</v>
      </c>
      <c r="AI988" s="34" t="s">
        <v>116</v>
      </c>
      <c r="AJ988" s="55">
        <f>IF(AN988=0,I988,0)</f>
        <v>0</v>
      </c>
      <c r="AK988" s="55">
        <f>IF(AN988=12,I988,0)</f>
        <v>0</v>
      </c>
      <c r="AL988" s="55">
        <f>IF(AN988=21,I988,0)</f>
        <v>0</v>
      </c>
      <c r="AN988" s="55">
        <v>21</v>
      </c>
      <c r="AO988" s="55">
        <f>H988*0.950413223</f>
        <v>0</v>
      </c>
      <c r="AP988" s="55">
        <f>H988*(1-0.950413223)</f>
        <v>0</v>
      </c>
      <c r="AQ988" s="58" t="s">
        <v>125</v>
      </c>
      <c r="AV988" s="55">
        <f>AW988+AX988</f>
        <v>0</v>
      </c>
      <c r="AW988" s="55">
        <f>G988*AO988</f>
        <v>0</v>
      </c>
      <c r="AX988" s="55">
        <f>G988*AP988</f>
        <v>0</v>
      </c>
      <c r="AY988" s="58" t="s">
        <v>1905</v>
      </c>
      <c r="AZ988" s="58" t="s">
        <v>1669</v>
      </c>
      <c r="BA988" s="34" t="s">
        <v>128</v>
      </c>
      <c r="BB988" s="67">
        <v>100007</v>
      </c>
      <c r="BC988" s="55">
        <f>AW988+AX988</f>
        <v>0</v>
      </c>
      <c r="BD988" s="55">
        <f>H988/(100-BE988)*100</f>
        <v>0</v>
      </c>
      <c r="BE988" s="55">
        <v>0</v>
      </c>
      <c r="BF988" s="55">
        <f>K988</f>
        <v>0.06</v>
      </c>
      <c r="BH988" s="55">
        <f>G988*AO988</f>
        <v>0</v>
      </c>
      <c r="BI988" s="55">
        <f>G988*AP988</f>
        <v>0</v>
      </c>
      <c r="BJ988" s="55">
        <f>G988*H988</f>
        <v>0</v>
      </c>
      <c r="BK988" s="55"/>
      <c r="BL988" s="55">
        <v>766</v>
      </c>
      <c r="BW988" s="55">
        <v>21</v>
      </c>
    </row>
    <row r="989" spans="1:12" ht="13.5" customHeight="1">
      <c r="A989" s="59"/>
      <c r="D989" s="218" t="s">
        <v>1947</v>
      </c>
      <c r="E989" s="219"/>
      <c r="F989" s="219"/>
      <c r="G989" s="219"/>
      <c r="H989" s="219"/>
      <c r="I989" s="219"/>
      <c r="J989" s="219"/>
      <c r="K989" s="219"/>
      <c r="L989" s="221"/>
    </row>
    <row r="990" spans="1:12" ht="14.4">
      <c r="A990" s="59"/>
      <c r="D990" s="60" t="s">
        <v>120</v>
      </c>
      <c r="E990" s="60" t="s">
        <v>4</v>
      </c>
      <c r="G990" s="68">
        <v>1</v>
      </c>
      <c r="L990" s="69"/>
    </row>
    <row r="991" spans="1:75" ht="27" customHeight="1">
      <c r="A991" s="1" t="s">
        <v>1963</v>
      </c>
      <c r="B991" s="2" t="s">
        <v>116</v>
      </c>
      <c r="C991" s="2" t="s">
        <v>1964</v>
      </c>
      <c r="D991" s="147" t="s">
        <v>1965</v>
      </c>
      <c r="E991" s="148"/>
      <c r="F991" s="2" t="s">
        <v>374</v>
      </c>
      <c r="G991" s="55">
        <f>'Stavební rozpočet-vyplnit'!G991</f>
        <v>1</v>
      </c>
      <c r="H991" s="55">
        <f>'Stavební rozpočet-vyplnit'!H991</f>
        <v>0</v>
      </c>
      <c r="I991" s="55">
        <f>G991*H991</f>
        <v>0</v>
      </c>
      <c r="J991" s="55">
        <f>'Stavební rozpočet-vyplnit'!J991</f>
        <v>0.06</v>
      </c>
      <c r="K991" s="55">
        <f>G991*J991</f>
        <v>0.06</v>
      </c>
      <c r="L991" s="57" t="s">
        <v>124</v>
      </c>
      <c r="Z991" s="55">
        <f>IF(AQ991="5",BJ991,0)</f>
        <v>0</v>
      </c>
      <c r="AB991" s="55">
        <f>IF(AQ991="1",BH991,0)</f>
        <v>0</v>
      </c>
      <c r="AC991" s="55">
        <f>IF(AQ991="1",BI991,0)</f>
        <v>0</v>
      </c>
      <c r="AD991" s="55">
        <f>IF(AQ991="7",BH991,0)</f>
        <v>0</v>
      </c>
      <c r="AE991" s="55">
        <f>IF(AQ991="7",BI991,0)</f>
        <v>0</v>
      </c>
      <c r="AF991" s="55">
        <f>IF(AQ991="2",BH991,0)</f>
        <v>0</v>
      </c>
      <c r="AG991" s="55">
        <f>IF(AQ991="2",BI991,0)</f>
        <v>0</v>
      </c>
      <c r="AH991" s="55">
        <f>IF(AQ991="0",BJ991,0)</f>
        <v>0</v>
      </c>
      <c r="AI991" s="34" t="s">
        <v>116</v>
      </c>
      <c r="AJ991" s="55">
        <f>IF(AN991=0,I991,0)</f>
        <v>0</v>
      </c>
      <c r="AK991" s="55">
        <f>IF(AN991=12,I991,0)</f>
        <v>0</v>
      </c>
      <c r="AL991" s="55">
        <f>IF(AN991=21,I991,0)</f>
        <v>0</v>
      </c>
      <c r="AN991" s="55">
        <v>21</v>
      </c>
      <c r="AO991" s="55">
        <f>H991*0.934782609</f>
        <v>0</v>
      </c>
      <c r="AP991" s="55">
        <f>H991*(1-0.934782609)</f>
        <v>0</v>
      </c>
      <c r="AQ991" s="58" t="s">
        <v>125</v>
      </c>
      <c r="AV991" s="55">
        <f>AW991+AX991</f>
        <v>0</v>
      </c>
      <c r="AW991" s="55">
        <f>G991*AO991</f>
        <v>0</v>
      </c>
      <c r="AX991" s="55">
        <f>G991*AP991</f>
        <v>0</v>
      </c>
      <c r="AY991" s="58" t="s">
        <v>1905</v>
      </c>
      <c r="AZ991" s="58" t="s">
        <v>1669</v>
      </c>
      <c r="BA991" s="34" t="s">
        <v>128</v>
      </c>
      <c r="BB991" s="67">
        <v>100007</v>
      </c>
      <c r="BC991" s="55">
        <f>AW991+AX991</f>
        <v>0</v>
      </c>
      <c r="BD991" s="55">
        <f>H991/(100-BE991)*100</f>
        <v>0</v>
      </c>
      <c r="BE991" s="55">
        <v>0</v>
      </c>
      <c r="BF991" s="55">
        <f>K991</f>
        <v>0.06</v>
      </c>
      <c r="BH991" s="55">
        <f>G991*AO991</f>
        <v>0</v>
      </c>
      <c r="BI991" s="55">
        <f>G991*AP991</f>
        <v>0</v>
      </c>
      <c r="BJ991" s="55">
        <f>G991*H991</f>
        <v>0</v>
      </c>
      <c r="BK991" s="55"/>
      <c r="BL991" s="55">
        <v>766</v>
      </c>
      <c r="BW991" s="55">
        <v>21</v>
      </c>
    </row>
    <row r="992" spans="1:12" ht="13.5" customHeight="1">
      <c r="A992" s="59"/>
      <c r="D992" s="218" t="s">
        <v>1947</v>
      </c>
      <c r="E992" s="219"/>
      <c r="F992" s="219"/>
      <c r="G992" s="219"/>
      <c r="H992" s="219"/>
      <c r="I992" s="219"/>
      <c r="J992" s="219"/>
      <c r="K992" s="219"/>
      <c r="L992" s="221"/>
    </row>
    <row r="993" spans="1:12" ht="14.4">
      <c r="A993" s="59"/>
      <c r="D993" s="60" t="s">
        <v>120</v>
      </c>
      <c r="E993" s="60" t="s">
        <v>4</v>
      </c>
      <c r="G993" s="68">
        <v>1</v>
      </c>
      <c r="L993" s="69"/>
    </row>
    <row r="994" spans="1:75" ht="13.5" customHeight="1">
      <c r="A994" s="1" t="s">
        <v>1966</v>
      </c>
      <c r="B994" s="2" t="s">
        <v>116</v>
      </c>
      <c r="C994" s="2" t="s">
        <v>1967</v>
      </c>
      <c r="D994" s="147" t="s">
        <v>1968</v>
      </c>
      <c r="E994" s="148"/>
      <c r="F994" s="2" t="s">
        <v>374</v>
      </c>
      <c r="G994" s="55">
        <f>'Stavební rozpočet-vyplnit'!G994</f>
        <v>1</v>
      </c>
      <c r="H994" s="55">
        <f>'Stavební rozpočet-vyplnit'!H994</f>
        <v>0</v>
      </c>
      <c r="I994" s="55">
        <f>G994*H994</f>
        <v>0</v>
      </c>
      <c r="J994" s="55">
        <f>'Stavební rozpočet-vyplnit'!J994</f>
        <v>0.06</v>
      </c>
      <c r="K994" s="55">
        <f>G994*J994</f>
        <v>0.06</v>
      </c>
      <c r="L994" s="57" t="s">
        <v>124</v>
      </c>
      <c r="Z994" s="55">
        <f>IF(AQ994="5",BJ994,0)</f>
        <v>0</v>
      </c>
      <c r="AB994" s="55">
        <f>IF(AQ994="1",BH994,0)</f>
        <v>0</v>
      </c>
      <c r="AC994" s="55">
        <f>IF(AQ994="1",BI994,0)</f>
        <v>0</v>
      </c>
      <c r="AD994" s="55">
        <f>IF(AQ994="7",BH994,0)</f>
        <v>0</v>
      </c>
      <c r="AE994" s="55">
        <f>IF(AQ994="7",BI994,0)</f>
        <v>0</v>
      </c>
      <c r="AF994" s="55">
        <f>IF(AQ994="2",BH994,0)</f>
        <v>0</v>
      </c>
      <c r="AG994" s="55">
        <f>IF(AQ994="2",BI994,0)</f>
        <v>0</v>
      </c>
      <c r="AH994" s="55">
        <f>IF(AQ994="0",BJ994,0)</f>
        <v>0</v>
      </c>
      <c r="AI994" s="34" t="s">
        <v>116</v>
      </c>
      <c r="AJ994" s="55">
        <f>IF(AN994=0,I994,0)</f>
        <v>0</v>
      </c>
      <c r="AK994" s="55">
        <f>IF(AN994=12,I994,0)</f>
        <v>0</v>
      </c>
      <c r="AL994" s="55">
        <f>IF(AN994=21,I994,0)</f>
        <v>0</v>
      </c>
      <c r="AN994" s="55">
        <v>21</v>
      </c>
      <c r="AO994" s="55">
        <f>H994*0.91627907</f>
        <v>0</v>
      </c>
      <c r="AP994" s="55">
        <f>H994*(1-0.91627907)</f>
        <v>0</v>
      </c>
      <c r="AQ994" s="58" t="s">
        <v>125</v>
      </c>
      <c r="AV994" s="55">
        <f>AW994+AX994</f>
        <v>0</v>
      </c>
      <c r="AW994" s="55">
        <f>G994*AO994</f>
        <v>0</v>
      </c>
      <c r="AX994" s="55">
        <f>G994*AP994</f>
        <v>0</v>
      </c>
      <c r="AY994" s="58" t="s">
        <v>1905</v>
      </c>
      <c r="AZ994" s="58" t="s">
        <v>1669</v>
      </c>
      <c r="BA994" s="34" t="s">
        <v>128</v>
      </c>
      <c r="BB994" s="67">
        <v>100007</v>
      </c>
      <c r="BC994" s="55">
        <f>AW994+AX994</f>
        <v>0</v>
      </c>
      <c r="BD994" s="55">
        <f>H994/(100-BE994)*100</f>
        <v>0</v>
      </c>
      <c r="BE994" s="55">
        <v>0</v>
      </c>
      <c r="BF994" s="55">
        <f>K994</f>
        <v>0.06</v>
      </c>
      <c r="BH994" s="55">
        <f>G994*AO994</f>
        <v>0</v>
      </c>
      <c r="BI994" s="55">
        <f>G994*AP994</f>
        <v>0</v>
      </c>
      <c r="BJ994" s="55">
        <f>G994*H994</f>
        <v>0</v>
      </c>
      <c r="BK994" s="55"/>
      <c r="BL994" s="55">
        <v>766</v>
      </c>
      <c r="BW994" s="55">
        <v>21</v>
      </c>
    </row>
    <row r="995" spans="1:12" ht="13.5" customHeight="1">
      <c r="A995" s="59"/>
      <c r="D995" s="218" t="s">
        <v>1947</v>
      </c>
      <c r="E995" s="219"/>
      <c r="F995" s="219"/>
      <c r="G995" s="219"/>
      <c r="H995" s="219"/>
      <c r="I995" s="219"/>
      <c r="J995" s="219"/>
      <c r="K995" s="219"/>
      <c r="L995" s="221"/>
    </row>
    <row r="996" spans="1:12" ht="14.4">
      <c r="A996" s="59"/>
      <c r="D996" s="60" t="s">
        <v>120</v>
      </c>
      <c r="E996" s="60" t="s">
        <v>4</v>
      </c>
      <c r="G996" s="68">
        <v>1</v>
      </c>
      <c r="L996" s="69"/>
    </row>
    <row r="997" spans="1:75" ht="13.5" customHeight="1">
      <c r="A997" s="1" t="s">
        <v>1969</v>
      </c>
      <c r="B997" s="2" t="s">
        <v>116</v>
      </c>
      <c r="C997" s="2" t="s">
        <v>1970</v>
      </c>
      <c r="D997" s="147" t="s">
        <v>1971</v>
      </c>
      <c r="E997" s="148"/>
      <c r="F997" s="2" t="s">
        <v>374</v>
      </c>
      <c r="G997" s="55">
        <f>'Stavební rozpočet-vyplnit'!G997</f>
        <v>1</v>
      </c>
      <c r="H997" s="55">
        <f>'Stavební rozpočet-vyplnit'!H997</f>
        <v>0</v>
      </c>
      <c r="I997" s="55">
        <f>G997*H997</f>
        <v>0</v>
      </c>
      <c r="J997" s="55">
        <f>'Stavební rozpočet-vyplnit'!J997</f>
        <v>0.06</v>
      </c>
      <c r="K997" s="55">
        <f>G997*J997</f>
        <v>0.06</v>
      </c>
      <c r="L997" s="57" t="s">
        <v>124</v>
      </c>
      <c r="Z997" s="55">
        <f>IF(AQ997="5",BJ997,0)</f>
        <v>0</v>
      </c>
      <c r="AB997" s="55">
        <f>IF(AQ997="1",BH997,0)</f>
        <v>0</v>
      </c>
      <c r="AC997" s="55">
        <f>IF(AQ997="1",BI997,0)</f>
        <v>0</v>
      </c>
      <c r="AD997" s="55">
        <f>IF(AQ997="7",BH997,0)</f>
        <v>0</v>
      </c>
      <c r="AE997" s="55">
        <f>IF(AQ997="7",BI997,0)</f>
        <v>0</v>
      </c>
      <c r="AF997" s="55">
        <f>IF(AQ997="2",BH997,0)</f>
        <v>0</v>
      </c>
      <c r="AG997" s="55">
        <f>IF(AQ997="2",BI997,0)</f>
        <v>0</v>
      </c>
      <c r="AH997" s="55">
        <f>IF(AQ997="0",BJ997,0)</f>
        <v>0</v>
      </c>
      <c r="AI997" s="34" t="s">
        <v>116</v>
      </c>
      <c r="AJ997" s="55">
        <f>IF(AN997=0,I997,0)</f>
        <v>0</v>
      </c>
      <c r="AK997" s="55">
        <f>IF(AN997=12,I997,0)</f>
        <v>0</v>
      </c>
      <c r="AL997" s="55">
        <f>IF(AN997=21,I997,0)</f>
        <v>0</v>
      </c>
      <c r="AN997" s="55">
        <v>21</v>
      </c>
      <c r="AO997" s="55">
        <f>H997*0.91627907</f>
        <v>0</v>
      </c>
      <c r="AP997" s="55">
        <f>H997*(1-0.91627907)</f>
        <v>0</v>
      </c>
      <c r="AQ997" s="58" t="s">
        <v>125</v>
      </c>
      <c r="AV997" s="55">
        <f>AW997+AX997</f>
        <v>0</v>
      </c>
      <c r="AW997" s="55">
        <f>G997*AO997</f>
        <v>0</v>
      </c>
      <c r="AX997" s="55">
        <f>G997*AP997</f>
        <v>0</v>
      </c>
      <c r="AY997" s="58" t="s">
        <v>1905</v>
      </c>
      <c r="AZ997" s="58" t="s">
        <v>1669</v>
      </c>
      <c r="BA997" s="34" t="s">
        <v>128</v>
      </c>
      <c r="BB997" s="67">
        <v>100007</v>
      </c>
      <c r="BC997" s="55">
        <f>AW997+AX997</f>
        <v>0</v>
      </c>
      <c r="BD997" s="55">
        <f>H997/(100-BE997)*100</f>
        <v>0</v>
      </c>
      <c r="BE997" s="55">
        <v>0</v>
      </c>
      <c r="BF997" s="55">
        <f>K997</f>
        <v>0.06</v>
      </c>
      <c r="BH997" s="55">
        <f>G997*AO997</f>
        <v>0</v>
      </c>
      <c r="BI997" s="55">
        <f>G997*AP997</f>
        <v>0</v>
      </c>
      <c r="BJ997" s="55">
        <f>G997*H997</f>
        <v>0</v>
      </c>
      <c r="BK997" s="55"/>
      <c r="BL997" s="55">
        <v>766</v>
      </c>
      <c r="BW997" s="55">
        <v>21</v>
      </c>
    </row>
    <row r="998" spans="1:12" ht="13.5" customHeight="1">
      <c r="A998" s="59"/>
      <c r="D998" s="218" t="s">
        <v>1947</v>
      </c>
      <c r="E998" s="219"/>
      <c r="F998" s="219"/>
      <c r="G998" s="219"/>
      <c r="H998" s="219"/>
      <c r="I998" s="219"/>
      <c r="J998" s="219"/>
      <c r="K998" s="219"/>
      <c r="L998" s="221"/>
    </row>
    <row r="999" spans="1:12" ht="14.4">
      <c r="A999" s="59"/>
      <c r="D999" s="60" t="s">
        <v>120</v>
      </c>
      <c r="E999" s="60" t="s">
        <v>4</v>
      </c>
      <c r="G999" s="68">
        <v>1</v>
      </c>
      <c r="L999" s="69"/>
    </row>
    <row r="1000" spans="1:75" ht="13.5" customHeight="1">
      <c r="A1000" s="1" t="s">
        <v>1972</v>
      </c>
      <c r="B1000" s="2" t="s">
        <v>116</v>
      </c>
      <c r="C1000" s="2" t="s">
        <v>1973</v>
      </c>
      <c r="D1000" s="147" t="s">
        <v>1974</v>
      </c>
      <c r="E1000" s="148"/>
      <c r="F1000" s="2" t="s">
        <v>374</v>
      </c>
      <c r="G1000" s="55">
        <f>'Stavební rozpočet-vyplnit'!G1000</f>
        <v>1</v>
      </c>
      <c r="H1000" s="55">
        <f>'Stavební rozpočet-vyplnit'!H1000</f>
        <v>0</v>
      </c>
      <c r="I1000" s="55">
        <f>G1000*H1000</f>
        <v>0</v>
      </c>
      <c r="J1000" s="55">
        <f>'Stavební rozpočet-vyplnit'!J1000</f>
        <v>0.06</v>
      </c>
      <c r="K1000" s="55">
        <f>G1000*J1000</f>
        <v>0.06</v>
      </c>
      <c r="L1000" s="57" t="s">
        <v>124</v>
      </c>
      <c r="Z1000" s="55">
        <f>IF(AQ1000="5",BJ1000,0)</f>
        <v>0</v>
      </c>
      <c r="AB1000" s="55">
        <f>IF(AQ1000="1",BH1000,0)</f>
        <v>0</v>
      </c>
      <c r="AC1000" s="55">
        <f>IF(AQ1000="1",BI1000,0)</f>
        <v>0</v>
      </c>
      <c r="AD1000" s="55">
        <f>IF(AQ1000="7",BH1000,0)</f>
        <v>0</v>
      </c>
      <c r="AE1000" s="55">
        <f>IF(AQ1000="7",BI1000,0)</f>
        <v>0</v>
      </c>
      <c r="AF1000" s="55">
        <f>IF(AQ1000="2",BH1000,0)</f>
        <v>0</v>
      </c>
      <c r="AG1000" s="55">
        <f>IF(AQ1000="2",BI1000,0)</f>
        <v>0</v>
      </c>
      <c r="AH1000" s="55">
        <f>IF(AQ1000="0",BJ1000,0)</f>
        <v>0</v>
      </c>
      <c r="AI1000" s="34" t="s">
        <v>116</v>
      </c>
      <c r="AJ1000" s="55">
        <f>IF(AN1000=0,I1000,0)</f>
        <v>0</v>
      </c>
      <c r="AK1000" s="55">
        <f>IF(AN1000=12,I1000,0)</f>
        <v>0</v>
      </c>
      <c r="AL1000" s="55">
        <f>IF(AN1000=21,I1000,0)</f>
        <v>0</v>
      </c>
      <c r="AN1000" s="55">
        <v>21</v>
      </c>
      <c r="AO1000" s="55">
        <f>H1000*0.91627907</f>
        <v>0</v>
      </c>
      <c r="AP1000" s="55">
        <f>H1000*(1-0.91627907)</f>
        <v>0</v>
      </c>
      <c r="AQ1000" s="58" t="s">
        <v>125</v>
      </c>
      <c r="AV1000" s="55">
        <f>AW1000+AX1000</f>
        <v>0</v>
      </c>
      <c r="AW1000" s="55">
        <f>G1000*AO1000</f>
        <v>0</v>
      </c>
      <c r="AX1000" s="55">
        <f>G1000*AP1000</f>
        <v>0</v>
      </c>
      <c r="AY1000" s="58" t="s">
        <v>1905</v>
      </c>
      <c r="AZ1000" s="58" t="s">
        <v>1669</v>
      </c>
      <c r="BA1000" s="34" t="s">
        <v>128</v>
      </c>
      <c r="BB1000" s="67">
        <v>100007</v>
      </c>
      <c r="BC1000" s="55">
        <f>AW1000+AX1000</f>
        <v>0</v>
      </c>
      <c r="BD1000" s="55">
        <f>H1000/(100-BE1000)*100</f>
        <v>0</v>
      </c>
      <c r="BE1000" s="55">
        <v>0</v>
      </c>
      <c r="BF1000" s="55">
        <f>K1000</f>
        <v>0.06</v>
      </c>
      <c r="BH1000" s="55">
        <f>G1000*AO1000</f>
        <v>0</v>
      </c>
      <c r="BI1000" s="55">
        <f>G1000*AP1000</f>
        <v>0</v>
      </c>
      <c r="BJ1000" s="55">
        <f>G1000*H1000</f>
        <v>0</v>
      </c>
      <c r="BK1000" s="55"/>
      <c r="BL1000" s="55">
        <v>766</v>
      </c>
      <c r="BW1000" s="55">
        <v>21</v>
      </c>
    </row>
    <row r="1001" spans="1:12" ht="13.5" customHeight="1">
      <c r="A1001" s="59"/>
      <c r="D1001" s="218" t="s">
        <v>1947</v>
      </c>
      <c r="E1001" s="219"/>
      <c r="F1001" s="219"/>
      <c r="G1001" s="219"/>
      <c r="H1001" s="219"/>
      <c r="I1001" s="219"/>
      <c r="J1001" s="219"/>
      <c r="K1001" s="219"/>
      <c r="L1001" s="221"/>
    </row>
    <row r="1002" spans="1:12" ht="14.4">
      <c r="A1002" s="59"/>
      <c r="D1002" s="60" t="s">
        <v>120</v>
      </c>
      <c r="E1002" s="60" t="s">
        <v>4</v>
      </c>
      <c r="G1002" s="68">
        <v>1</v>
      </c>
      <c r="L1002" s="69"/>
    </row>
    <row r="1003" spans="1:75" ht="13.5" customHeight="1">
      <c r="A1003" s="1" t="s">
        <v>1975</v>
      </c>
      <c r="B1003" s="2" t="s">
        <v>116</v>
      </c>
      <c r="C1003" s="2" t="s">
        <v>1976</v>
      </c>
      <c r="D1003" s="147" t="s">
        <v>1977</v>
      </c>
      <c r="E1003" s="148"/>
      <c r="F1003" s="2" t="s">
        <v>374</v>
      </c>
      <c r="G1003" s="55">
        <f>'Stavební rozpočet-vyplnit'!G1003</f>
        <v>1</v>
      </c>
      <c r="H1003" s="55">
        <f>'Stavební rozpočet-vyplnit'!H1003</f>
        <v>0</v>
      </c>
      <c r="I1003" s="55">
        <f>G1003*H1003</f>
        <v>0</v>
      </c>
      <c r="J1003" s="55">
        <f>'Stavební rozpočet-vyplnit'!J1003</f>
        <v>0.06</v>
      </c>
      <c r="K1003" s="55">
        <f>G1003*J1003</f>
        <v>0.06</v>
      </c>
      <c r="L1003" s="57" t="s">
        <v>124</v>
      </c>
      <c r="Z1003" s="55">
        <f>IF(AQ1003="5",BJ1003,0)</f>
        <v>0</v>
      </c>
      <c r="AB1003" s="55">
        <f>IF(AQ1003="1",BH1003,0)</f>
        <v>0</v>
      </c>
      <c r="AC1003" s="55">
        <f>IF(AQ1003="1",BI1003,0)</f>
        <v>0</v>
      </c>
      <c r="AD1003" s="55">
        <f>IF(AQ1003="7",BH1003,0)</f>
        <v>0</v>
      </c>
      <c r="AE1003" s="55">
        <f>IF(AQ1003="7",BI1003,0)</f>
        <v>0</v>
      </c>
      <c r="AF1003" s="55">
        <f>IF(AQ1003="2",BH1003,0)</f>
        <v>0</v>
      </c>
      <c r="AG1003" s="55">
        <f>IF(AQ1003="2",BI1003,0)</f>
        <v>0</v>
      </c>
      <c r="AH1003" s="55">
        <f>IF(AQ1003="0",BJ1003,0)</f>
        <v>0</v>
      </c>
      <c r="AI1003" s="34" t="s">
        <v>116</v>
      </c>
      <c r="AJ1003" s="55">
        <f>IF(AN1003=0,I1003,0)</f>
        <v>0</v>
      </c>
      <c r="AK1003" s="55">
        <f>IF(AN1003=12,I1003,0)</f>
        <v>0</v>
      </c>
      <c r="AL1003" s="55">
        <f>IF(AN1003=21,I1003,0)</f>
        <v>0</v>
      </c>
      <c r="AN1003" s="55">
        <v>21</v>
      </c>
      <c r="AO1003" s="55">
        <f>H1003*0.91627907</f>
        <v>0</v>
      </c>
      <c r="AP1003" s="55">
        <f>H1003*(1-0.91627907)</f>
        <v>0</v>
      </c>
      <c r="AQ1003" s="58" t="s">
        <v>125</v>
      </c>
      <c r="AV1003" s="55">
        <f>AW1003+AX1003</f>
        <v>0</v>
      </c>
      <c r="AW1003" s="55">
        <f>G1003*AO1003</f>
        <v>0</v>
      </c>
      <c r="AX1003" s="55">
        <f>G1003*AP1003</f>
        <v>0</v>
      </c>
      <c r="AY1003" s="58" t="s">
        <v>1905</v>
      </c>
      <c r="AZ1003" s="58" t="s">
        <v>1669</v>
      </c>
      <c r="BA1003" s="34" t="s">
        <v>128</v>
      </c>
      <c r="BB1003" s="67">
        <v>100007</v>
      </c>
      <c r="BC1003" s="55">
        <f>AW1003+AX1003</f>
        <v>0</v>
      </c>
      <c r="BD1003" s="55">
        <f>H1003/(100-BE1003)*100</f>
        <v>0</v>
      </c>
      <c r="BE1003" s="55">
        <v>0</v>
      </c>
      <c r="BF1003" s="55">
        <f>K1003</f>
        <v>0.06</v>
      </c>
      <c r="BH1003" s="55">
        <f>G1003*AO1003</f>
        <v>0</v>
      </c>
      <c r="BI1003" s="55">
        <f>G1003*AP1003</f>
        <v>0</v>
      </c>
      <c r="BJ1003" s="55">
        <f>G1003*H1003</f>
        <v>0</v>
      </c>
      <c r="BK1003" s="55"/>
      <c r="BL1003" s="55">
        <v>766</v>
      </c>
      <c r="BW1003" s="55">
        <v>21</v>
      </c>
    </row>
    <row r="1004" spans="1:12" ht="13.5" customHeight="1">
      <c r="A1004" s="59"/>
      <c r="D1004" s="218" t="s">
        <v>1947</v>
      </c>
      <c r="E1004" s="219"/>
      <c r="F1004" s="219"/>
      <c r="G1004" s="219"/>
      <c r="H1004" s="219"/>
      <c r="I1004" s="219"/>
      <c r="J1004" s="219"/>
      <c r="K1004" s="219"/>
      <c r="L1004" s="221"/>
    </row>
    <row r="1005" spans="1:12" ht="14.4">
      <c r="A1005" s="59"/>
      <c r="D1005" s="60" t="s">
        <v>120</v>
      </c>
      <c r="E1005" s="60" t="s">
        <v>4</v>
      </c>
      <c r="G1005" s="68">
        <v>1</v>
      </c>
      <c r="L1005" s="69"/>
    </row>
    <row r="1006" spans="1:75" ht="13.5" customHeight="1">
      <c r="A1006" s="1" t="s">
        <v>1978</v>
      </c>
      <c r="B1006" s="2" t="s">
        <v>116</v>
      </c>
      <c r="C1006" s="2" t="s">
        <v>1979</v>
      </c>
      <c r="D1006" s="147" t="s">
        <v>1980</v>
      </c>
      <c r="E1006" s="148"/>
      <c r="F1006" s="2" t="s">
        <v>374</v>
      </c>
      <c r="G1006" s="55">
        <f>'Stavební rozpočet-vyplnit'!G1006</f>
        <v>1</v>
      </c>
      <c r="H1006" s="55">
        <f>'Stavební rozpočet-vyplnit'!H1006</f>
        <v>0</v>
      </c>
      <c r="I1006" s="55">
        <f>G1006*H1006</f>
        <v>0</v>
      </c>
      <c r="J1006" s="55">
        <f>'Stavební rozpočet-vyplnit'!J1006</f>
        <v>0.06</v>
      </c>
      <c r="K1006" s="55">
        <f>G1006*J1006</f>
        <v>0.06</v>
      </c>
      <c r="L1006" s="57" t="s">
        <v>124</v>
      </c>
      <c r="Z1006" s="55">
        <f>IF(AQ1006="5",BJ1006,0)</f>
        <v>0</v>
      </c>
      <c r="AB1006" s="55">
        <f>IF(AQ1006="1",BH1006,0)</f>
        <v>0</v>
      </c>
      <c r="AC1006" s="55">
        <f>IF(AQ1006="1",BI1006,0)</f>
        <v>0</v>
      </c>
      <c r="AD1006" s="55">
        <f>IF(AQ1006="7",BH1006,0)</f>
        <v>0</v>
      </c>
      <c r="AE1006" s="55">
        <f>IF(AQ1006="7",BI1006,0)</f>
        <v>0</v>
      </c>
      <c r="AF1006" s="55">
        <f>IF(AQ1006="2",BH1006,0)</f>
        <v>0</v>
      </c>
      <c r="AG1006" s="55">
        <f>IF(AQ1006="2",BI1006,0)</f>
        <v>0</v>
      </c>
      <c r="AH1006" s="55">
        <f>IF(AQ1006="0",BJ1006,0)</f>
        <v>0</v>
      </c>
      <c r="AI1006" s="34" t="s">
        <v>116</v>
      </c>
      <c r="AJ1006" s="55">
        <f>IF(AN1006=0,I1006,0)</f>
        <v>0</v>
      </c>
      <c r="AK1006" s="55">
        <f>IF(AN1006=12,I1006,0)</f>
        <v>0</v>
      </c>
      <c r="AL1006" s="55">
        <f>IF(AN1006=21,I1006,0)</f>
        <v>0</v>
      </c>
      <c r="AN1006" s="55">
        <v>21</v>
      </c>
      <c r="AO1006" s="55">
        <f>H1006*0.91627907</f>
        <v>0</v>
      </c>
      <c r="AP1006" s="55">
        <f>H1006*(1-0.91627907)</f>
        <v>0</v>
      </c>
      <c r="AQ1006" s="58" t="s">
        <v>125</v>
      </c>
      <c r="AV1006" s="55">
        <f>AW1006+AX1006</f>
        <v>0</v>
      </c>
      <c r="AW1006" s="55">
        <f>G1006*AO1006</f>
        <v>0</v>
      </c>
      <c r="AX1006" s="55">
        <f>G1006*AP1006</f>
        <v>0</v>
      </c>
      <c r="AY1006" s="58" t="s">
        <v>1905</v>
      </c>
      <c r="AZ1006" s="58" t="s">
        <v>1669</v>
      </c>
      <c r="BA1006" s="34" t="s">
        <v>128</v>
      </c>
      <c r="BB1006" s="67">
        <v>100007</v>
      </c>
      <c r="BC1006" s="55">
        <f>AW1006+AX1006</f>
        <v>0</v>
      </c>
      <c r="BD1006" s="55">
        <f>H1006/(100-BE1006)*100</f>
        <v>0</v>
      </c>
      <c r="BE1006" s="55">
        <v>0</v>
      </c>
      <c r="BF1006" s="55">
        <f>K1006</f>
        <v>0.06</v>
      </c>
      <c r="BH1006" s="55">
        <f>G1006*AO1006</f>
        <v>0</v>
      </c>
      <c r="BI1006" s="55">
        <f>G1006*AP1006</f>
        <v>0</v>
      </c>
      <c r="BJ1006" s="55">
        <f>G1006*H1006</f>
        <v>0</v>
      </c>
      <c r="BK1006" s="55"/>
      <c r="BL1006" s="55">
        <v>766</v>
      </c>
      <c r="BW1006" s="55">
        <v>21</v>
      </c>
    </row>
    <row r="1007" spans="1:12" ht="13.5" customHeight="1">
      <c r="A1007" s="59"/>
      <c r="D1007" s="218" t="s">
        <v>1947</v>
      </c>
      <c r="E1007" s="219"/>
      <c r="F1007" s="219"/>
      <c r="G1007" s="219"/>
      <c r="H1007" s="219"/>
      <c r="I1007" s="219"/>
      <c r="J1007" s="219"/>
      <c r="K1007" s="219"/>
      <c r="L1007" s="221"/>
    </row>
    <row r="1008" spans="1:12" ht="14.4">
      <c r="A1008" s="59"/>
      <c r="D1008" s="60" t="s">
        <v>120</v>
      </c>
      <c r="E1008" s="60" t="s">
        <v>4</v>
      </c>
      <c r="G1008" s="68">
        <v>1</v>
      </c>
      <c r="L1008" s="69"/>
    </row>
    <row r="1009" spans="1:75" ht="13.5" customHeight="1">
      <c r="A1009" s="1" t="s">
        <v>1981</v>
      </c>
      <c r="B1009" s="2" t="s">
        <v>116</v>
      </c>
      <c r="C1009" s="2" t="s">
        <v>1982</v>
      </c>
      <c r="D1009" s="147" t="s">
        <v>1983</v>
      </c>
      <c r="E1009" s="148"/>
      <c r="F1009" s="2" t="s">
        <v>374</v>
      </c>
      <c r="G1009" s="55">
        <f>'Stavební rozpočet-vyplnit'!G1009</f>
        <v>1</v>
      </c>
      <c r="H1009" s="55">
        <f>'Stavební rozpočet-vyplnit'!H1009</f>
        <v>0</v>
      </c>
      <c r="I1009" s="55">
        <f>G1009*H1009</f>
        <v>0</v>
      </c>
      <c r="J1009" s="55">
        <f>'Stavební rozpočet-vyplnit'!J1009</f>
        <v>0.06</v>
      </c>
      <c r="K1009" s="55">
        <f>G1009*J1009</f>
        <v>0.06</v>
      </c>
      <c r="L1009" s="57" t="s">
        <v>124</v>
      </c>
      <c r="Z1009" s="55">
        <f>IF(AQ1009="5",BJ1009,0)</f>
        <v>0</v>
      </c>
      <c r="AB1009" s="55">
        <f>IF(AQ1009="1",BH1009,0)</f>
        <v>0</v>
      </c>
      <c r="AC1009" s="55">
        <f>IF(AQ1009="1",BI1009,0)</f>
        <v>0</v>
      </c>
      <c r="AD1009" s="55">
        <f>IF(AQ1009="7",BH1009,0)</f>
        <v>0</v>
      </c>
      <c r="AE1009" s="55">
        <f>IF(AQ1009="7",BI1009,0)</f>
        <v>0</v>
      </c>
      <c r="AF1009" s="55">
        <f>IF(AQ1009="2",BH1009,0)</f>
        <v>0</v>
      </c>
      <c r="AG1009" s="55">
        <f>IF(AQ1009="2",BI1009,0)</f>
        <v>0</v>
      </c>
      <c r="AH1009" s="55">
        <f>IF(AQ1009="0",BJ1009,0)</f>
        <v>0</v>
      </c>
      <c r="AI1009" s="34" t="s">
        <v>116</v>
      </c>
      <c r="AJ1009" s="55">
        <f>IF(AN1009=0,I1009,0)</f>
        <v>0</v>
      </c>
      <c r="AK1009" s="55">
        <f>IF(AN1009=12,I1009,0)</f>
        <v>0</v>
      </c>
      <c r="AL1009" s="55">
        <f>IF(AN1009=21,I1009,0)</f>
        <v>0</v>
      </c>
      <c r="AN1009" s="55">
        <v>21</v>
      </c>
      <c r="AO1009" s="55">
        <f>H1009*0.91627907</f>
        <v>0</v>
      </c>
      <c r="AP1009" s="55">
        <f>H1009*(1-0.91627907)</f>
        <v>0</v>
      </c>
      <c r="AQ1009" s="58" t="s">
        <v>125</v>
      </c>
      <c r="AV1009" s="55">
        <f>AW1009+AX1009</f>
        <v>0</v>
      </c>
      <c r="AW1009" s="55">
        <f>G1009*AO1009</f>
        <v>0</v>
      </c>
      <c r="AX1009" s="55">
        <f>G1009*AP1009</f>
        <v>0</v>
      </c>
      <c r="AY1009" s="58" t="s">
        <v>1905</v>
      </c>
      <c r="AZ1009" s="58" t="s">
        <v>1669</v>
      </c>
      <c r="BA1009" s="34" t="s">
        <v>128</v>
      </c>
      <c r="BB1009" s="67">
        <v>100007</v>
      </c>
      <c r="BC1009" s="55">
        <f>AW1009+AX1009</f>
        <v>0</v>
      </c>
      <c r="BD1009" s="55">
        <f>H1009/(100-BE1009)*100</f>
        <v>0</v>
      </c>
      <c r="BE1009" s="55">
        <v>0</v>
      </c>
      <c r="BF1009" s="55">
        <f>K1009</f>
        <v>0.06</v>
      </c>
      <c r="BH1009" s="55">
        <f>G1009*AO1009</f>
        <v>0</v>
      </c>
      <c r="BI1009" s="55">
        <f>G1009*AP1009</f>
        <v>0</v>
      </c>
      <c r="BJ1009" s="55">
        <f>G1009*H1009</f>
        <v>0</v>
      </c>
      <c r="BK1009" s="55"/>
      <c r="BL1009" s="55">
        <v>766</v>
      </c>
      <c r="BW1009" s="55">
        <v>21</v>
      </c>
    </row>
    <row r="1010" spans="1:12" ht="13.5" customHeight="1">
      <c r="A1010" s="59"/>
      <c r="D1010" s="218" t="s">
        <v>1947</v>
      </c>
      <c r="E1010" s="219"/>
      <c r="F1010" s="219"/>
      <c r="G1010" s="219"/>
      <c r="H1010" s="219"/>
      <c r="I1010" s="219"/>
      <c r="J1010" s="219"/>
      <c r="K1010" s="219"/>
      <c r="L1010" s="221"/>
    </row>
    <row r="1011" spans="1:12" ht="14.4">
      <c r="A1011" s="59"/>
      <c r="D1011" s="60" t="s">
        <v>120</v>
      </c>
      <c r="E1011" s="60" t="s">
        <v>4</v>
      </c>
      <c r="G1011" s="68">
        <v>1</v>
      </c>
      <c r="L1011" s="69"/>
    </row>
    <row r="1012" spans="1:75" ht="13.5" customHeight="1">
      <c r="A1012" s="1" t="s">
        <v>1984</v>
      </c>
      <c r="B1012" s="2" t="s">
        <v>116</v>
      </c>
      <c r="C1012" s="2" t="s">
        <v>1985</v>
      </c>
      <c r="D1012" s="147" t="s">
        <v>1986</v>
      </c>
      <c r="E1012" s="148"/>
      <c r="F1012" s="2" t="s">
        <v>374</v>
      </c>
      <c r="G1012" s="55">
        <f>'Stavební rozpočet-vyplnit'!G1012</f>
        <v>1</v>
      </c>
      <c r="H1012" s="55">
        <f>'Stavební rozpočet-vyplnit'!H1012</f>
        <v>0</v>
      </c>
      <c r="I1012" s="55">
        <f>G1012*H1012</f>
        <v>0</v>
      </c>
      <c r="J1012" s="55">
        <f>'Stavební rozpočet-vyplnit'!J1012</f>
        <v>0.06</v>
      </c>
      <c r="K1012" s="55">
        <f>G1012*J1012</f>
        <v>0.06</v>
      </c>
      <c r="L1012" s="57" t="s">
        <v>124</v>
      </c>
      <c r="Z1012" s="55">
        <f>IF(AQ1012="5",BJ1012,0)</f>
        <v>0</v>
      </c>
      <c r="AB1012" s="55">
        <f>IF(AQ1012="1",BH1012,0)</f>
        <v>0</v>
      </c>
      <c r="AC1012" s="55">
        <f>IF(AQ1012="1",BI1012,0)</f>
        <v>0</v>
      </c>
      <c r="AD1012" s="55">
        <f>IF(AQ1012="7",BH1012,0)</f>
        <v>0</v>
      </c>
      <c r="AE1012" s="55">
        <f>IF(AQ1012="7",BI1012,0)</f>
        <v>0</v>
      </c>
      <c r="AF1012" s="55">
        <f>IF(AQ1012="2",BH1012,0)</f>
        <v>0</v>
      </c>
      <c r="AG1012" s="55">
        <f>IF(AQ1012="2",BI1012,0)</f>
        <v>0</v>
      </c>
      <c r="AH1012" s="55">
        <f>IF(AQ1012="0",BJ1012,0)</f>
        <v>0</v>
      </c>
      <c r="AI1012" s="34" t="s">
        <v>116</v>
      </c>
      <c r="AJ1012" s="55">
        <f>IF(AN1012=0,I1012,0)</f>
        <v>0</v>
      </c>
      <c r="AK1012" s="55">
        <f>IF(AN1012=12,I1012,0)</f>
        <v>0</v>
      </c>
      <c r="AL1012" s="55">
        <f>IF(AN1012=21,I1012,0)</f>
        <v>0</v>
      </c>
      <c r="AN1012" s="55">
        <v>21</v>
      </c>
      <c r="AO1012" s="55">
        <f>H1012*0.91627907</f>
        <v>0</v>
      </c>
      <c r="AP1012" s="55">
        <f>H1012*(1-0.91627907)</f>
        <v>0</v>
      </c>
      <c r="AQ1012" s="58" t="s">
        <v>125</v>
      </c>
      <c r="AV1012" s="55">
        <f>AW1012+AX1012</f>
        <v>0</v>
      </c>
      <c r="AW1012" s="55">
        <f>G1012*AO1012</f>
        <v>0</v>
      </c>
      <c r="AX1012" s="55">
        <f>G1012*AP1012</f>
        <v>0</v>
      </c>
      <c r="AY1012" s="58" t="s">
        <v>1905</v>
      </c>
      <c r="AZ1012" s="58" t="s">
        <v>1669</v>
      </c>
      <c r="BA1012" s="34" t="s">
        <v>128</v>
      </c>
      <c r="BB1012" s="67">
        <v>100007</v>
      </c>
      <c r="BC1012" s="55">
        <f>AW1012+AX1012</f>
        <v>0</v>
      </c>
      <c r="BD1012" s="55">
        <f>H1012/(100-BE1012)*100</f>
        <v>0</v>
      </c>
      <c r="BE1012" s="55">
        <v>0</v>
      </c>
      <c r="BF1012" s="55">
        <f>K1012</f>
        <v>0.06</v>
      </c>
      <c r="BH1012" s="55">
        <f>G1012*AO1012</f>
        <v>0</v>
      </c>
      <c r="BI1012" s="55">
        <f>G1012*AP1012</f>
        <v>0</v>
      </c>
      <c r="BJ1012" s="55">
        <f>G1012*H1012</f>
        <v>0</v>
      </c>
      <c r="BK1012" s="55"/>
      <c r="BL1012" s="55">
        <v>766</v>
      </c>
      <c r="BW1012" s="55">
        <v>21</v>
      </c>
    </row>
    <row r="1013" spans="1:12" ht="13.5" customHeight="1">
      <c r="A1013" s="59"/>
      <c r="D1013" s="218" t="s">
        <v>1947</v>
      </c>
      <c r="E1013" s="219"/>
      <c r="F1013" s="219"/>
      <c r="G1013" s="219"/>
      <c r="H1013" s="219"/>
      <c r="I1013" s="219"/>
      <c r="J1013" s="219"/>
      <c r="K1013" s="219"/>
      <c r="L1013" s="221"/>
    </row>
    <row r="1014" spans="1:12" ht="14.4">
      <c r="A1014" s="59"/>
      <c r="D1014" s="60" t="s">
        <v>120</v>
      </c>
      <c r="E1014" s="60" t="s">
        <v>4</v>
      </c>
      <c r="G1014" s="68">
        <v>1</v>
      </c>
      <c r="L1014" s="69"/>
    </row>
    <row r="1015" spans="1:75" ht="13.5" customHeight="1">
      <c r="A1015" s="1" t="s">
        <v>1987</v>
      </c>
      <c r="B1015" s="2" t="s">
        <v>116</v>
      </c>
      <c r="C1015" s="2" t="s">
        <v>1988</v>
      </c>
      <c r="D1015" s="147" t="s">
        <v>1989</v>
      </c>
      <c r="E1015" s="148"/>
      <c r="F1015" s="2" t="s">
        <v>374</v>
      </c>
      <c r="G1015" s="55">
        <f>'Stavební rozpočet-vyplnit'!G1015</f>
        <v>1</v>
      </c>
      <c r="H1015" s="55">
        <f>'Stavební rozpočet-vyplnit'!H1015</f>
        <v>0</v>
      </c>
      <c r="I1015" s="55">
        <f>G1015*H1015</f>
        <v>0</v>
      </c>
      <c r="J1015" s="55">
        <f>'Stavební rozpočet-vyplnit'!J1015</f>
        <v>0.06</v>
      </c>
      <c r="K1015" s="55">
        <f>G1015*J1015</f>
        <v>0.06</v>
      </c>
      <c r="L1015" s="57" t="s">
        <v>124</v>
      </c>
      <c r="Z1015" s="55">
        <f>IF(AQ1015="5",BJ1015,0)</f>
        <v>0</v>
      </c>
      <c r="AB1015" s="55">
        <f>IF(AQ1015="1",BH1015,0)</f>
        <v>0</v>
      </c>
      <c r="AC1015" s="55">
        <f>IF(AQ1015="1",BI1015,0)</f>
        <v>0</v>
      </c>
      <c r="AD1015" s="55">
        <f>IF(AQ1015="7",BH1015,0)</f>
        <v>0</v>
      </c>
      <c r="AE1015" s="55">
        <f>IF(AQ1015="7",BI1015,0)</f>
        <v>0</v>
      </c>
      <c r="AF1015" s="55">
        <f>IF(AQ1015="2",BH1015,0)</f>
        <v>0</v>
      </c>
      <c r="AG1015" s="55">
        <f>IF(AQ1015="2",BI1015,0)</f>
        <v>0</v>
      </c>
      <c r="AH1015" s="55">
        <f>IF(AQ1015="0",BJ1015,0)</f>
        <v>0</v>
      </c>
      <c r="AI1015" s="34" t="s">
        <v>116</v>
      </c>
      <c r="AJ1015" s="55">
        <f>IF(AN1015=0,I1015,0)</f>
        <v>0</v>
      </c>
      <c r="AK1015" s="55">
        <f>IF(AN1015=12,I1015,0)</f>
        <v>0</v>
      </c>
      <c r="AL1015" s="55">
        <f>IF(AN1015=21,I1015,0)</f>
        <v>0</v>
      </c>
      <c r="AN1015" s="55">
        <v>21</v>
      </c>
      <c r="AO1015" s="55">
        <f>H1015*0.91627907</f>
        <v>0</v>
      </c>
      <c r="AP1015" s="55">
        <f>H1015*(1-0.91627907)</f>
        <v>0</v>
      </c>
      <c r="AQ1015" s="58" t="s">
        <v>125</v>
      </c>
      <c r="AV1015" s="55">
        <f>AW1015+AX1015</f>
        <v>0</v>
      </c>
      <c r="AW1015" s="55">
        <f>G1015*AO1015</f>
        <v>0</v>
      </c>
      <c r="AX1015" s="55">
        <f>G1015*AP1015</f>
        <v>0</v>
      </c>
      <c r="AY1015" s="58" t="s">
        <v>1905</v>
      </c>
      <c r="AZ1015" s="58" t="s">
        <v>1669</v>
      </c>
      <c r="BA1015" s="34" t="s">
        <v>128</v>
      </c>
      <c r="BB1015" s="67">
        <v>100007</v>
      </c>
      <c r="BC1015" s="55">
        <f>AW1015+AX1015</f>
        <v>0</v>
      </c>
      <c r="BD1015" s="55">
        <f>H1015/(100-BE1015)*100</f>
        <v>0</v>
      </c>
      <c r="BE1015" s="55">
        <v>0</v>
      </c>
      <c r="BF1015" s="55">
        <f>K1015</f>
        <v>0.06</v>
      </c>
      <c r="BH1015" s="55">
        <f>G1015*AO1015</f>
        <v>0</v>
      </c>
      <c r="BI1015" s="55">
        <f>G1015*AP1015</f>
        <v>0</v>
      </c>
      <c r="BJ1015" s="55">
        <f>G1015*H1015</f>
        <v>0</v>
      </c>
      <c r="BK1015" s="55"/>
      <c r="BL1015" s="55">
        <v>766</v>
      </c>
      <c r="BW1015" s="55">
        <v>21</v>
      </c>
    </row>
    <row r="1016" spans="1:12" ht="13.5" customHeight="1">
      <c r="A1016" s="59"/>
      <c r="D1016" s="218" t="s">
        <v>1947</v>
      </c>
      <c r="E1016" s="219"/>
      <c r="F1016" s="219"/>
      <c r="G1016" s="219"/>
      <c r="H1016" s="219"/>
      <c r="I1016" s="219"/>
      <c r="J1016" s="219"/>
      <c r="K1016" s="219"/>
      <c r="L1016" s="221"/>
    </row>
    <row r="1017" spans="1:12" ht="14.4">
      <c r="A1017" s="59"/>
      <c r="D1017" s="60" t="s">
        <v>120</v>
      </c>
      <c r="E1017" s="60" t="s">
        <v>4</v>
      </c>
      <c r="G1017" s="68">
        <v>1</v>
      </c>
      <c r="L1017" s="69"/>
    </row>
    <row r="1018" spans="1:75" ht="13.5" customHeight="1">
      <c r="A1018" s="1" t="s">
        <v>1990</v>
      </c>
      <c r="B1018" s="2" t="s">
        <v>116</v>
      </c>
      <c r="C1018" s="2" t="s">
        <v>1991</v>
      </c>
      <c r="D1018" s="147" t="s">
        <v>1992</v>
      </c>
      <c r="E1018" s="148"/>
      <c r="F1018" s="2" t="s">
        <v>374</v>
      </c>
      <c r="G1018" s="55">
        <f>'Stavební rozpočet-vyplnit'!G1018</f>
        <v>1</v>
      </c>
      <c r="H1018" s="55">
        <f>'Stavební rozpočet-vyplnit'!H1018</f>
        <v>0</v>
      </c>
      <c r="I1018" s="55">
        <f>G1018*H1018</f>
        <v>0</v>
      </c>
      <c r="J1018" s="55">
        <f>'Stavební rozpočet-vyplnit'!J1018</f>
        <v>0.06</v>
      </c>
      <c r="K1018" s="55">
        <f>G1018*J1018</f>
        <v>0.06</v>
      </c>
      <c r="L1018" s="57" t="s">
        <v>124</v>
      </c>
      <c r="Z1018" s="55">
        <f>IF(AQ1018="5",BJ1018,0)</f>
        <v>0</v>
      </c>
      <c r="AB1018" s="55">
        <f>IF(AQ1018="1",BH1018,0)</f>
        <v>0</v>
      </c>
      <c r="AC1018" s="55">
        <f>IF(AQ1018="1",BI1018,0)</f>
        <v>0</v>
      </c>
      <c r="AD1018" s="55">
        <f>IF(AQ1018="7",BH1018,0)</f>
        <v>0</v>
      </c>
      <c r="AE1018" s="55">
        <f>IF(AQ1018="7",BI1018,0)</f>
        <v>0</v>
      </c>
      <c r="AF1018" s="55">
        <f>IF(AQ1018="2",BH1018,0)</f>
        <v>0</v>
      </c>
      <c r="AG1018" s="55">
        <f>IF(AQ1018="2",BI1018,0)</f>
        <v>0</v>
      </c>
      <c r="AH1018" s="55">
        <f>IF(AQ1018="0",BJ1018,0)</f>
        <v>0</v>
      </c>
      <c r="AI1018" s="34" t="s">
        <v>116</v>
      </c>
      <c r="AJ1018" s="55">
        <f>IF(AN1018=0,I1018,0)</f>
        <v>0</v>
      </c>
      <c r="AK1018" s="55">
        <f>IF(AN1018=12,I1018,0)</f>
        <v>0</v>
      </c>
      <c r="AL1018" s="55">
        <f>IF(AN1018=21,I1018,0)</f>
        <v>0</v>
      </c>
      <c r="AN1018" s="55">
        <v>21</v>
      </c>
      <c r="AO1018" s="55">
        <f>H1018*0.91627907</f>
        <v>0</v>
      </c>
      <c r="AP1018" s="55">
        <f>H1018*(1-0.91627907)</f>
        <v>0</v>
      </c>
      <c r="AQ1018" s="58" t="s">
        <v>125</v>
      </c>
      <c r="AV1018" s="55">
        <f>AW1018+AX1018</f>
        <v>0</v>
      </c>
      <c r="AW1018" s="55">
        <f>G1018*AO1018</f>
        <v>0</v>
      </c>
      <c r="AX1018" s="55">
        <f>G1018*AP1018</f>
        <v>0</v>
      </c>
      <c r="AY1018" s="58" t="s">
        <v>1905</v>
      </c>
      <c r="AZ1018" s="58" t="s">
        <v>1669</v>
      </c>
      <c r="BA1018" s="34" t="s">
        <v>128</v>
      </c>
      <c r="BB1018" s="67">
        <v>100007</v>
      </c>
      <c r="BC1018" s="55">
        <f>AW1018+AX1018</f>
        <v>0</v>
      </c>
      <c r="BD1018" s="55">
        <f>H1018/(100-BE1018)*100</f>
        <v>0</v>
      </c>
      <c r="BE1018" s="55">
        <v>0</v>
      </c>
      <c r="BF1018" s="55">
        <f>K1018</f>
        <v>0.06</v>
      </c>
      <c r="BH1018" s="55">
        <f>G1018*AO1018</f>
        <v>0</v>
      </c>
      <c r="BI1018" s="55">
        <f>G1018*AP1018</f>
        <v>0</v>
      </c>
      <c r="BJ1018" s="55">
        <f>G1018*H1018</f>
        <v>0</v>
      </c>
      <c r="BK1018" s="55"/>
      <c r="BL1018" s="55">
        <v>766</v>
      </c>
      <c r="BW1018" s="55">
        <v>21</v>
      </c>
    </row>
    <row r="1019" spans="1:12" ht="13.5" customHeight="1">
      <c r="A1019" s="59"/>
      <c r="D1019" s="218" t="s">
        <v>1947</v>
      </c>
      <c r="E1019" s="219"/>
      <c r="F1019" s="219"/>
      <c r="G1019" s="219"/>
      <c r="H1019" s="219"/>
      <c r="I1019" s="219"/>
      <c r="J1019" s="219"/>
      <c r="K1019" s="219"/>
      <c r="L1019" s="221"/>
    </row>
    <row r="1020" spans="1:12" ht="14.4">
      <c r="A1020" s="59"/>
      <c r="D1020" s="60" t="s">
        <v>120</v>
      </c>
      <c r="E1020" s="60" t="s">
        <v>4</v>
      </c>
      <c r="G1020" s="68">
        <v>1</v>
      </c>
      <c r="L1020" s="69"/>
    </row>
    <row r="1021" spans="1:75" ht="13.5" customHeight="1">
      <c r="A1021" s="1" t="s">
        <v>1993</v>
      </c>
      <c r="B1021" s="2" t="s">
        <v>116</v>
      </c>
      <c r="C1021" s="2" t="s">
        <v>1994</v>
      </c>
      <c r="D1021" s="147" t="s">
        <v>1995</v>
      </c>
      <c r="E1021" s="148"/>
      <c r="F1021" s="2" t="s">
        <v>374</v>
      </c>
      <c r="G1021" s="55">
        <f>'Stavební rozpočet-vyplnit'!G1021</f>
        <v>1</v>
      </c>
      <c r="H1021" s="55">
        <f>'Stavební rozpočet-vyplnit'!H1021</f>
        <v>0</v>
      </c>
      <c r="I1021" s="55">
        <f>G1021*H1021</f>
        <v>0</v>
      </c>
      <c r="J1021" s="55">
        <f>'Stavební rozpočet-vyplnit'!J1021</f>
        <v>0.06</v>
      </c>
      <c r="K1021" s="55">
        <f>G1021*J1021</f>
        <v>0.06</v>
      </c>
      <c r="L1021" s="57" t="s">
        <v>124</v>
      </c>
      <c r="Z1021" s="55">
        <f>IF(AQ1021="5",BJ1021,0)</f>
        <v>0</v>
      </c>
      <c r="AB1021" s="55">
        <f>IF(AQ1021="1",BH1021,0)</f>
        <v>0</v>
      </c>
      <c r="AC1021" s="55">
        <f>IF(AQ1021="1",BI1021,0)</f>
        <v>0</v>
      </c>
      <c r="AD1021" s="55">
        <f>IF(AQ1021="7",BH1021,0)</f>
        <v>0</v>
      </c>
      <c r="AE1021" s="55">
        <f>IF(AQ1021="7",BI1021,0)</f>
        <v>0</v>
      </c>
      <c r="AF1021" s="55">
        <f>IF(AQ1021="2",BH1021,0)</f>
        <v>0</v>
      </c>
      <c r="AG1021" s="55">
        <f>IF(AQ1021="2",BI1021,0)</f>
        <v>0</v>
      </c>
      <c r="AH1021" s="55">
        <f>IF(AQ1021="0",BJ1021,0)</f>
        <v>0</v>
      </c>
      <c r="AI1021" s="34" t="s">
        <v>116</v>
      </c>
      <c r="AJ1021" s="55">
        <f>IF(AN1021=0,I1021,0)</f>
        <v>0</v>
      </c>
      <c r="AK1021" s="55">
        <f>IF(AN1021=12,I1021,0)</f>
        <v>0</v>
      </c>
      <c r="AL1021" s="55">
        <f>IF(AN1021=21,I1021,0)</f>
        <v>0</v>
      </c>
      <c r="AN1021" s="55">
        <v>21</v>
      </c>
      <c r="AO1021" s="55">
        <f>H1021*0.91627907</f>
        <v>0</v>
      </c>
      <c r="AP1021" s="55">
        <f>H1021*(1-0.91627907)</f>
        <v>0</v>
      </c>
      <c r="AQ1021" s="58" t="s">
        <v>125</v>
      </c>
      <c r="AV1021" s="55">
        <f>AW1021+AX1021</f>
        <v>0</v>
      </c>
      <c r="AW1021" s="55">
        <f>G1021*AO1021</f>
        <v>0</v>
      </c>
      <c r="AX1021" s="55">
        <f>G1021*AP1021</f>
        <v>0</v>
      </c>
      <c r="AY1021" s="58" t="s">
        <v>1905</v>
      </c>
      <c r="AZ1021" s="58" t="s">
        <v>1669</v>
      </c>
      <c r="BA1021" s="34" t="s">
        <v>128</v>
      </c>
      <c r="BB1021" s="67">
        <v>100007</v>
      </c>
      <c r="BC1021" s="55">
        <f>AW1021+AX1021</f>
        <v>0</v>
      </c>
      <c r="BD1021" s="55">
        <f>H1021/(100-BE1021)*100</f>
        <v>0</v>
      </c>
      <c r="BE1021" s="55">
        <v>0</v>
      </c>
      <c r="BF1021" s="55">
        <f>K1021</f>
        <v>0.06</v>
      </c>
      <c r="BH1021" s="55">
        <f>G1021*AO1021</f>
        <v>0</v>
      </c>
      <c r="BI1021" s="55">
        <f>G1021*AP1021</f>
        <v>0</v>
      </c>
      <c r="BJ1021" s="55">
        <f>G1021*H1021</f>
        <v>0</v>
      </c>
      <c r="BK1021" s="55"/>
      <c r="BL1021" s="55">
        <v>766</v>
      </c>
      <c r="BW1021" s="55">
        <v>21</v>
      </c>
    </row>
    <row r="1022" spans="1:12" ht="13.5" customHeight="1">
      <c r="A1022" s="59"/>
      <c r="D1022" s="218" t="s">
        <v>1947</v>
      </c>
      <c r="E1022" s="219"/>
      <c r="F1022" s="219"/>
      <c r="G1022" s="219"/>
      <c r="H1022" s="219"/>
      <c r="I1022" s="219"/>
      <c r="J1022" s="219"/>
      <c r="K1022" s="219"/>
      <c r="L1022" s="221"/>
    </row>
    <row r="1023" spans="1:12" ht="14.4">
      <c r="A1023" s="59"/>
      <c r="D1023" s="60" t="s">
        <v>120</v>
      </c>
      <c r="E1023" s="60" t="s">
        <v>4</v>
      </c>
      <c r="G1023" s="68">
        <v>1</v>
      </c>
      <c r="L1023" s="69"/>
    </row>
    <row r="1024" spans="1:75" ht="13.5" customHeight="1">
      <c r="A1024" s="1" t="s">
        <v>1996</v>
      </c>
      <c r="B1024" s="2" t="s">
        <v>116</v>
      </c>
      <c r="C1024" s="2" t="s">
        <v>1997</v>
      </c>
      <c r="D1024" s="147" t="s">
        <v>1998</v>
      </c>
      <c r="E1024" s="148"/>
      <c r="F1024" s="2" t="s">
        <v>374</v>
      </c>
      <c r="G1024" s="55">
        <f>'Stavební rozpočet-vyplnit'!G1024</f>
        <v>1</v>
      </c>
      <c r="H1024" s="55">
        <f>'Stavební rozpočet-vyplnit'!H1024</f>
        <v>0</v>
      </c>
      <c r="I1024" s="55">
        <f>G1024*H1024</f>
        <v>0</v>
      </c>
      <c r="J1024" s="55">
        <f>'Stavební rozpočet-vyplnit'!J1024</f>
        <v>0.06</v>
      </c>
      <c r="K1024" s="55">
        <f>G1024*J1024</f>
        <v>0.06</v>
      </c>
      <c r="L1024" s="57" t="s">
        <v>124</v>
      </c>
      <c r="Z1024" s="55">
        <f>IF(AQ1024="5",BJ1024,0)</f>
        <v>0</v>
      </c>
      <c r="AB1024" s="55">
        <f>IF(AQ1024="1",BH1024,0)</f>
        <v>0</v>
      </c>
      <c r="AC1024" s="55">
        <f>IF(AQ1024="1",BI1024,0)</f>
        <v>0</v>
      </c>
      <c r="AD1024" s="55">
        <f>IF(AQ1024="7",BH1024,0)</f>
        <v>0</v>
      </c>
      <c r="AE1024" s="55">
        <f>IF(AQ1024="7",BI1024,0)</f>
        <v>0</v>
      </c>
      <c r="AF1024" s="55">
        <f>IF(AQ1024="2",BH1024,0)</f>
        <v>0</v>
      </c>
      <c r="AG1024" s="55">
        <f>IF(AQ1024="2",BI1024,0)</f>
        <v>0</v>
      </c>
      <c r="AH1024" s="55">
        <f>IF(AQ1024="0",BJ1024,0)</f>
        <v>0</v>
      </c>
      <c r="AI1024" s="34" t="s">
        <v>116</v>
      </c>
      <c r="AJ1024" s="55">
        <f>IF(AN1024=0,I1024,0)</f>
        <v>0</v>
      </c>
      <c r="AK1024" s="55">
        <f>IF(AN1024=12,I1024,0)</f>
        <v>0</v>
      </c>
      <c r="AL1024" s="55">
        <f>IF(AN1024=21,I1024,0)</f>
        <v>0</v>
      </c>
      <c r="AN1024" s="55">
        <v>21</v>
      </c>
      <c r="AO1024" s="55">
        <f>H1024*0.91627907</f>
        <v>0</v>
      </c>
      <c r="AP1024" s="55">
        <f>H1024*(1-0.91627907)</f>
        <v>0</v>
      </c>
      <c r="AQ1024" s="58" t="s">
        <v>125</v>
      </c>
      <c r="AV1024" s="55">
        <f>AW1024+AX1024</f>
        <v>0</v>
      </c>
      <c r="AW1024" s="55">
        <f>G1024*AO1024</f>
        <v>0</v>
      </c>
      <c r="AX1024" s="55">
        <f>G1024*AP1024</f>
        <v>0</v>
      </c>
      <c r="AY1024" s="58" t="s">
        <v>1905</v>
      </c>
      <c r="AZ1024" s="58" t="s">
        <v>1669</v>
      </c>
      <c r="BA1024" s="34" t="s">
        <v>128</v>
      </c>
      <c r="BB1024" s="67">
        <v>100007</v>
      </c>
      <c r="BC1024" s="55">
        <f>AW1024+AX1024</f>
        <v>0</v>
      </c>
      <c r="BD1024" s="55">
        <f>H1024/(100-BE1024)*100</f>
        <v>0</v>
      </c>
      <c r="BE1024" s="55">
        <v>0</v>
      </c>
      <c r="BF1024" s="55">
        <f>K1024</f>
        <v>0.06</v>
      </c>
      <c r="BH1024" s="55">
        <f>G1024*AO1024</f>
        <v>0</v>
      </c>
      <c r="BI1024" s="55">
        <f>G1024*AP1024</f>
        <v>0</v>
      </c>
      <c r="BJ1024" s="55">
        <f>G1024*H1024</f>
        <v>0</v>
      </c>
      <c r="BK1024" s="55"/>
      <c r="BL1024" s="55">
        <v>766</v>
      </c>
      <c r="BW1024" s="55">
        <v>21</v>
      </c>
    </row>
    <row r="1025" spans="1:12" ht="13.5" customHeight="1">
      <c r="A1025" s="59"/>
      <c r="D1025" s="218" t="s">
        <v>1947</v>
      </c>
      <c r="E1025" s="219"/>
      <c r="F1025" s="219"/>
      <c r="G1025" s="219"/>
      <c r="H1025" s="219"/>
      <c r="I1025" s="219"/>
      <c r="J1025" s="219"/>
      <c r="K1025" s="219"/>
      <c r="L1025" s="221"/>
    </row>
    <row r="1026" spans="1:12" ht="14.4">
      <c r="A1026" s="59"/>
      <c r="D1026" s="60" t="s">
        <v>120</v>
      </c>
      <c r="E1026" s="60" t="s">
        <v>4</v>
      </c>
      <c r="G1026" s="68">
        <v>1</v>
      </c>
      <c r="L1026" s="69"/>
    </row>
    <row r="1027" spans="1:75" ht="13.5" customHeight="1">
      <c r="A1027" s="1" t="s">
        <v>1999</v>
      </c>
      <c r="B1027" s="2" t="s">
        <v>116</v>
      </c>
      <c r="C1027" s="2" t="s">
        <v>2000</v>
      </c>
      <c r="D1027" s="147" t="s">
        <v>2001</v>
      </c>
      <c r="E1027" s="148"/>
      <c r="F1027" s="2" t="s">
        <v>374</v>
      </c>
      <c r="G1027" s="55">
        <f>'Stavební rozpočet-vyplnit'!G1027</f>
        <v>1</v>
      </c>
      <c r="H1027" s="55">
        <f>'Stavební rozpočet-vyplnit'!H1027</f>
        <v>0</v>
      </c>
      <c r="I1027" s="55">
        <f>G1027*H1027</f>
        <v>0</v>
      </c>
      <c r="J1027" s="55">
        <f>'Stavební rozpočet-vyplnit'!J1027</f>
        <v>0.06</v>
      </c>
      <c r="K1027" s="55">
        <f>G1027*J1027</f>
        <v>0.06</v>
      </c>
      <c r="L1027" s="57" t="s">
        <v>124</v>
      </c>
      <c r="Z1027" s="55">
        <f>IF(AQ1027="5",BJ1027,0)</f>
        <v>0</v>
      </c>
      <c r="AB1027" s="55">
        <f>IF(AQ1027="1",BH1027,0)</f>
        <v>0</v>
      </c>
      <c r="AC1027" s="55">
        <f>IF(AQ1027="1",BI1027,0)</f>
        <v>0</v>
      </c>
      <c r="AD1027" s="55">
        <f>IF(AQ1027="7",BH1027,0)</f>
        <v>0</v>
      </c>
      <c r="AE1027" s="55">
        <f>IF(AQ1027="7",BI1027,0)</f>
        <v>0</v>
      </c>
      <c r="AF1027" s="55">
        <f>IF(AQ1027="2",BH1027,0)</f>
        <v>0</v>
      </c>
      <c r="AG1027" s="55">
        <f>IF(AQ1027="2",BI1027,0)</f>
        <v>0</v>
      </c>
      <c r="AH1027" s="55">
        <f>IF(AQ1027="0",BJ1027,0)</f>
        <v>0</v>
      </c>
      <c r="AI1027" s="34" t="s">
        <v>116</v>
      </c>
      <c r="AJ1027" s="55">
        <f>IF(AN1027=0,I1027,0)</f>
        <v>0</v>
      </c>
      <c r="AK1027" s="55">
        <f>IF(AN1027=12,I1027,0)</f>
        <v>0</v>
      </c>
      <c r="AL1027" s="55">
        <f>IF(AN1027=21,I1027,0)</f>
        <v>0</v>
      </c>
      <c r="AN1027" s="55">
        <v>21</v>
      </c>
      <c r="AO1027" s="55">
        <f>H1027*0.91627907</f>
        <v>0</v>
      </c>
      <c r="AP1027" s="55">
        <f>H1027*(1-0.91627907)</f>
        <v>0</v>
      </c>
      <c r="AQ1027" s="58" t="s">
        <v>125</v>
      </c>
      <c r="AV1027" s="55">
        <f>AW1027+AX1027</f>
        <v>0</v>
      </c>
      <c r="AW1027" s="55">
        <f>G1027*AO1027</f>
        <v>0</v>
      </c>
      <c r="AX1027" s="55">
        <f>G1027*AP1027</f>
        <v>0</v>
      </c>
      <c r="AY1027" s="58" t="s">
        <v>1905</v>
      </c>
      <c r="AZ1027" s="58" t="s">
        <v>1669</v>
      </c>
      <c r="BA1027" s="34" t="s">
        <v>128</v>
      </c>
      <c r="BB1027" s="67">
        <v>100007</v>
      </c>
      <c r="BC1027" s="55">
        <f>AW1027+AX1027</f>
        <v>0</v>
      </c>
      <c r="BD1027" s="55">
        <f>H1027/(100-BE1027)*100</f>
        <v>0</v>
      </c>
      <c r="BE1027" s="55">
        <v>0</v>
      </c>
      <c r="BF1027" s="55">
        <f>K1027</f>
        <v>0.06</v>
      </c>
      <c r="BH1027" s="55">
        <f>G1027*AO1027</f>
        <v>0</v>
      </c>
      <c r="BI1027" s="55">
        <f>G1027*AP1027</f>
        <v>0</v>
      </c>
      <c r="BJ1027" s="55">
        <f>G1027*H1027</f>
        <v>0</v>
      </c>
      <c r="BK1027" s="55"/>
      <c r="BL1027" s="55">
        <v>766</v>
      </c>
      <c r="BW1027" s="55">
        <v>21</v>
      </c>
    </row>
    <row r="1028" spans="1:12" ht="13.5" customHeight="1">
      <c r="A1028" s="59"/>
      <c r="D1028" s="218" t="s">
        <v>1947</v>
      </c>
      <c r="E1028" s="219"/>
      <c r="F1028" s="219"/>
      <c r="G1028" s="219"/>
      <c r="H1028" s="219"/>
      <c r="I1028" s="219"/>
      <c r="J1028" s="219"/>
      <c r="K1028" s="219"/>
      <c r="L1028" s="221"/>
    </row>
    <row r="1029" spans="1:12" ht="14.4">
      <c r="A1029" s="59"/>
      <c r="D1029" s="60" t="s">
        <v>120</v>
      </c>
      <c r="E1029" s="60" t="s">
        <v>4</v>
      </c>
      <c r="G1029" s="68">
        <v>1</v>
      </c>
      <c r="L1029" s="69"/>
    </row>
    <row r="1030" spans="1:75" ht="13.5" customHeight="1">
      <c r="A1030" s="1" t="s">
        <v>2002</v>
      </c>
      <c r="B1030" s="2" t="s">
        <v>116</v>
      </c>
      <c r="C1030" s="2" t="s">
        <v>2003</v>
      </c>
      <c r="D1030" s="147" t="s">
        <v>2004</v>
      </c>
      <c r="E1030" s="148"/>
      <c r="F1030" s="2" t="s">
        <v>374</v>
      </c>
      <c r="G1030" s="55">
        <f>'Stavební rozpočet-vyplnit'!G1030</f>
        <v>1</v>
      </c>
      <c r="H1030" s="55">
        <f>'Stavební rozpočet-vyplnit'!H1030</f>
        <v>0</v>
      </c>
      <c r="I1030" s="55">
        <f>G1030*H1030</f>
        <v>0</v>
      </c>
      <c r="J1030" s="55">
        <f>'Stavební rozpočet-vyplnit'!J1030</f>
        <v>0.06</v>
      </c>
      <c r="K1030" s="55">
        <f>G1030*J1030</f>
        <v>0.06</v>
      </c>
      <c r="L1030" s="57" t="s">
        <v>124</v>
      </c>
      <c r="Z1030" s="55">
        <f>IF(AQ1030="5",BJ1030,0)</f>
        <v>0</v>
      </c>
      <c r="AB1030" s="55">
        <f>IF(AQ1030="1",BH1030,0)</f>
        <v>0</v>
      </c>
      <c r="AC1030" s="55">
        <f>IF(AQ1030="1",BI1030,0)</f>
        <v>0</v>
      </c>
      <c r="AD1030" s="55">
        <f>IF(AQ1030="7",BH1030,0)</f>
        <v>0</v>
      </c>
      <c r="AE1030" s="55">
        <f>IF(AQ1030="7",BI1030,0)</f>
        <v>0</v>
      </c>
      <c r="AF1030" s="55">
        <f>IF(AQ1030="2",BH1030,0)</f>
        <v>0</v>
      </c>
      <c r="AG1030" s="55">
        <f>IF(AQ1030="2",BI1030,0)</f>
        <v>0</v>
      </c>
      <c r="AH1030" s="55">
        <f>IF(AQ1030="0",BJ1030,0)</f>
        <v>0</v>
      </c>
      <c r="AI1030" s="34" t="s">
        <v>116</v>
      </c>
      <c r="AJ1030" s="55">
        <f>IF(AN1030=0,I1030,0)</f>
        <v>0</v>
      </c>
      <c r="AK1030" s="55">
        <f>IF(AN1030=12,I1030,0)</f>
        <v>0</v>
      </c>
      <c r="AL1030" s="55">
        <f>IF(AN1030=21,I1030,0)</f>
        <v>0</v>
      </c>
      <c r="AN1030" s="55">
        <v>21</v>
      </c>
      <c r="AO1030" s="55">
        <f>H1030*0.91627907</f>
        <v>0</v>
      </c>
      <c r="AP1030" s="55">
        <f>H1030*(1-0.91627907)</f>
        <v>0</v>
      </c>
      <c r="AQ1030" s="58" t="s">
        <v>125</v>
      </c>
      <c r="AV1030" s="55">
        <f>AW1030+AX1030</f>
        <v>0</v>
      </c>
      <c r="AW1030" s="55">
        <f>G1030*AO1030</f>
        <v>0</v>
      </c>
      <c r="AX1030" s="55">
        <f>G1030*AP1030</f>
        <v>0</v>
      </c>
      <c r="AY1030" s="58" t="s">
        <v>1905</v>
      </c>
      <c r="AZ1030" s="58" t="s">
        <v>1669</v>
      </c>
      <c r="BA1030" s="34" t="s">
        <v>128</v>
      </c>
      <c r="BB1030" s="67">
        <v>100007</v>
      </c>
      <c r="BC1030" s="55">
        <f>AW1030+AX1030</f>
        <v>0</v>
      </c>
      <c r="BD1030" s="55">
        <f>H1030/(100-BE1030)*100</f>
        <v>0</v>
      </c>
      <c r="BE1030" s="55">
        <v>0</v>
      </c>
      <c r="BF1030" s="55">
        <f>K1030</f>
        <v>0.06</v>
      </c>
      <c r="BH1030" s="55">
        <f>G1030*AO1030</f>
        <v>0</v>
      </c>
      <c r="BI1030" s="55">
        <f>G1030*AP1030</f>
        <v>0</v>
      </c>
      <c r="BJ1030" s="55">
        <f>G1030*H1030</f>
        <v>0</v>
      </c>
      <c r="BK1030" s="55"/>
      <c r="BL1030" s="55">
        <v>766</v>
      </c>
      <c r="BW1030" s="55">
        <v>21</v>
      </c>
    </row>
    <row r="1031" spans="1:12" ht="13.5" customHeight="1">
      <c r="A1031" s="59"/>
      <c r="D1031" s="218" t="s">
        <v>1947</v>
      </c>
      <c r="E1031" s="219"/>
      <c r="F1031" s="219"/>
      <c r="G1031" s="219"/>
      <c r="H1031" s="219"/>
      <c r="I1031" s="219"/>
      <c r="J1031" s="219"/>
      <c r="K1031" s="219"/>
      <c r="L1031" s="221"/>
    </row>
    <row r="1032" spans="1:12" ht="14.4">
      <c r="A1032" s="59"/>
      <c r="D1032" s="60" t="s">
        <v>120</v>
      </c>
      <c r="E1032" s="60" t="s">
        <v>4</v>
      </c>
      <c r="G1032" s="68">
        <v>1</v>
      </c>
      <c r="L1032" s="69"/>
    </row>
    <row r="1033" spans="1:75" ht="13.5" customHeight="1">
      <c r="A1033" s="1" t="s">
        <v>2005</v>
      </c>
      <c r="B1033" s="2" t="s">
        <v>116</v>
      </c>
      <c r="C1033" s="2" t="s">
        <v>2006</v>
      </c>
      <c r="D1033" s="147" t="s">
        <v>2007</v>
      </c>
      <c r="E1033" s="148"/>
      <c r="F1033" s="2" t="s">
        <v>374</v>
      </c>
      <c r="G1033" s="55">
        <f>'Stavební rozpočet-vyplnit'!G1033</f>
        <v>1</v>
      </c>
      <c r="H1033" s="55">
        <f>'Stavební rozpočet-vyplnit'!H1033</f>
        <v>0</v>
      </c>
      <c r="I1033" s="55">
        <f>G1033*H1033</f>
        <v>0</v>
      </c>
      <c r="J1033" s="55">
        <f>'Stavební rozpočet-vyplnit'!J1033</f>
        <v>0.06</v>
      </c>
      <c r="K1033" s="55">
        <f>G1033*J1033</f>
        <v>0.06</v>
      </c>
      <c r="L1033" s="57" t="s">
        <v>124</v>
      </c>
      <c r="Z1033" s="55">
        <f>IF(AQ1033="5",BJ1033,0)</f>
        <v>0</v>
      </c>
      <c r="AB1033" s="55">
        <f>IF(AQ1033="1",BH1033,0)</f>
        <v>0</v>
      </c>
      <c r="AC1033" s="55">
        <f>IF(AQ1033="1",BI1033,0)</f>
        <v>0</v>
      </c>
      <c r="AD1033" s="55">
        <f>IF(AQ1033="7",BH1033,0)</f>
        <v>0</v>
      </c>
      <c r="AE1033" s="55">
        <f>IF(AQ1033="7",BI1033,0)</f>
        <v>0</v>
      </c>
      <c r="AF1033" s="55">
        <f>IF(AQ1033="2",BH1033,0)</f>
        <v>0</v>
      </c>
      <c r="AG1033" s="55">
        <f>IF(AQ1033="2",BI1033,0)</f>
        <v>0</v>
      </c>
      <c r="AH1033" s="55">
        <f>IF(AQ1033="0",BJ1033,0)</f>
        <v>0</v>
      </c>
      <c r="AI1033" s="34" t="s">
        <v>116</v>
      </c>
      <c r="AJ1033" s="55">
        <f>IF(AN1033=0,I1033,0)</f>
        <v>0</v>
      </c>
      <c r="AK1033" s="55">
        <f>IF(AN1033=12,I1033,0)</f>
        <v>0</v>
      </c>
      <c r="AL1033" s="55">
        <f>IF(AN1033=21,I1033,0)</f>
        <v>0</v>
      </c>
      <c r="AN1033" s="55">
        <v>21</v>
      </c>
      <c r="AO1033" s="55">
        <f>H1033*0.91627907</f>
        <v>0</v>
      </c>
      <c r="AP1033" s="55">
        <f>H1033*(1-0.91627907)</f>
        <v>0</v>
      </c>
      <c r="AQ1033" s="58" t="s">
        <v>125</v>
      </c>
      <c r="AV1033" s="55">
        <f>AW1033+AX1033</f>
        <v>0</v>
      </c>
      <c r="AW1033" s="55">
        <f>G1033*AO1033</f>
        <v>0</v>
      </c>
      <c r="AX1033" s="55">
        <f>G1033*AP1033</f>
        <v>0</v>
      </c>
      <c r="AY1033" s="58" t="s">
        <v>1905</v>
      </c>
      <c r="AZ1033" s="58" t="s">
        <v>1669</v>
      </c>
      <c r="BA1033" s="34" t="s">
        <v>128</v>
      </c>
      <c r="BB1033" s="67">
        <v>100007</v>
      </c>
      <c r="BC1033" s="55">
        <f>AW1033+AX1033</f>
        <v>0</v>
      </c>
      <c r="BD1033" s="55">
        <f>H1033/(100-BE1033)*100</f>
        <v>0</v>
      </c>
      <c r="BE1033" s="55">
        <v>0</v>
      </c>
      <c r="BF1033" s="55">
        <f>K1033</f>
        <v>0.06</v>
      </c>
      <c r="BH1033" s="55">
        <f>G1033*AO1033</f>
        <v>0</v>
      </c>
      <c r="BI1033" s="55">
        <f>G1033*AP1033</f>
        <v>0</v>
      </c>
      <c r="BJ1033" s="55">
        <f>G1033*H1033</f>
        <v>0</v>
      </c>
      <c r="BK1033" s="55"/>
      <c r="BL1033" s="55">
        <v>766</v>
      </c>
      <c r="BW1033" s="55">
        <v>21</v>
      </c>
    </row>
    <row r="1034" spans="1:12" ht="13.5" customHeight="1">
      <c r="A1034" s="59"/>
      <c r="D1034" s="218" t="s">
        <v>1947</v>
      </c>
      <c r="E1034" s="219"/>
      <c r="F1034" s="219"/>
      <c r="G1034" s="219"/>
      <c r="H1034" s="219"/>
      <c r="I1034" s="219"/>
      <c r="J1034" s="219"/>
      <c r="K1034" s="219"/>
      <c r="L1034" s="221"/>
    </row>
    <row r="1035" spans="1:12" ht="14.4">
      <c r="A1035" s="59"/>
      <c r="D1035" s="60" t="s">
        <v>120</v>
      </c>
      <c r="E1035" s="60" t="s">
        <v>4</v>
      </c>
      <c r="G1035" s="68">
        <v>1</v>
      </c>
      <c r="L1035" s="69"/>
    </row>
    <row r="1036" spans="1:75" ht="13.5" customHeight="1">
      <c r="A1036" s="1" t="s">
        <v>2008</v>
      </c>
      <c r="B1036" s="2" t="s">
        <v>116</v>
      </c>
      <c r="C1036" s="2" t="s">
        <v>2009</v>
      </c>
      <c r="D1036" s="147" t="s">
        <v>2010</v>
      </c>
      <c r="E1036" s="148"/>
      <c r="F1036" s="2" t="s">
        <v>374</v>
      </c>
      <c r="G1036" s="55">
        <f>'Stavební rozpočet-vyplnit'!G1036</f>
        <v>1</v>
      </c>
      <c r="H1036" s="55">
        <f>'Stavební rozpočet-vyplnit'!H1036</f>
        <v>0</v>
      </c>
      <c r="I1036" s="55">
        <f>G1036*H1036</f>
        <v>0</v>
      </c>
      <c r="J1036" s="55">
        <f>'Stavební rozpočet-vyplnit'!J1036</f>
        <v>0.06</v>
      </c>
      <c r="K1036" s="55">
        <f>G1036*J1036</f>
        <v>0.06</v>
      </c>
      <c r="L1036" s="57" t="s">
        <v>124</v>
      </c>
      <c r="Z1036" s="55">
        <f>IF(AQ1036="5",BJ1036,0)</f>
        <v>0</v>
      </c>
      <c r="AB1036" s="55">
        <f>IF(AQ1036="1",BH1036,0)</f>
        <v>0</v>
      </c>
      <c r="AC1036" s="55">
        <f>IF(AQ1036="1",BI1036,0)</f>
        <v>0</v>
      </c>
      <c r="AD1036" s="55">
        <f>IF(AQ1036="7",BH1036,0)</f>
        <v>0</v>
      </c>
      <c r="AE1036" s="55">
        <f>IF(AQ1036="7",BI1036,0)</f>
        <v>0</v>
      </c>
      <c r="AF1036" s="55">
        <f>IF(AQ1036="2",BH1036,0)</f>
        <v>0</v>
      </c>
      <c r="AG1036" s="55">
        <f>IF(AQ1036="2",BI1036,0)</f>
        <v>0</v>
      </c>
      <c r="AH1036" s="55">
        <f>IF(AQ1036="0",BJ1036,0)</f>
        <v>0</v>
      </c>
      <c r="AI1036" s="34" t="s">
        <v>116</v>
      </c>
      <c r="AJ1036" s="55">
        <f>IF(AN1036=0,I1036,0)</f>
        <v>0</v>
      </c>
      <c r="AK1036" s="55">
        <f>IF(AN1036=12,I1036,0)</f>
        <v>0</v>
      </c>
      <c r="AL1036" s="55">
        <f>IF(AN1036=21,I1036,0)</f>
        <v>0</v>
      </c>
      <c r="AN1036" s="55">
        <v>21</v>
      </c>
      <c r="AO1036" s="55">
        <f>H1036*0.91627907</f>
        <v>0</v>
      </c>
      <c r="AP1036" s="55">
        <f>H1036*(1-0.91627907)</f>
        <v>0</v>
      </c>
      <c r="AQ1036" s="58" t="s">
        <v>125</v>
      </c>
      <c r="AV1036" s="55">
        <f>AW1036+AX1036</f>
        <v>0</v>
      </c>
      <c r="AW1036" s="55">
        <f>G1036*AO1036</f>
        <v>0</v>
      </c>
      <c r="AX1036" s="55">
        <f>G1036*AP1036</f>
        <v>0</v>
      </c>
      <c r="AY1036" s="58" t="s">
        <v>1905</v>
      </c>
      <c r="AZ1036" s="58" t="s">
        <v>1669</v>
      </c>
      <c r="BA1036" s="34" t="s">
        <v>128</v>
      </c>
      <c r="BB1036" s="67">
        <v>100007</v>
      </c>
      <c r="BC1036" s="55">
        <f>AW1036+AX1036</f>
        <v>0</v>
      </c>
      <c r="BD1036" s="55">
        <f>H1036/(100-BE1036)*100</f>
        <v>0</v>
      </c>
      <c r="BE1036" s="55">
        <v>0</v>
      </c>
      <c r="BF1036" s="55">
        <f>K1036</f>
        <v>0.06</v>
      </c>
      <c r="BH1036" s="55">
        <f>G1036*AO1036</f>
        <v>0</v>
      </c>
      <c r="BI1036" s="55">
        <f>G1036*AP1036</f>
        <v>0</v>
      </c>
      <c r="BJ1036" s="55">
        <f>G1036*H1036</f>
        <v>0</v>
      </c>
      <c r="BK1036" s="55"/>
      <c r="BL1036" s="55">
        <v>766</v>
      </c>
      <c r="BW1036" s="55">
        <v>21</v>
      </c>
    </row>
    <row r="1037" spans="1:12" ht="13.5" customHeight="1">
      <c r="A1037" s="59"/>
      <c r="D1037" s="218" t="s">
        <v>1947</v>
      </c>
      <c r="E1037" s="219"/>
      <c r="F1037" s="219"/>
      <c r="G1037" s="219"/>
      <c r="H1037" s="219"/>
      <c r="I1037" s="219"/>
      <c r="J1037" s="219"/>
      <c r="K1037" s="219"/>
      <c r="L1037" s="221"/>
    </row>
    <row r="1038" spans="1:12" ht="14.4">
      <c r="A1038" s="59"/>
      <c r="D1038" s="60" t="s">
        <v>120</v>
      </c>
      <c r="E1038" s="60" t="s">
        <v>4</v>
      </c>
      <c r="G1038" s="68">
        <v>1</v>
      </c>
      <c r="L1038" s="69"/>
    </row>
    <row r="1039" spans="1:75" ht="13.5" customHeight="1">
      <c r="A1039" s="1" t="s">
        <v>2011</v>
      </c>
      <c r="B1039" s="2" t="s">
        <v>116</v>
      </c>
      <c r="C1039" s="2" t="s">
        <v>2012</v>
      </c>
      <c r="D1039" s="147" t="s">
        <v>2013</v>
      </c>
      <c r="E1039" s="148"/>
      <c r="F1039" s="2" t="s">
        <v>374</v>
      </c>
      <c r="G1039" s="55">
        <f>'Stavební rozpočet-vyplnit'!G1039</f>
        <v>1</v>
      </c>
      <c r="H1039" s="55">
        <f>'Stavební rozpočet-vyplnit'!H1039</f>
        <v>0</v>
      </c>
      <c r="I1039" s="55">
        <f>G1039*H1039</f>
        <v>0</v>
      </c>
      <c r="J1039" s="55">
        <f>'Stavební rozpočet-vyplnit'!J1039</f>
        <v>0.06</v>
      </c>
      <c r="K1039" s="55">
        <f>G1039*J1039</f>
        <v>0.06</v>
      </c>
      <c r="L1039" s="57" t="s">
        <v>124</v>
      </c>
      <c r="Z1039" s="55">
        <f>IF(AQ1039="5",BJ1039,0)</f>
        <v>0</v>
      </c>
      <c r="AB1039" s="55">
        <f>IF(AQ1039="1",BH1039,0)</f>
        <v>0</v>
      </c>
      <c r="AC1039" s="55">
        <f>IF(AQ1039="1",BI1039,0)</f>
        <v>0</v>
      </c>
      <c r="AD1039" s="55">
        <f>IF(AQ1039="7",BH1039,0)</f>
        <v>0</v>
      </c>
      <c r="AE1039" s="55">
        <f>IF(AQ1039="7",BI1039,0)</f>
        <v>0</v>
      </c>
      <c r="AF1039" s="55">
        <f>IF(AQ1039="2",BH1039,0)</f>
        <v>0</v>
      </c>
      <c r="AG1039" s="55">
        <f>IF(AQ1039="2",BI1039,0)</f>
        <v>0</v>
      </c>
      <c r="AH1039" s="55">
        <f>IF(AQ1039="0",BJ1039,0)</f>
        <v>0</v>
      </c>
      <c r="AI1039" s="34" t="s">
        <v>116</v>
      </c>
      <c r="AJ1039" s="55">
        <f>IF(AN1039=0,I1039,0)</f>
        <v>0</v>
      </c>
      <c r="AK1039" s="55">
        <f>IF(AN1039=12,I1039,0)</f>
        <v>0</v>
      </c>
      <c r="AL1039" s="55">
        <f>IF(AN1039=21,I1039,0)</f>
        <v>0</v>
      </c>
      <c r="AN1039" s="55">
        <v>21</v>
      </c>
      <c r="AO1039" s="55">
        <f>H1039*0.91627907</f>
        <v>0</v>
      </c>
      <c r="AP1039" s="55">
        <f>H1039*(1-0.91627907)</f>
        <v>0</v>
      </c>
      <c r="AQ1039" s="58" t="s">
        <v>125</v>
      </c>
      <c r="AV1039" s="55">
        <f>AW1039+AX1039</f>
        <v>0</v>
      </c>
      <c r="AW1039" s="55">
        <f>G1039*AO1039</f>
        <v>0</v>
      </c>
      <c r="AX1039" s="55">
        <f>G1039*AP1039</f>
        <v>0</v>
      </c>
      <c r="AY1039" s="58" t="s">
        <v>1905</v>
      </c>
      <c r="AZ1039" s="58" t="s">
        <v>1669</v>
      </c>
      <c r="BA1039" s="34" t="s">
        <v>128</v>
      </c>
      <c r="BB1039" s="67">
        <v>100007</v>
      </c>
      <c r="BC1039" s="55">
        <f>AW1039+AX1039</f>
        <v>0</v>
      </c>
      <c r="BD1039" s="55">
        <f>H1039/(100-BE1039)*100</f>
        <v>0</v>
      </c>
      <c r="BE1039" s="55">
        <v>0</v>
      </c>
      <c r="BF1039" s="55">
        <f>K1039</f>
        <v>0.06</v>
      </c>
      <c r="BH1039" s="55">
        <f>G1039*AO1039</f>
        <v>0</v>
      </c>
      <c r="BI1039" s="55">
        <f>G1039*AP1039</f>
        <v>0</v>
      </c>
      <c r="BJ1039" s="55">
        <f>G1039*H1039</f>
        <v>0</v>
      </c>
      <c r="BK1039" s="55"/>
      <c r="BL1039" s="55">
        <v>766</v>
      </c>
      <c r="BW1039" s="55">
        <v>21</v>
      </c>
    </row>
    <row r="1040" spans="1:12" ht="13.5" customHeight="1">
      <c r="A1040" s="59"/>
      <c r="D1040" s="218" t="s">
        <v>1947</v>
      </c>
      <c r="E1040" s="219"/>
      <c r="F1040" s="219"/>
      <c r="G1040" s="219"/>
      <c r="H1040" s="219"/>
      <c r="I1040" s="219"/>
      <c r="J1040" s="219"/>
      <c r="K1040" s="219"/>
      <c r="L1040" s="221"/>
    </row>
    <row r="1041" spans="1:12" ht="14.4">
      <c r="A1041" s="59"/>
      <c r="D1041" s="60" t="s">
        <v>120</v>
      </c>
      <c r="E1041" s="60" t="s">
        <v>4</v>
      </c>
      <c r="G1041" s="68">
        <v>1</v>
      </c>
      <c r="L1041" s="69"/>
    </row>
    <row r="1042" spans="1:75" ht="13.5" customHeight="1">
      <c r="A1042" s="1" t="s">
        <v>2014</v>
      </c>
      <c r="B1042" s="2" t="s">
        <v>116</v>
      </c>
      <c r="C1042" s="2" t="s">
        <v>2015</v>
      </c>
      <c r="D1042" s="147" t="s">
        <v>2016</v>
      </c>
      <c r="E1042" s="148"/>
      <c r="F1042" s="2" t="s">
        <v>374</v>
      </c>
      <c r="G1042" s="55">
        <f>'Stavební rozpočet-vyplnit'!G1042</f>
        <v>1</v>
      </c>
      <c r="H1042" s="55">
        <f>'Stavební rozpočet-vyplnit'!H1042</f>
        <v>0</v>
      </c>
      <c r="I1042" s="55">
        <f>G1042*H1042</f>
        <v>0</v>
      </c>
      <c r="J1042" s="55">
        <f>'Stavební rozpočet-vyplnit'!J1042</f>
        <v>0.06</v>
      </c>
      <c r="K1042" s="55">
        <f>G1042*J1042</f>
        <v>0.06</v>
      </c>
      <c r="L1042" s="57" t="s">
        <v>124</v>
      </c>
      <c r="Z1042" s="55">
        <f>IF(AQ1042="5",BJ1042,0)</f>
        <v>0</v>
      </c>
      <c r="AB1042" s="55">
        <f>IF(AQ1042="1",BH1042,0)</f>
        <v>0</v>
      </c>
      <c r="AC1042" s="55">
        <f>IF(AQ1042="1",BI1042,0)</f>
        <v>0</v>
      </c>
      <c r="AD1042" s="55">
        <f>IF(AQ1042="7",BH1042,0)</f>
        <v>0</v>
      </c>
      <c r="AE1042" s="55">
        <f>IF(AQ1042="7",BI1042,0)</f>
        <v>0</v>
      </c>
      <c r="AF1042" s="55">
        <f>IF(AQ1042="2",BH1042,0)</f>
        <v>0</v>
      </c>
      <c r="AG1042" s="55">
        <f>IF(AQ1042="2",BI1042,0)</f>
        <v>0</v>
      </c>
      <c r="AH1042" s="55">
        <f>IF(AQ1042="0",BJ1042,0)</f>
        <v>0</v>
      </c>
      <c r="AI1042" s="34" t="s">
        <v>116</v>
      </c>
      <c r="AJ1042" s="55">
        <f>IF(AN1042=0,I1042,0)</f>
        <v>0</v>
      </c>
      <c r="AK1042" s="55">
        <f>IF(AN1042=12,I1042,0)</f>
        <v>0</v>
      </c>
      <c r="AL1042" s="55">
        <f>IF(AN1042=21,I1042,0)</f>
        <v>0</v>
      </c>
      <c r="AN1042" s="55">
        <v>21</v>
      </c>
      <c r="AO1042" s="55">
        <f>H1042*0.91627907</f>
        <v>0</v>
      </c>
      <c r="AP1042" s="55">
        <f>H1042*(1-0.91627907)</f>
        <v>0</v>
      </c>
      <c r="AQ1042" s="58" t="s">
        <v>125</v>
      </c>
      <c r="AV1042" s="55">
        <f>AW1042+AX1042</f>
        <v>0</v>
      </c>
      <c r="AW1042" s="55">
        <f>G1042*AO1042</f>
        <v>0</v>
      </c>
      <c r="AX1042" s="55">
        <f>G1042*AP1042</f>
        <v>0</v>
      </c>
      <c r="AY1042" s="58" t="s">
        <v>1905</v>
      </c>
      <c r="AZ1042" s="58" t="s">
        <v>1669</v>
      </c>
      <c r="BA1042" s="34" t="s">
        <v>128</v>
      </c>
      <c r="BB1042" s="67">
        <v>100007</v>
      </c>
      <c r="BC1042" s="55">
        <f>AW1042+AX1042</f>
        <v>0</v>
      </c>
      <c r="BD1042" s="55">
        <f>H1042/(100-BE1042)*100</f>
        <v>0</v>
      </c>
      <c r="BE1042" s="55">
        <v>0</v>
      </c>
      <c r="BF1042" s="55">
        <f>K1042</f>
        <v>0.06</v>
      </c>
      <c r="BH1042" s="55">
        <f>G1042*AO1042</f>
        <v>0</v>
      </c>
      <c r="BI1042" s="55">
        <f>G1042*AP1042</f>
        <v>0</v>
      </c>
      <c r="BJ1042" s="55">
        <f>G1042*H1042</f>
        <v>0</v>
      </c>
      <c r="BK1042" s="55"/>
      <c r="BL1042" s="55">
        <v>766</v>
      </c>
      <c r="BW1042" s="55">
        <v>21</v>
      </c>
    </row>
    <row r="1043" spans="1:12" ht="13.5" customHeight="1">
      <c r="A1043" s="59"/>
      <c r="D1043" s="218" t="s">
        <v>1947</v>
      </c>
      <c r="E1043" s="219"/>
      <c r="F1043" s="219"/>
      <c r="G1043" s="219"/>
      <c r="H1043" s="219"/>
      <c r="I1043" s="219"/>
      <c r="J1043" s="219"/>
      <c r="K1043" s="219"/>
      <c r="L1043" s="221"/>
    </row>
    <row r="1044" spans="1:12" ht="14.4">
      <c r="A1044" s="59"/>
      <c r="D1044" s="60" t="s">
        <v>120</v>
      </c>
      <c r="E1044" s="60" t="s">
        <v>4</v>
      </c>
      <c r="G1044" s="68">
        <v>1</v>
      </c>
      <c r="L1044" s="69"/>
    </row>
    <row r="1045" spans="1:75" ht="13.5" customHeight="1">
      <c r="A1045" s="1" t="s">
        <v>2017</v>
      </c>
      <c r="B1045" s="2" t="s">
        <v>116</v>
      </c>
      <c r="C1045" s="2" t="s">
        <v>2018</v>
      </c>
      <c r="D1045" s="147" t="s">
        <v>2019</v>
      </c>
      <c r="E1045" s="148"/>
      <c r="F1045" s="2" t="s">
        <v>374</v>
      </c>
      <c r="G1045" s="55">
        <f>'Stavební rozpočet-vyplnit'!G1045</f>
        <v>1</v>
      </c>
      <c r="H1045" s="55">
        <f>'Stavební rozpočet-vyplnit'!H1045</f>
        <v>0</v>
      </c>
      <c r="I1045" s="55">
        <f>G1045*H1045</f>
        <v>0</v>
      </c>
      <c r="J1045" s="55">
        <f>'Stavební rozpočet-vyplnit'!J1045</f>
        <v>0.06</v>
      </c>
      <c r="K1045" s="55">
        <f>G1045*J1045</f>
        <v>0.06</v>
      </c>
      <c r="L1045" s="57" t="s">
        <v>124</v>
      </c>
      <c r="Z1045" s="55">
        <f>IF(AQ1045="5",BJ1045,0)</f>
        <v>0</v>
      </c>
      <c r="AB1045" s="55">
        <f>IF(AQ1045="1",BH1045,0)</f>
        <v>0</v>
      </c>
      <c r="AC1045" s="55">
        <f>IF(AQ1045="1",BI1045,0)</f>
        <v>0</v>
      </c>
      <c r="AD1045" s="55">
        <f>IF(AQ1045="7",BH1045,0)</f>
        <v>0</v>
      </c>
      <c r="AE1045" s="55">
        <f>IF(AQ1045="7",BI1045,0)</f>
        <v>0</v>
      </c>
      <c r="AF1045" s="55">
        <f>IF(AQ1045="2",BH1045,0)</f>
        <v>0</v>
      </c>
      <c r="AG1045" s="55">
        <f>IF(AQ1045="2",BI1045,0)</f>
        <v>0</v>
      </c>
      <c r="AH1045" s="55">
        <f>IF(AQ1045="0",BJ1045,0)</f>
        <v>0</v>
      </c>
      <c r="AI1045" s="34" t="s">
        <v>116</v>
      </c>
      <c r="AJ1045" s="55">
        <f>IF(AN1045=0,I1045,0)</f>
        <v>0</v>
      </c>
      <c r="AK1045" s="55">
        <f>IF(AN1045=12,I1045,0)</f>
        <v>0</v>
      </c>
      <c r="AL1045" s="55">
        <f>IF(AN1045=21,I1045,0)</f>
        <v>0</v>
      </c>
      <c r="AN1045" s="55">
        <v>21</v>
      </c>
      <c r="AO1045" s="55">
        <f>H1045*0.91627907</f>
        <v>0</v>
      </c>
      <c r="AP1045" s="55">
        <f>H1045*(1-0.91627907)</f>
        <v>0</v>
      </c>
      <c r="AQ1045" s="58" t="s">
        <v>125</v>
      </c>
      <c r="AV1045" s="55">
        <f>AW1045+AX1045</f>
        <v>0</v>
      </c>
      <c r="AW1045" s="55">
        <f>G1045*AO1045</f>
        <v>0</v>
      </c>
      <c r="AX1045" s="55">
        <f>G1045*AP1045</f>
        <v>0</v>
      </c>
      <c r="AY1045" s="58" t="s">
        <v>1905</v>
      </c>
      <c r="AZ1045" s="58" t="s">
        <v>1669</v>
      </c>
      <c r="BA1045" s="34" t="s">
        <v>128</v>
      </c>
      <c r="BB1045" s="67">
        <v>100007</v>
      </c>
      <c r="BC1045" s="55">
        <f>AW1045+AX1045</f>
        <v>0</v>
      </c>
      <c r="BD1045" s="55">
        <f>H1045/(100-BE1045)*100</f>
        <v>0</v>
      </c>
      <c r="BE1045" s="55">
        <v>0</v>
      </c>
      <c r="BF1045" s="55">
        <f>K1045</f>
        <v>0.06</v>
      </c>
      <c r="BH1045" s="55">
        <f>G1045*AO1045</f>
        <v>0</v>
      </c>
      <c r="BI1045" s="55">
        <f>G1045*AP1045</f>
        <v>0</v>
      </c>
      <c r="BJ1045" s="55">
        <f>G1045*H1045</f>
        <v>0</v>
      </c>
      <c r="BK1045" s="55"/>
      <c r="BL1045" s="55">
        <v>766</v>
      </c>
      <c r="BW1045" s="55">
        <v>21</v>
      </c>
    </row>
    <row r="1046" spans="1:12" ht="13.5" customHeight="1">
      <c r="A1046" s="59"/>
      <c r="D1046" s="218" t="s">
        <v>1947</v>
      </c>
      <c r="E1046" s="219"/>
      <c r="F1046" s="219"/>
      <c r="G1046" s="219"/>
      <c r="H1046" s="219"/>
      <c r="I1046" s="219"/>
      <c r="J1046" s="219"/>
      <c r="K1046" s="219"/>
      <c r="L1046" s="221"/>
    </row>
    <row r="1047" spans="1:12" ht="14.4">
      <c r="A1047" s="59"/>
      <c r="D1047" s="60" t="s">
        <v>120</v>
      </c>
      <c r="E1047" s="60" t="s">
        <v>4</v>
      </c>
      <c r="G1047" s="68">
        <v>1</v>
      </c>
      <c r="L1047" s="69"/>
    </row>
    <row r="1048" spans="1:75" ht="13.5" customHeight="1">
      <c r="A1048" s="1" t="s">
        <v>2020</v>
      </c>
      <c r="B1048" s="2" t="s">
        <v>116</v>
      </c>
      <c r="C1048" s="2" t="s">
        <v>2021</v>
      </c>
      <c r="D1048" s="147" t="s">
        <v>2022</v>
      </c>
      <c r="E1048" s="148"/>
      <c r="F1048" s="2" t="s">
        <v>939</v>
      </c>
      <c r="G1048" s="55">
        <f>'Stavební rozpočet-vyplnit'!G1048</f>
        <v>2.68</v>
      </c>
      <c r="H1048" s="55">
        <f>'Stavební rozpočet-vyplnit'!H1048</f>
        <v>0</v>
      </c>
      <c r="I1048" s="55">
        <f>G1048*H1048</f>
        <v>0</v>
      </c>
      <c r="J1048" s="55">
        <f>'Stavební rozpočet-vyplnit'!J1048</f>
        <v>0</v>
      </c>
      <c r="K1048" s="55">
        <f>G1048*J1048</f>
        <v>0</v>
      </c>
      <c r="L1048" s="57" t="s">
        <v>785</v>
      </c>
      <c r="Z1048" s="55">
        <f>IF(AQ1048="5",BJ1048,0)</f>
        <v>0</v>
      </c>
      <c r="AB1048" s="55">
        <f>IF(AQ1048="1",BH1048,0)</f>
        <v>0</v>
      </c>
      <c r="AC1048" s="55">
        <f>IF(AQ1048="1",BI1048,0)</f>
        <v>0</v>
      </c>
      <c r="AD1048" s="55">
        <f>IF(AQ1048="7",BH1048,0)</f>
        <v>0</v>
      </c>
      <c r="AE1048" s="55">
        <f>IF(AQ1048="7",BI1048,0)</f>
        <v>0</v>
      </c>
      <c r="AF1048" s="55">
        <f>IF(AQ1048="2",BH1048,0)</f>
        <v>0</v>
      </c>
      <c r="AG1048" s="55">
        <f>IF(AQ1048="2",BI1048,0)</f>
        <v>0</v>
      </c>
      <c r="AH1048" s="55">
        <f>IF(AQ1048="0",BJ1048,0)</f>
        <v>0</v>
      </c>
      <c r="AI1048" s="34" t="s">
        <v>116</v>
      </c>
      <c r="AJ1048" s="55">
        <f>IF(AN1048=0,I1048,0)</f>
        <v>0</v>
      </c>
      <c r="AK1048" s="55">
        <f>IF(AN1048=12,I1048,0)</f>
        <v>0</v>
      </c>
      <c r="AL1048" s="55">
        <f>IF(AN1048=21,I1048,0)</f>
        <v>0</v>
      </c>
      <c r="AN1048" s="55">
        <v>21</v>
      </c>
      <c r="AO1048" s="55">
        <f>H1048*0</f>
        <v>0</v>
      </c>
      <c r="AP1048" s="55">
        <f>H1048*(1-0)</f>
        <v>0</v>
      </c>
      <c r="AQ1048" s="58" t="s">
        <v>139</v>
      </c>
      <c r="AV1048" s="55">
        <f>AW1048+AX1048</f>
        <v>0</v>
      </c>
      <c r="AW1048" s="55">
        <f>G1048*AO1048</f>
        <v>0</v>
      </c>
      <c r="AX1048" s="55">
        <f>G1048*AP1048</f>
        <v>0</v>
      </c>
      <c r="AY1048" s="58" t="s">
        <v>1905</v>
      </c>
      <c r="AZ1048" s="58" t="s">
        <v>1669</v>
      </c>
      <c r="BA1048" s="34" t="s">
        <v>128</v>
      </c>
      <c r="BC1048" s="55">
        <f>AW1048+AX1048</f>
        <v>0</v>
      </c>
      <c r="BD1048" s="55">
        <f>H1048/(100-BE1048)*100</f>
        <v>0</v>
      </c>
      <c r="BE1048" s="55">
        <v>0</v>
      </c>
      <c r="BF1048" s="55">
        <f>K1048</f>
        <v>0</v>
      </c>
      <c r="BH1048" s="55">
        <f>G1048*AO1048</f>
        <v>0</v>
      </c>
      <c r="BI1048" s="55">
        <f>G1048*AP1048</f>
        <v>0</v>
      </c>
      <c r="BJ1048" s="55">
        <f>G1048*H1048</f>
        <v>0</v>
      </c>
      <c r="BK1048" s="55"/>
      <c r="BL1048" s="55">
        <v>766</v>
      </c>
      <c r="BW1048" s="55">
        <v>21</v>
      </c>
    </row>
    <row r="1049" spans="1:12" ht="14.4">
      <c r="A1049" s="59"/>
      <c r="D1049" s="60" t="s">
        <v>2023</v>
      </c>
      <c r="E1049" s="60" t="s">
        <v>4</v>
      </c>
      <c r="G1049" s="68">
        <v>2.68</v>
      </c>
      <c r="L1049" s="69"/>
    </row>
    <row r="1050" spans="1:47" ht="14.4">
      <c r="A1050" s="50" t="s">
        <v>4</v>
      </c>
      <c r="B1050" s="51" t="s">
        <v>116</v>
      </c>
      <c r="C1050" s="51" t="s">
        <v>2024</v>
      </c>
      <c r="D1050" s="222" t="s">
        <v>2025</v>
      </c>
      <c r="E1050" s="223"/>
      <c r="F1050" s="52" t="s">
        <v>79</v>
      </c>
      <c r="G1050" s="52" t="s">
        <v>79</v>
      </c>
      <c r="H1050" s="52" t="s">
        <v>79</v>
      </c>
      <c r="I1050" s="27">
        <f>SUM(I1051:I1110)</f>
        <v>0</v>
      </c>
      <c r="J1050" s="34" t="s">
        <v>4</v>
      </c>
      <c r="K1050" s="27">
        <f>SUM(K1051:K1110)</f>
        <v>23.716900799999998</v>
      </c>
      <c r="L1050" s="54" t="s">
        <v>4</v>
      </c>
      <c r="AI1050" s="34" t="s">
        <v>116</v>
      </c>
      <c r="AS1050" s="27">
        <f>SUM(AJ1051:AJ1110)</f>
        <v>0</v>
      </c>
      <c r="AT1050" s="27">
        <f>SUM(AK1051:AK1110)</f>
        <v>0</v>
      </c>
      <c r="AU1050" s="27">
        <f>SUM(AL1051:AL1110)</f>
        <v>0</v>
      </c>
    </row>
    <row r="1051" spans="1:75" ht="13.5" customHeight="1">
      <c r="A1051" s="1" t="s">
        <v>2026</v>
      </c>
      <c r="B1051" s="2" t="s">
        <v>116</v>
      </c>
      <c r="C1051" s="2" t="s">
        <v>2027</v>
      </c>
      <c r="D1051" s="147" t="s">
        <v>2028</v>
      </c>
      <c r="E1051" s="148"/>
      <c r="F1051" s="2" t="s">
        <v>400</v>
      </c>
      <c r="G1051" s="55">
        <f>'Stavební rozpočet-vyplnit'!G1051</f>
        <v>1</v>
      </c>
      <c r="H1051" s="55">
        <f>'Stavební rozpočet-vyplnit'!H1051</f>
        <v>0</v>
      </c>
      <c r="I1051" s="55">
        <f>G1051*H1051</f>
        <v>0</v>
      </c>
      <c r="J1051" s="55">
        <f>'Stavební rozpočet-vyplnit'!J1051</f>
        <v>0</v>
      </c>
      <c r="K1051" s="55">
        <f>G1051*J1051</f>
        <v>0</v>
      </c>
      <c r="L1051" s="57" t="s">
        <v>124</v>
      </c>
      <c r="Z1051" s="55">
        <f>IF(AQ1051="5",BJ1051,0)</f>
        <v>0</v>
      </c>
      <c r="AB1051" s="55">
        <f>IF(AQ1051="1",BH1051,0)</f>
        <v>0</v>
      </c>
      <c r="AC1051" s="55">
        <f>IF(AQ1051="1",BI1051,0)</f>
        <v>0</v>
      </c>
      <c r="AD1051" s="55">
        <f>IF(AQ1051="7",BH1051,0)</f>
        <v>0</v>
      </c>
      <c r="AE1051" s="55">
        <f>IF(AQ1051="7",BI1051,0)</f>
        <v>0</v>
      </c>
      <c r="AF1051" s="55">
        <f>IF(AQ1051="2",BH1051,0)</f>
        <v>0</v>
      </c>
      <c r="AG1051" s="55">
        <f>IF(AQ1051="2",BI1051,0)</f>
        <v>0</v>
      </c>
      <c r="AH1051" s="55">
        <f>IF(AQ1051="0",BJ1051,0)</f>
        <v>0</v>
      </c>
      <c r="AI1051" s="34" t="s">
        <v>116</v>
      </c>
      <c r="AJ1051" s="55">
        <f>IF(AN1051=0,I1051,0)</f>
        <v>0</v>
      </c>
      <c r="AK1051" s="55">
        <f>IF(AN1051=12,I1051,0)</f>
        <v>0</v>
      </c>
      <c r="AL1051" s="55">
        <f>IF(AN1051=21,I1051,0)</f>
        <v>0</v>
      </c>
      <c r="AN1051" s="55">
        <v>21</v>
      </c>
      <c r="AO1051" s="55">
        <f>H1051*0</f>
        <v>0</v>
      </c>
      <c r="AP1051" s="55">
        <f>H1051*(1-0)</f>
        <v>0</v>
      </c>
      <c r="AQ1051" s="58" t="s">
        <v>130</v>
      </c>
      <c r="AV1051" s="55">
        <f>AW1051+AX1051</f>
        <v>0</v>
      </c>
      <c r="AW1051" s="55">
        <f>G1051*AO1051</f>
        <v>0</v>
      </c>
      <c r="AX1051" s="55">
        <f>G1051*AP1051</f>
        <v>0</v>
      </c>
      <c r="AY1051" s="58" t="s">
        <v>2029</v>
      </c>
      <c r="AZ1051" s="58" t="s">
        <v>1669</v>
      </c>
      <c r="BA1051" s="34" t="s">
        <v>128</v>
      </c>
      <c r="BB1051" s="67">
        <v>100006</v>
      </c>
      <c r="BC1051" s="55">
        <f>AW1051+AX1051</f>
        <v>0</v>
      </c>
      <c r="BD1051" s="55">
        <f>H1051/(100-BE1051)*100</f>
        <v>0</v>
      </c>
      <c r="BE1051" s="55">
        <v>0</v>
      </c>
      <c r="BF1051" s="55">
        <f>K1051</f>
        <v>0</v>
      </c>
      <c r="BH1051" s="55">
        <f>G1051*AO1051</f>
        <v>0</v>
      </c>
      <c r="BI1051" s="55">
        <f>G1051*AP1051</f>
        <v>0</v>
      </c>
      <c r="BJ1051" s="55">
        <f>G1051*H1051</f>
        <v>0</v>
      </c>
      <c r="BK1051" s="55"/>
      <c r="BL1051" s="55">
        <v>767</v>
      </c>
      <c r="BW1051" s="55">
        <v>21</v>
      </c>
    </row>
    <row r="1052" spans="1:12" ht="13.5" customHeight="1">
      <c r="A1052" s="59"/>
      <c r="D1052" s="218" t="s">
        <v>2030</v>
      </c>
      <c r="E1052" s="219"/>
      <c r="F1052" s="219"/>
      <c r="G1052" s="219"/>
      <c r="H1052" s="219"/>
      <c r="I1052" s="219"/>
      <c r="J1052" s="219"/>
      <c r="K1052" s="219"/>
      <c r="L1052" s="221"/>
    </row>
    <row r="1053" spans="1:12" ht="14.4">
      <c r="A1053" s="59"/>
      <c r="D1053" s="60" t="s">
        <v>120</v>
      </c>
      <c r="E1053" s="60" t="s">
        <v>4</v>
      </c>
      <c r="G1053" s="68">
        <v>1</v>
      </c>
      <c r="L1053" s="69"/>
    </row>
    <row r="1054" spans="1:75" ht="13.5" customHeight="1">
      <c r="A1054" s="1" t="s">
        <v>2031</v>
      </c>
      <c r="B1054" s="2" t="s">
        <v>116</v>
      </c>
      <c r="C1054" s="2" t="s">
        <v>2032</v>
      </c>
      <c r="D1054" s="147" t="s">
        <v>2033</v>
      </c>
      <c r="E1054" s="148"/>
      <c r="F1054" s="2" t="s">
        <v>1731</v>
      </c>
      <c r="G1054" s="55">
        <f>'Stavební rozpočet-vyplnit'!G1054</f>
        <v>10850.83</v>
      </c>
      <c r="H1054" s="55">
        <f>'Stavební rozpočet-vyplnit'!H1054</f>
        <v>0</v>
      </c>
      <c r="I1054" s="55">
        <f>G1054*H1054</f>
        <v>0</v>
      </c>
      <c r="J1054" s="55">
        <f>'Stavební rozpočet-vyplnit'!J1054</f>
        <v>6E-05</v>
      </c>
      <c r="K1054" s="55">
        <f>G1054*J1054</f>
        <v>0.6510498</v>
      </c>
      <c r="L1054" s="57" t="s">
        <v>124</v>
      </c>
      <c r="Z1054" s="55">
        <f>IF(AQ1054="5",BJ1054,0)</f>
        <v>0</v>
      </c>
      <c r="AB1054" s="55">
        <f>IF(AQ1054="1",BH1054,0)</f>
        <v>0</v>
      </c>
      <c r="AC1054" s="55">
        <f>IF(AQ1054="1",BI1054,0)</f>
        <v>0</v>
      </c>
      <c r="AD1054" s="55">
        <f>IF(AQ1054="7",BH1054,0)</f>
        <v>0</v>
      </c>
      <c r="AE1054" s="55">
        <f>IF(AQ1054="7",BI1054,0)</f>
        <v>0</v>
      </c>
      <c r="AF1054" s="55">
        <f>IF(AQ1054="2",BH1054,0)</f>
        <v>0</v>
      </c>
      <c r="AG1054" s="55">
        <f>IF(AQ1054="2",BI1054,0)</f>
        <v>0</v>
      </c>
      <c r="AH1054" s="55">
        <f>IF(AQ1054="0",BJ1054,0)</f>
        <v>0</v>
      </c>
      <c r="AI1054" s="34" t="s">
        <v>116</v>
      </c>
      <c r="AJ1054" s="55">
        <f>IF(AN1054=0,I1054,0)</f>
        <v>0</v>
      </c>
      <c r="AK1054" s="55">
        <f>IF(AN1054=12,I1054,0)</f>
        <v>0</v>
      </c>
      <c r="AL1054" s="55">
        <f>IF(AN1054=21,I1054,0)</f>
        <v>0</v>
      </c>
      <c r="AN1054" s="55">
        <v>21</v>
      </c>
      <c r="AO1054" s="55">
        <f>H1054*0</f>
        <v>0</v>
      </c>
      <c r="AP1054" s="55">
        <f>H1054*(1-0)</f>
        <v>0</v>
      </c>
      <c r="AQ1054" s="58" t="s">
        <v>125</v>
      </c>
      <c r="AV1054" s="55">
        <f>AW1054+AX1054</f>
        <v>0</v>
      </c>
      <c r="AW1054" s="55">
        <f>G1054*AO1054</f>
        <v>0</v>
      </c>
      <c r="AX1054" s="55">
        <f>G1054*AP1054</f>
        <v>0</v>
      </c>
      <c r="AY1054" s="58" t="s">
        <v>2029</v>
      </c>
      <c r="AZ1054" s="58" t="s">
        <v>1669</v>
      </c>
      <c r="BA1054" s="34" t="s">
        <v>128</v>
      </c>
      <c r="BB1054" s="67">
        <v>100006</v>
      </c>
      <c r="BC1054" s="55">
        <f>AW1054+AX1054</f>
        <v>0</v>
      </c>
      <c r="BD1054" s="55">
        <f>H1054/(100-BE1054)*100</f>
        <v>0</v>
      </c>
      <c r="BE1054" s="55">
        <v>0</v>
      </c>
      <c r="BF1054" s="55">
        <f>K1054</f>
        <v>0.6510498</v>
      </c>
      <c r="BH1054" s="55">
        <f>G1054*AO1054</f>
        <v>0</v>
      </c>
      <c r="BI1054" s="55">
        <f>G1054*AP1054</f>
        <v>0</v>
      </c>
      <c r="BJ1054" s="55">
        <f>G1054*H1054</f>
        <v>0</v>
      </c>
      <c r="BK1054" s="55"/>
      <c r="BL1054" s="55">
        <v>767</v>
      </c>
      <c r="BW1054" s="55">
        <v>21</v>
      </c>
    </row>
    <row r="1055" spans="1:12" ht="13.5" customHeight="1">
      <c r="A1055" s="59"/>
      <c r="D1055" s="218" t="s">
        <v>2034</v>
      </c>
      <c r="E1055" s="219"/>
      <c r="F1055" s="219"/>
      <c r="G1055" s="219"/>
      <c r="H1055" s="219"/>
      <c r="I1055" s="219"/>
      <c r="J1055" s="219"/>
      <c r="K1055" s="219"/>
      <c r="L1055" s="221"/>
    </row>
    <row r="1056" spans="1:12" ht="14.4">
      <c r="A1056" s="59"/>
      <c r="D1056" s="60" t="s">
        <v>2035</v>
      </c>
      <c r="E1056" s="60" t="s">
        <v>2036</v>
      </c>
      <c r="G1056" s="68">
        <v>9545.36</v>
      </c>
      <c r="L1056" s="69"/>
    </row>
    <row r="1057" spans="1:12" ht="14.4">
      <c r="A1057" s="59"/>
      <c r="D1057" s="60" t="s">
        <v>2037</v>
      </c>
      <c r="E1057" s="60" t="s">
        <v>2038</v>
      </c>
      <c r="G1057" s="68">
        <v>142.88</v>
      </c>
      <c r="L1057" s="69"/>
    </row>
    <row r="1058" spans="1:12" ht="14.4">
      <c r="A1058" s="59"/>
      <c r="D1058" s="60" t="s">
        <v>2039</v>
      </c>
      <c r="E1058" s="60" t="s">
        <v>2040</v>
      </c>
      <c r="G1058" s="68">
        <v>1162.59</v>
      </c>
      <c r="L1058" s="69"/>
    </row>
    <row r="1059" spans="1:75" ht="13.5" customHeight="1">
      <c r="A1059" s="61" t="s">
        <v>2041</v>
      </c>
      <c r="B1059" s="62" t="s">
        <v>116</v>
      </c>
      <c r="C1059" s="62" t="s">
        <v>2042</v>
      </c>
      <c r="D1059" s="224" t="s">
        <v>2043</v>
      </c>
      <c r="E1059" s="225"/>
      <c r="F1059" s="62" t="s">
        <v>1731</v>
      </c>
      <c r="G1059" s="63">
        <f>'Stavební rozpočet-vyplnit'!G1059</f>
        <v>10022.63</v>
      </c>
      <c r="H1059" s="63">
        <f>'Stavební rozpočet-vyplnit'!H1059</f>
        <v>0</v>
      </c>
      <c r="I1059" s="63">
        <f>G1059*H1059</f>
        <v>0</v>
      </c>
      <c r="J1059" s="63">
        <f>'Stavební rozpočet-vyplnit'!J1059</f>
        <v>0.001</v>
      </c>
      <c r="K1059" s="63">
        <f>G1059*J1059</f>
        <v>10.02263</v>
      </c>
      <c r="L1059" s="65" t="s">
        <v>124</v>
      </c>
      <c r="Z1059" s="55">
        <f>IF(AQ1059="5",BJ1059,0)</f>
        <v>0</v>
      </c>
      <c r="AB1059" s="55">
        <f>IF(AQ1059="1",BH1059,0)</f>
        <v>0</v>
      </c>
      <c r="AC1059" s="55">
        <f>IF(AQ1059="1",BI1059,0)</f>
        <v>0</v>
      </c>
      <c r="AD1059" s="55">
        <f>IF(AQ1059="7",BH1059,0)</f>
        <v>0</v>
      </c>
      <c r="AE1059" s="55">
        <f>IF(AQ1059="7",BI1059,0)</f>
        <v>0</v>
      </c>
      <c r="AF1059" s="55">
        <f>IF(AQ1059="2",BH1059,0)</f>
        <v>0</v>
      </c>
      <c r="AG1059" s="55">
        <f>IF(AQ1059="2",BI1059,0)</f>
        <v>0</v>
      </c>
      <c r="AH1059" s="55">
        <f>IF(AQ1059="0",BJ1059,0)</f>
        <v>0</v>
      </c>
      <c r="AI1059" s="34" t="s">
        <v>116</v>
      </c>
      <c r="AJ1059" s="63">
        <f>IF(AN1059=0,I1059,0)</f>
        <v>0</v>
      </c>
      <c r="AK1059" s="63">
        <f>IF(AN1059=12,I1059,0)</f>
        <v>0</v>
      </c>
      <c r="AL1059" s="63">
        <f>IF(AN1059=21,I1059,0)</f>
        <v>0</v>
      </c>
      <c r="AN1059" s="55">
        <v>21</v>
      </c>
      <c r="AO1059" s="55">
        <f>H1059*1</f>
        <v>0</v>
      </c>
      <c r="AP1059" s="55">
        <f>H1059*(1-1)</f>
        <v>0</v>
      </c>
      <c r="AQ1059" s="66" t="s">
        <v>125</v>
      </c>
      <c r="AV1059" s="55">
        <f>AW1059+AX1059</f>
        <v>0</v>
      </c>
      <c r="AW1059" s="55">
        <f>G1059*AO1059</f>
        <v>0</v>
      </c>
      <c r="AX1059" s="55">
        <f>G1059*AP1059</f>
        <v>0</v>
      </c>
      <c r="AY1059" s="58" t="s">
        <v>2029</v>
      </c>
      <c r="AZ1059" s="58" t="s">
        <v>1669</v>
      </c>
      <c r="BA1059" s="34" t="s">
        <v>128</v>
      </c>
      <c r="BC1059" s="55">
        <f>AW1059+AX1059</f>
        <v>0</v>
      </c>
      <c r="BD1059" s="55">
        <f>H1059/(100-BE1059)*100</f>
        <v>0</v>
      </c>
      <c r="BE1059" s="55">
        <v>0</v>
      </c>
      <c r="BF1059" s="55">
        <f>K1059</f>
        <v>10.02263</v>
      </c>
      <c r="BH1059" s="63">
        <f>G1059*AO1059</f>
        <v>0</v>
      </c>
      <c r="BI1059" s="63">
        <f>G1059*AP1059</f>
        <v>0</v>
      </c>
      <c r="BJ1059" s="63">
        <f>G1059*H1059</f>
        <v>0</v>
      </c>
      <c r="BK1059" s="63"/>
      <c r="BL1059" s="55">
        <v>767</v>
      </c>
      <c r="BW1059" s="55">
        <v>21</v>
      </c>
    </row>
    <row r="1060" spans="1:12" ht="14.4">
      <c r="A1060" s="59"/>
      <c r="D1060" s="60" t="s">
        <v>2044</v>
      </c>
      <c r="E1060" s="60" t="s">
        <v>4</v>
      </c>
      <c r="G1060" s="68">
        <v>9545.36</v>
      </c>
      <c r="L1060" s="69"/>
    </row>
    <row r="1061" spans="1:12" ht="14.4">
      <c r="A1061" s="59"/>
      <c r="D1061" s="60" t="s">
        <v>2045</v>
      </c>
      <c r="E1061" s="60" t="s">
        <v>4</v>
      </c>
      <c r="G1061" s="68">
        <v>477.27</v>
      </c>
      <c r="L1061" s="69"/>
    </row>
    <row r="1062" spans="1:75" ht="13.5" customHeight="1">
      <c r="A1062" s="61" t="s">
        <v>2046</v>
      </c>
      <c r="B1062" s="62" t="s">
        <v>116</v>
      </c>
      <c r="C1062" s="62" t="s">
        <v>2047</v>
      </c>
      <c r="D1062" s="224" t="s">
        <v>2048</v>
      </c>
      <c r="E1062" s="225"/>
      <c r="F1062" s="62" t="s">
        <v>1731</v>
      </c>
      <c r="G1062" s="63">
        <f>'Stavební rozpočet-vyplnit'!G1062</f>
        <v>150.02</v>
      </c>
      <c r="H1062" s="63">
        <f>'Stavební rozpočet-vyplnit'!H1062</f>
        <v>0</v>
      </c>
      <c r="I1062" s="63">
        <f>G1062*H1062</f>
        <v>0</v>
      </c>
      <c r="J1062" s="63">
        <f>'Stavební rozpočet-vyplnit'!J1062</f>
        <v>0.001</v>
      </c>
      <c r="K1062" s="63">
        <f>G1062*J1062</f>
        <v>0.15002000000000001</v>
      </c>
      <c r="L1062" s="65" t="s">
        <v>124</v>
      </c>
      <c r="Z1062" s="55">
        <f>IF(AQ1062="5",BJ1062,0)</f>
        <v>0</v>
      </c>
      <c r="AB1062" s="55">
        <f>IF(AQ1062="1",BH1062,0)</f>
        <v>0</v>
      </c>
      <c r="AC1062" s="55">
        <f>IF(AQ1062="1",BI1062,0)</f>
        <v>0</v>
      </c>
      <c r="AD1062" s="55">
        <f>IF(AQ1062="7",BH1062,0)</f>
        <v>0</v>
      </c>
      <c r="AE1062" s="55">
        <f>IF(AQ1062="7",BI1062,0)</f>
        <v>0</v>
      </c>
      <c r="AF1062" s="55">
        <f>IF(AQ1062="2",BH1062,0)</f>
        <v>0</v>
      </c>
      <c r="AG1062" s="55">
        <f>IF(AQ1062="2",BI1062,0)</f>
        <v>0</v>
      </c>
      <c r="AH1062" s="55">
        <f>IF(AQ1062="0",BJ1062,0)</f>
        <v>0</v>
      </c>
      <c r="AI1062" s="34" t="s">
        <v>116</v>
      </c>
      <c r="AJ1062" s="63">
        <f>IF(AN1062=0,I1062,0)</f>
        <v>0</v>
      </c>
      <c r="AK1062" s="63">
        <f>IF(AN1062=12,I1062,0)</f>
        <v>0</v>
      </c>
      <c r="AL1062" s="63">
        <f>IF(AN1062=21,I1062,0)</f>
        <v>0</v>
      </c>
      <c r="AN1062" s="55">
        <v>21</v>
      </c>
      <c r="AO1062" s="55">
        <f>H1062*1</f>
        <v>0</v>
      </c>
      <c r="AP1062" s="55">
        <f>H1062*(1-1)</f>
        <v>0</v>
      </c>
      <c r="AQ1062" s="66" t="s">
        <v>125</v>
      </c>
      <c r="AV1062" s="55">
        <f>AW1062+AX1062</f>
        <v>0</v>
      </c>
      <c r="AW1062" s="55">
        <f>G1062*AO1062</f>
        <v>0</v>
      </c>
      <c r="AX1062" s="55">
        <f>G1062*AP1062</f>
        <v>0</v>
      </c>
      <c r="AY1062" s="58" t="s">
        <v>2029</v>
      </c>
      <c r="AZ1062" s="58" t="s">
        <v>1669</v>
      </c>
      <c r="BA1062" s="34" t="s">
        <v>128</v>
      </c>
      <c r="BC1062" s="55">
        <f>AW1062+AX1062</f>
        <v>0</v>
      </c>
      <c r="BD1062" s="55">
        <f>H1062/(100-BE1062)*100</f>
        <v>0</v>
      </c>
      <c r="BE1062" s="55">
        <v>0</v>
      </c>
      <c r="BF1062" s="55">
        <f>K1062</f>
        <v>0.15002000000000001</v>
      </c>
      <c r="BH1062" s="63">
        <f>G1062*AO1062</f>
        <v>0</v>
      </c>
      <c r="BI1062" s="63">
        <f>G1062*AP1062</f>
        <v>0</v>
      </c>
      <c r="BJ1062" s="63">
        <f>G1062*H1062</f>
        <v>0</v>
      </c>
      <c r="BK1062" s="63"/>
      <c r="BL1062" s="55">
        <v>767</v>
      </c>
      <c r="BW1062" s="55">
        <v>21</v>
      </c>
    </row>
    <row r="1063" spans="1:12" ht="14.4">
      <c r="A1063" s="59"/>
      <c r="D1063" s="60" t="s">
        <v>2037</v>
      </c>
      <c r="E1063" s="60" t="s">
        <v>4</v>
      </c>
      <c r="G1063" s="68">
        <v>142.88</v>
      </c>
      <c r="L1063" s="69"/>
    </row>
    <row r="1064" spans="1:12" ht="14.4">
      <c r="A1064" s="59"/>
      <c r="D1064" s="60" t="s">
        <v>2049</v>
      </c>
      <c r="E1064" s="60" t="s">
        <v>4</v>
      </c>
      <c r="G1064" s="68">
        <v>7.14</v>
      </c>
      <c r="L1064" s="69"/>
    </row>
    <row r="1065" spans="1:75" ht="13.5" customHeight="1">
      <c r="A1065" s="61" t="s">
        <v>2050</v>
      </c>
      <c r="B1065" s="62" t="s">
        <v>116</v>
      </c>
      <c r="C1065" s="62" t="s">
        <v>2051</v>
      </c>
      <c r="D1065" s="224" t="s">
        <v>2052</v>
      </c>
      <c r="E1065" s="225"/>
      <c r="F1065" s="62" t="s">
        <v>1731</v>
      </c>
      <c r="G1065" s="63">
        <f>'Stavební rozpočet-vyplnit'!G1065</f>
        <v>1163</v>
      </c>
      <c r="H1065" s="63">
        <f>'Stavební rozpočet-vyplnit'!H1065</f>
        <v>0</v>
      </c>
      <c r="I1065" s="63">
        <f>G1065*H1065</f>
        <v>0</v>
      </c>
      <c r="J1065" s="63">
        <f>'Stavební rozpočet-vyplnit'!J1065</f>
        <v>0.001</v>
      </c>
      <c r="K1065" s="63">
        <f>G1065*J1065</f>
        <v>1.163</v>
      </c>
      <c r="L1065" s="65" t="s">
        <v>124</v>
      </c>
      <c r="Z1065" s="55">
        <f>IF(AQ1065="5",BJ1065,0)</f>
        <v>0</v>
      </c>
      <c r="AB1065" s="55">
        <f>IF(AQ1065="1",BH1065,0)</f>
        <v>0</v>
      </c>
      <c r="AC1065" s="55">
        <f>IF(AQ1065="1",BI1065,0)</f>
        <v>0</v>
      </c>
      <c r="AD1065" s="55">
        <f>IF(AQ1065="7",BH1065,0)</f>
        <v>0</v>
      </c>
      <c r="AE1065" s="55">
        <f>IF(AQ1065="7",BI1065,0)</f>
        <v>0</v>
      </c>
      <c r="AF1065" s="55">
        <f>IF(AQ1065="2",BH1065,0)</f>
        <v>0</v>
      </c>
      <c r="AG1065" s="55">
        <f>IF(AQ1065="2",BI1065,0)</f>
        <v>0</v>
      </c>
      <c r="AH1065" s="55">
        <f>IF(AQ1065="0",BJ1065,0)</f>
        <v>0</v>
      </c>
      <c r="AI1065" s="34" t="s">
        <v>116</v>
      </c>
      <c r="AJ1065" s="63">
        <f>IF(AN1065=0,I1065,0)</f>
        <v>0</v>
      </c>
      <c r="AK1065" s="63">
        <f>IF(AN1065=12,I1065,0)</f>
        <v>0</v>
      </c>
      <c r="AL1065" s="63">
        <f>IF(AN1065=21,I1065,0)</f>
        <v>0</v>
      </c>
      <c r="AN1065" s="55">
        <v>21</v>
      </c>
      <c r="AO1065" s="55">
        <f>H1065*1</f>
        <v>0</v>
      </c>
      <c r="AP1065" s="55">
        <f>H1065*(1-1)</f>
        <v>0</v>
      </c>
      <c r="AQ1065" s="66" t="s">
        <v>125</v>
      </c>
      <c r="AV1065" s="55">
        <f>AW1065+AX1065</f>
        <v>0</v>
      </c>
      <c r="AW1065" s="55">
        <f>G1065*AO1065</f>
        <v>0</v>
      </c>
      <c r="AX1065" s="55">
        <f>G1065*AP1065</f>
        <v>0</v>
      </c>
      <c r="AY1065" s="58" t="s">
        <v>2029</v>
      </c>
      <c r="AZ1065" s="58" t="s">
        <v>1669</v>
      </c>
      <c r="BA1065" s="34" t="s">
        <v>128</v>
      </c>
      <c r="BC1065" s="55">
        <f>AW1065+AX1065</f>
        <v>0</v>
      </c>
      <c r="BD1065" s="55">
        <f>H1065/(100-BE1065)*100</f>
        <v>0</v>
      </c>
      <c r="BE1065" s="55">
        <v>0</v>
      </c>
      <c r="BF1065" s="55">
        <f>K1065</f>
        <v>1.163</v>
      </c>
      <c r="BH1065" s="63">
        <f>G1065*AO1065</f>
        <v>0</v>
      </c>
      <c r="BI1065" s="63">
        <f>G1065*AP1065</f>
        <v>0</v>
      </c>
      <c r="BJ1065" s="63">
        <f>G1065*H1065</f>
        <v>0</v>
      </c>
      <c r="BK1065" s="63"/>
      <c r="BL1065" s="55">
        <v>767</v>
      </c>
      <c r="BW1065" s="55">
        <v>21</v>
      </c>
    </row>
    <row r="1066" spans="1:12" ht="14.4">
      <c r="A1066" s="59"/>
      <c r="D1066" s="60" t="s">
        <v>2053</v>
      </c>
      <c r="E1066" s="60" t="s">
        <v>4</v>
      </c>
      <c r="G1066" s="68">
        <v>1163</v>
      </c>
      <c r="L1066" s="69"/>
    </row>
    <row r="1067" spans="1:75" ht="13.5" customHeight="1">
      <c r="A1067" s="1" t="s">
        <v>2054</v>
      </c>
      <c r="B1067" s="2" t="s">
        <v>116</v>
      </c>
      <c r="C1067" s="2" t="s">
        <v>2055</v>
      </c>
      <c r="D1067" s="147" t="s">
        <v>2056</v>
      </c>
      <c r="E1067" s="148"/>
      <c r="F1067" s="2" t="s">
        <v>1731</v>
      </c>
      <c r="G1067" s="55">
        <f>'Stavební rozpočet-vyplnit'!G1067</f>
        <v>5159.5</v>
      </c>
      <c r="H1067" s="55">
        <f>'Stavební rozpočet-vyplnit'!H1067</f>
        <v>0</v>
      </c>
      <c r="I1067" s="55">
        <f>G1067*H1067</f>
        <v>0</v>
      </c>
      <c r="J1067" s="55">
        <f>'Stavební rozpočet-vyplnit'!J1067</f>
        <v>0.001</v>
      </c>
      <c r="K1067" s="55">
        <f>G1067*J1067</f>
        <v>5.1595</v>
      </c>
      <c r="L1067" s="57" t="s">
        <v>124</v>
      </c>
      <c r="Z1067" s="55">
        <f>IF(AQ1067="5",BJ1067,0)</f>
        <v>0</v>
      </c>
      <c r="AB1067" s="55">
        <f>IF(AQ1067="1",BH1067,0)</f>
        <v>0</v>
      </c>
      <c r="AC1067" s="55">
        <f>IF(AQ1067="1",BI1067,0)</f>
        <v>0</v>
      </c>
      <c r="AD1067" s="55">
        <f>IF(AQ1067="7",BH1067,0)</f>
        <v>0</v>
      </c>
      <c r="AE1067" s="55">
        <f>IF(AQ1067="7",BI1067,0)</f>
        <v>0</v>
      </c>
      <c r="AF1067" s="55">
        <f>IF(AQ1067="2",BH1067,0)</f>
        <v>0</v>
      </c>
      <c r="AG1067" s="55">
        <f>IF(AQ1067="2",BI1067,0)</f>
        <v>0</v>
      </c>
      <c r="AH1067" s="55">
        <f>IF(AQ1067="0",BJ1067,0)</f>
        <v>0</v>
      </c>
      <c r="AI1067" s="34" t="s">
        <v>116</v>
      </c>
      <c r="AJ1067" s="55">
        <f>IF(AN1067=0,I1067,0)</f>
        <v>0</v>
      </c>
      <c r="AK1067" s="55">
        <f>IF(AN1067=12,I1067,0)</f>
        <v>0</v>
      </c>
      <c r="AL1067" s="55">
        <f>IF(AN1067=21,I1067,0)</f>
        <v>0</v>
      </c>
      <c r="AN1067" s="55">
        <v>21</v>
      </c>
      <c r="AO1067" s="55">
        <f>H1067*0</f>
        <v>0</v>
      </c>
      <c r="AP1067" s="55">
        <f>H1067*(1-0)</f>
        <v>0</v>
      </c>
      <c r="AQ1067" s="58" t="s">
        <v>125</v>
      </c>
      <c r="AV1067" s="55">
        <f>AW1067+AX1067</f>
        <v>0</v>
      </c>
      <c r="AW1067" s="55">
        <f>G1067*AO1067</f>
        <v>0</v>
      </c>
      <c r="AX1067" s="55">
        <f>G1067*AP1067</f>
        <v>0</v>
      </c>
      <c r="AY1067" s="58" t="s">
        <v>2029</v>
      </c>
      <c r="AZ1067" s="58" t="s">
        <v>1669</v>
      </c>
      <c r="BA1067" s="34" t="s">
        <v>128</v>
      </c>
      <c r="BB1067" s="67">
        <v>100006</v>
      </c>
      <c r="BC1067" s="55">
        <f>AW1067+AX1067</f>
        <v>0</v>
      </c>
      <c r="BD1067" s="55">
        <f>H1067/(100-BE1067)*100</f>
        <v>0</v>
      </c>
      <c r="BE1067" s="55">
        <v>0</v>
      </c>
      <c r="BF1067" s="55">
        <f>K1067</f>
        <v>5.1595</v>
      </c>
      <c r="BH1067" s="55">
        <f>G1067*AO1067</f>
        <v>0</v>
      </c>
      <c r="BI1067" s="55">
        <f>G1067*AP1067</f>
        <v>0</v>
      </c>
      <c r="BJ1067" s="55">
        <f>G1067*H1067</f>
        <v>0</v>
      </c>
      <c r="BK1067" s="55"/>
      <c r="BL1067" s="55">
        <v>767</v>
      </c>
      <c r="BW1067" s="55">
        <v>21</v>
      </c>
    </row>
    <row r="1068" spans="1:12" ht="13.5" customHeight="1">
      <c r="A1068" s="59"/>
      <c r="D1068" s="218" t="s">
        <v>2034</v>
      </c>
      <c r="E1068" s="219"/>
      <c r="F1068" s="219"/>
      <c r="G1068" s="219"/>
      <c r="H1068" s="219"/>
      <c r="I1068" s="219"/>
      <c r="J1068" s="219"/>
      <c r="K1068" s="219"/>
      <c r="L1068" s="221"/>
    </row>
    <row r="1069" spans="1:12" ht="14.4">
      <c r="A1069" s="59"/>
      <c r="D1069" s="60" t="s">
        <v>2057</v>
      </c>
      <c r="E1069" s="60" t="s">
        <v>2036</v>
      </c>
      <c r="G1069" s="68">
        <v>4471.91</v>
      </c>
      <c r="L1069" s="69"/>
    </row>
    <row r="1070" spans="1:12" ht="14.4">
      <c r="A1070" s="59"/>
      <c r="D1070" s="60" t="s">
        <v>2058</v>
      </c>
      <c r="E1070" s="60" t="s">
        <v>2059</v>
      </c>
      <c r="G1070" s="68">
        <v>134.79</v>
      </c>
      <c r="L1070" s="69"/>
    </row>
    <row r="1071" spans="1:12" ht="14.4">
      <c r="A1071" s="59"/>
      <c r="D1071" s="60" t="s">
        <v>2060</v>
      </c>
      <c r="E1071" s="60" t="s">
        <v>2040</v>
      </c>
      <c r="G1071" s="68">
        <v>552.8</v>
      </c>
      <c r="L1071" s="69"/>
    </row>
    <row r="1072" spans="1:75" ht="13.5" customHeight="1">
      <c r="A1072" s="61" t="s">
        <v>2061</v>
      </c>
      <c r="B1072" s="62" t="s">
        <v>116</v>
      </c>
      <c r="C1072" s="62" t="s">
        <v>2062</v>
      </c>
      <c r="D1072" s="224" t="s">
        <v>2063</v>
      </c>
      <c r="E1072" s="225"/>
      <c r="F1072" s="62" t="s">
        <v>1731</v>
      </c>
      <c r="G1072" s="63">
        <f>'Stavební rozpočet-vyplnit'!G1072</f>
        <v>4695.51</v>
      </c>
      <c r="H1072" s="63">
        <f>'Stavební rozpočet-vyplnit'!H1072</f>
        <v>0</v>
      </c>
      <c r="I1072" s="63">
        <f>G1072*H1072</f>
        <v>0</v>
      </c>
      <c r="J1072" s="63">
        <f>'Stavební rozpočet-vyplnit'!J1072</f>
        <v>0.001</v>
      </c>
      <c r="K1072" s="63">
        <f>G1072*J1072</f>
        <v>4.6955100000000005</v>
      </c>
      <c r="L1072" s="65" t="s">
        <v>124</v>
      </c>
      <c r="Z1072" s="55">
        <f>IF(AQ1072="5",BJ1072,0)</f>
        <v>0</v>
      </c>
      <c r="AB1072" s="55">
        <f>IF(AQ1072="1",BH1072,0)</f>
        <v>0</v>
      </c>
      <c r="AC1072" s="55">
        <f>IF(AQ1072="1",BI1072,0)</f>
        <v>0</v>
      </c>
      <c r="AD1072" s="55">
        <f>IF(AQ1072="7",BH1072,0)</f>
        <v>0</v>
      </c>
      <c r="AE1072" s="55">
        <f>IF(AQ1072="7",BI1072,0)</f>
        <v>0</v>
      </c>
      <c r="AF1072" s="55">
        <f>IF(AQ1072="2",BH1072,0)</f>
        <v>0</v>
      </c>
      <c r="AG1072" s="55">
        <f>IF(AQ1072="2",BI1072,0)</f>
        <v>0</v>
      </c>
      <c r="AH1072" s="55">
        <f>IF(AQ1072="0",BJ1072,0)</f>
        <v>0</v>
      </c>
      <c r="AI1072" s="34" t="s">
        <v>116</v>
      </c>
      <c r="AJ1072" s="63">
        <f>IF(AN1072=0,I1072,0)</f>
        <v>0</v>
      </c>
      <c r="AK1072" s="63">
        <f>IF(AN1072=12,I1072,0)</f>
        <v>0</v>
      </c>
      <c r="AL1072" s="63">
        <f>IF(AN1072=21,I1072,0)</f>
        <v>0</v>
      </c>
      <c r="AN1072" s="55">
        <v>21</v>
      </c>
      <c r="AO1072" s="55">
        <f>H1072*1</f>
        <v>0</v>
      </c>
      <c r="AP1072" s="55">
        <f>H1072*(1-1)</f>
        <v>0</v>
      </c>
      <c r="AQ1072" s="66" t="s">
        <v>125</v>
      </c>
      <c r="AV1072" s="55">
        <f>AW1072+AX1072</f>
        <v>0</v>
      </c>
      <c r="AW1072" s="55">
        <f>G1072*AO1072</f>
        <v>0</v>
      </c>
      <c r="AX1072" s="55">
        <f>G1072*AP1072</f>
        <v>0</v>
      </c>
      <c r="AY1072" s="58" t="s">
        <v>2029</v>
      </c>
      <c r="AZ1072" s="58" t="s">
        <v>1669</v>
      </c>
      <c r="BA1072" s="34" t="s">
        <v>128</v>
      </c>
      <c r="BC1072" s="55">
        <f>AW1072+AX1072</f>
        <v>0</v>
      </c>
      <c r="BD1072" s="55">
        <f>H1072/(100-BE1072)*100</f>
        <v>0</v>
      </c>
      <c r="BE1072" s="55">
        <v>0</v>
      </c>
      <c r="BF1072" s="55">
        <f>K1072</f>
        <v>4.6955100000000005</v>
      </c>
      <c r="BH1072" s="63">
        <f>G1072*AO1072</f>
        <v>0</v>
      </c>
      <c r="BI1072" s="63">
        <f>G1072*AP1072</f>
        <v>0</v>
      </c>
      <c r="BJ1072" s="63">
        <f>G1072*H1072</f>
        <v>0</v>
      </c>
      <c r="BK1072" s="63"/>
      <c r="BL1072" s="55">
        <v>767</v>
      </c>
      <c r="BW1072" s="55">
        <v>21</v>
      </c>
    </row>
    <row r="1073" spans="1:12" ht="14.4">
      <c r="A1073" s="59"/>
      <c r="D1073" s="60" t="s">
        <v>2064</v>
      </c>
      <c r="E1073" s="60" t="s">
        <v>4</v>
      </c>
      <c r="G1073" s="68">
        <v>4471.91</v>
      </c>
      <c r="L1073" s="69"/>
    </row>
    <row r="1074" spans="1:12" ht="14.4">
      <c r="A1074" s="59"/>
      <c r="D1074" s="60" t="s">
        <v>2065</v>
      </c>
      <c r="E1074" s="60" t="s">
        <v>4</v>
      </c>
      <c r="G1074" s="68">
        <v>223.6</v>
      </c>
      <c r="L1074" s="69"/>
    </row>
    <row r="1075" spans="1:75" ht="13.5" customHeight="1">
      <c r="A1075" s="61" t="s">
        <v>2066</v>
      </c>
      <c r="B1075" s="62" t="s">
        <v>116</v>
      </c>
      <c r="C1075" s="62" t="s">
        <v>2067</v>
      </c>
      <c r="D1075" s="224" t="s">
        <v>2068</v>
      </c>
      <c r="E1075" s="225"/>
      <c r="F1075" s="62" t="s">
        <v>1731</v>
      </c>
      <c r="G1075" s="63">
        <f>'Stavební rozpočet-vyplnit'!G1075</f>
        <v>141.44</v>
      </c>
      <c r="H1075" s="63">
        <f>'Stavební rozpočet-vyplnit'!H1075</f>
        <v>0</v>
      </c>
      <c r="I1075" s="63">
        <f>G1075*H1075</f>
        <v>0</v>
      </c>
      <c r="J1075" s="63">
        <f>'Stavební rozpočet-vyplnit'!J1075</f>
        <v>0.001</v>
      </c>
      <c r="K1075" s="63">
        <f>G1075*J1075</f>
        <v>0.14144</v>
      </c>
      <c r="L1075" s="65" t="s">
        <v>124</v>
      </c>
      <c r="Z1075" s="55">
        <f>IF(AQ1075="5",BJ1075,0)</f>
        <v>0</v>
      </c>
      <c r="AB1075" s="55">
        <f>IF(AQ1075="1",BH1075,0)</f>
        <v>0</v>
      </c>
      <c r="AC1075" s="55">
        <f>IF(AQ1075="1",BI1075,0)</f>
        <v>0</v>
      </c>
      <c r="AD1075" s="55">
        <f>IF(AQ1075="7",BH1075,0)</f>
        <v>0</v>
      </c>
      <c r="AE1075" s="55">
        <f>IF(AQ1075="7",BI1075,0)</f>
        <v>0</v>
      </c>
      <c r="AF1075" s="55">
        <f>IF(AQ1075="2",BH1075,0)</f>
        <v>0</v>
      </c>
      <c r="AG1075" s="55">
        <f>IF(AQ1075="2",BI1075,0)</f>
        <v>0</v>
      </c>
      <c r="AH1075" s="55">
        <f>IF(AQ1075="0",BJ1075,0)</f>
        <v>0</v>
      </c>
      <c r="AI1075" s="34" t="s">
        <v>116</v>
      </c>
      <c r="AJ1075" s="63">
        <f>IF(AN1075=0,I1075,0)</f>
        <v>0</v>
      </c>
      <c r="AK1075" s="63">
        <f>IF(AN1075=12,I1075,0)</f>
        <v>0</v>
      </c>
      <c r="AL1075" s="63">
        <f>IF(AN1075=21,I1075,0)</f>
        <v>0</v>
      </c>
      <c r="AN1075" s="55">
        <v>21</v>
      </c>
      <c r="AO1075" s="55">
        <f>H1075*1</f>
        <v>0</v>
      </c>
      <c r="AP1075" s="55">
        <f>H1075*(1-1)</f>
        <v>0</v>
      </c>
      <c r="AQ1075" s="66" t="s">
        <v>125</v>
      </c>
      <c r="AV1075" s="55">
        <f>AW1075+AX1075</f>
        <v>0</v>
      </c>
      <c r="AW1075" s="55">
        <f>G1075*AO1075</f>
        <v>0</v>
      </c>
      <c r="AX1075" s="55">
        <f>G1075*AP1075</f>
        <v>0</v>
      </c>
      <c r="AY1075" s="58" t="s">
        <v>2029</v>
      </c>
      <c r="AZ1075" s="58" t="s">
        <v>1669</v>
      </c>
      <c r="BA1075" s="34" t="s">
        <v>128</v>
      </c>
      <c r="BC1075" s="55">
        <f>AW1075+AX1075</f>
        <v>0</v>
      </c>
      <c r="BD1075" s="55">
        <f>H1075/(100-BE1075)*100</f>
        <v>0</v>
      </c>
      <c r="BE1075" s="55">
        <v>0</v>
      </c>
      <c r="BF1075" s="55">
        <f>K1075</f>
        <v>0.14144</v>
      </c>
      <c r="BH1075" s="63">
        <f>G1075*AO1075</f>
        <v>0</v>
      </c>
      <c r="BI1075" s="63">
        <f>G1075*AP1075</f>
        <v>0</v>
      </c>
      <c r="BJ1075" s="63">
        <f>G1075*H1075</f>
        <v>0</v>
      </c>
      <c r="BK1075" s="63"/>
      <c r="BL1075" s="55">
        <v>767</v>
      </c>
      <c r="BW1075" s="55">
        <v>21</v>
      </c>
    </row>
    <row r="1076" spans="1:12" ht="14.4">
      <c r="A1076" s="59"/>
      <c r="D1076" s="60" t="s">
        <v>2069</v>
      </c>
      <c r="E1076" s="60" t="s">
        <v>4</v>
      </c>
      <c r="G1076" s="68">
        <v>134.7</v>
      </c>
      <c r="L1076" s="69"/>
    </row>
    <row r="1077" spans="1:12" ht="14.4">
      <c r="A1077" s="59"/>
      <c r="D1077" s="60" t="s">
        <v>2070</v>
      </c>
      <c r="E1077" s="60" t="s">
        <v>4</v>
      </c>
      <c r="G1077" s="68">
        <v>6.74</v>
      </c>
      <c r="L1077" s="69"/>
    </row>
    <row r="1078" spans="1:75" ht="13.5" customHeight="1">
      <c r="A1078" s="61" t="s">
        <v>2071</v>
      </c>
      <c r="B1078" s="62" t="s">
        <v>116</v>
      </c>
      <c r="C1078" s="62" t="s">
        <v>2051</v>
      </c>
      <c r="D1078" s="224" t="s">
        <v>2052</v>
      </c>
      <c r="E1078" s="225"/>
      <c r="F1078" s="62" t="s">
        <v>1731</v>
      </c>
      <c r="G1078" s="63">
        <f>'Stavební rozpočet-vyplnit'!G1078</f>
        <v>552.8</v>
      </c>
      <c r="H1078" s="63">
        <f>'Stavební rozpočet-vyplnit'!H1078</f>
        <v>0</v>
      </c>
      <c r="I1078" s="63">
        <f>G1078*H1078</f>
        <v>0</v>
      </c>
      <c r="J1078" s="63">
        <f>'Stavební rozpočet-vyplnit'!J1078</f>
        <v>0.001</v>
      </c>
      <c r="K1078" s="63">
        <f>G1078*J1078</f>
        <v>0.5528</v>
      </c>
      <c r="L1078" s="65" t="s">
        <v>124</v>
      </c>
      <c r="Z1078" s="55">
        <f>IF(AQ1078="5",BJ1078,0)</f>
        <v>0</v>
      </c>
      <c r="AB1078" s="55">
        <f>IF(AQ1078="1",BH1078,0)</f>
        <v>0</v>
      </c>
      <c r="AC1078" s="55">
        <f>IF(AQ1078="1",BI1078,0)</f>
        <v>0</v>
      </c>
      <c r="AD1078" s="55">
        <f>IF(AQ1078="7",BH1078,0)</f>
        <v>0</v>
      </c>
      <c r="AE1078" s="55">
        <f>IF(AQ1078="7",BI1078,0)</f>
        <v>0</v>
      </c>
      <c r="AF1078" s="55">
        <f>IF(AQ1078="2",BH1078,0)</f>
        <v>0</v>
      </c>
      <c r="AG1078" s="55">
        <f>IF(AQ1078="2",BI1078,0)</f>
        <v>0</v>
      </c>
      <c r="AH1078" s="55">
        <f>IF(AQ1078="0",BJ1078,0)</f>
        <v>0</v>
      </c>
      <c r="AI1078" s="34" t="s">
        <v>116</v>
      </c>
      <c r="AJ1078" s="63">
        <f>IF(AN1078=0,I1078,0)</f>
        <v>0</v>
      </c>
      <c r="AK1078" s="63">
        <f>IF(AN1078=12,I1078,0)</f>
        <v>0</v>
      </c>
      <c r="AL1078" s="63">
        <f>IF(AN1078=21,I1078,0)</f>
        <v>0</v>
      </c>
      <c r="AN1078" s="55">
        <v>21</v>
      </c>
      <c r="AO1078" s="55">
        <f>H1078*1</f>
        <v>0</v>
      </c>
      <c r="AP1078" s="55">
        <f>H1078*(1-1)</f>
        <v>0</v>
      </c>
      <c r="AQ1078" s="66" t="s">
        <v>125</v>
      </c>
      <c r="AV1078" s="55">
        <f>AW1078+AX1078</f>
        <v>0</v>
      </c>
      <c r="AW1078" s="55">
        <f>G1078*AO1078</f>
        <v>0</v>
      </c>
      <c r="AX1078" s="55">
        <f>G1078*AP1078</f>
        <v>0</v>
      </c>
      <c r="AY1078" s="58" t="s">
        <v>2029</v>
      </c>
      <c r="AZ1078" s="58" t="s">
        <v>1669</v>
      </c>
      <c r="BA1078" s="34" t="s">
        <v>128</v>
      </c>
      <c r="BC1078" s="55">
        <f>AW1078+AX1078</f>
        <v>0</v>
      </c>
      <c r="BD1078" s="55">
        <f>H1078/(100-BE1078)*100</f>
        <v>0</v>
      </c>
      <c r="BE1078" s="55">
        <v>0</v>
      </c>
      <c r="BF1078" s="55">
        <f>K1078</f>
        <v>0.5528</v>
      </c>
      <c r="BH1078" s="63">
        <f>G1078*AO1078</f>
        <v>0</v>
      </c>
      <c r="BI1078" s="63">
        <f>G1078*AP1078</f>
        <v>0</v>
      </c>
      <c r="BJ1078" s="63">
        <f>G1078*H1078</f>
        <v>0</v>
      </c>
      <c r="BK1078" s="63"/>
      <c r="BL1078" s="55">
        <v>767</v>
      </c>
      <c r="BW1078" s="55">
        <v>21</v>
      </c>
    </row>
    <row r="1079" spans="1:12" ht="14.4">
      <c r="A1079" s="59"/>
      <c r="D1079" s="60" t="s">
        <v>2072</v>
      </c>
      <c r="E1079" s="60" t="s">
        <v>4</v>
      </c>
      <c r="G1079" s="68">
        <v>552.8</v>
      </c>
      <c r="L1079" s="69"/>
    </row>
    <row r="1080" spans="1:75" ht="13.5" customHeight="1">
      <c r="A1080" s="1" t="s">
        <v>2073</v>
      </c>
      <c r="B1080" s="2" t="s">
        <v>116</v>
      </c>
      <c r="C1080" s="2" t="s">
        <v>2074</v>
      </c>
      <c r="D1080" s="147" t="s">
        <v>2075</v>
      </c>
      <c r="E1080" s="148"/>
      <c r="F1080" s="2" t="s">
        <v>1731</v>
      </c>
      <c r="G1080" s="55">
        <f>'Stavební rozpočet-vyplnit'!G1080</f>
        <v>685.78</v>
      </c>
      <c r="H1080" s="55">
        <f>'Stavební rozpočet-vyplnit'!H1080</f>
        <v>0</v>
      </c>
      <c r="I1080" s="55">
        <f>G1080*H1080</f>
        <v>0</v>
      </c>
      <c r="J1080" s="55">
        <f>'Stavební rozpočet-vyplnit'!J1080</f>
        <v>0.0006</v>
      </c>
      <c r="K1080" s="55">
        <f>G1080*J1080</f>
        <v>0.41146799999999994</v>
      </c>
      <c r="L1080" s="57" t="s">
        <v>124</v>
      </c>
      <c r="Z1080" s="55">
        <f>IF(AQ1080="5",BJ1080,0)</f>
        <v>0</v>
      </c>
      <c r="AB1080" s="55">
        <f>IF(AQ1080="1",BH1080,0)</f>
        <v>0</v>
      </c>
      <c r="AC1080" s="55">
        <f>IF(AQ1080="1",BI1080,0)</f>
        <v>0</v>
      </c>
      <c r="AD1080" s="55">
        <f>IF(AQ1080="7",BH1080,0)</f>
        <v>0</v>
      </c>
      <c r="AE1080" s="55">
        <f>IF(AQ1080="7",BI1080,0)</f>
        <v>0</v>
      </c>
      <c r="AF1080" s="55">
        <f>IF(AQ1080="2",BH1080,0)</f>
        <v>0</v>
      </c>
      <c r="AG1080" s="55">
        <f>IF(AQ1080="2",BI1080,0)</f>
        <v>0</v>
      </c>
      <c r="AH1080" s="55">
        <f>IF(AQ1080="0",BJ1080,0)</f>
        <v>0</v>
      </c>
      <c r="AI1080" s="34" t="s">
        <v>116</v>
      </c>
      <c r="AJ1080" s="55">
        <f>IF(AN1080=0,I1080,0)</f>
        <v>0</v>
      </c>
      <c r="AK1080" s="55">
        <f>IF(AN1080=12,I1080,0)</f>
        <v>0</v>
      </c>
      <c r="AL1080" s="55">
        <f>IF(AN1080=21,I1080,0)</f>
        <v>0</v>
      </c>
      <c r="AN1080" s="55">
        <v>21</v>
      </c>
      <c r="AO1080" s="55">
        <f>H1080*0</f>
        <v>0</v>
      </c>
      <c r="AP1080" s="55">
        <f>H1080*(1-0)</f>
        <v>0</v>
      </c>
      <c r="AQ1080" s="58" t="s">
        <v>125</v>
      </c>
      <c r="AV1080" s="55">
        <f>AW1080+AX1080</f>
        <v>0</v>
      </c>
      <c r="AW1080" s="55">
        <f>G1080*AO1080</f>
        <v>0</v>
      </c>
      <c r="AX1080" s="55">
        <f>G1080*AP1080</f>
        <v>0</v>
      </c>
      <c r="AY1080" s="58" t="s">
        <v>2029</v>
      </c>
      <c r="AZ1080" s="58" t="s">
        <v>1669</v>
      </c>
      <c r="BA1080" s="34" t="s">
        <v>128</v>
      </c>
      <c r="BB1080" s="67">
        <v>100006</v>
      </c>
      <c r="BC1080" s="55">
        <f>AW1080+AX1080</f>
        <v>0</v>
      </c>
      <c r="BD1080" s="55">
        <f>H1080/(100-BE1080)*100</f>
        <v>0</v>
      </c>
      <c r="BE1080" s="55">
        <v>0</v>
      </c>
      <c r="BF1080" s="55">
        <f>K1080</f>
        <v>0.41146799999999994</v>
      </c>
      <c r="BH1080" s="55">
        <f>G1080*AO1080</f>
        <v>0</v>
      </c>
      <c r="BI1080" s="55">
        <f>G1080*AP1080</f>
        <v>0</v>
      </c>
      <c r="BJ1080" s="55">
        <f>G1080*H1080</f>
        <v>0</v>
      </c>
      <c r="BK1080" s="55"/>
      <c r="BL1080" s="55">
        <v>767</v>
      </c>
      <c r="BW1080" s="55">
        <v>21</v>
      </c>
    </row>
    <row r="1081" spans="1:12" ht="13.5" customHeight="1">
      <c r="A1081" s="59"/>
      <c r="D1081" s="218" t="s">
        <v>2076</v>
      </c>
      <c r="E1081" s="219"/>
      <c r="F1081" s="219"/>
      <c r="G1081" s="219"/>
      <c r="H1081" s="219"/>
      <c r="I1081" s="219"/>
      <c r="J1081" s="219"/>
      <c r="K1081" s="219"/>
      <c r="L1081" s="221"/>
    </row>
    <row r="1082" spans="1:12" ht="14.4">
      <c r="A1082" s="59"/>
      <c r="D1082" s="60" t="s">
        <v>2077</v>
      </c>
      <c r="E1082" s="60" t="s">
        <v>2078</v>
      </c>
      <c r="G1082" s="68">
        <v>612.3</v>
      </c>
      <c r="L1082" s="69"/>
    </row>
    <row r="1083" spans="1:12" ht="14.4">
      <c r="A1083" s="59"/>
      <c r="D1083" s="60" t="s">
        <v>2079</v>
      </c>
      <c r="E1083" s="60" t="s">
        <v>2040</v>
      </c>
      <c r="G1083" s="68">
        <v>73.48</v>
      </c>
      <c r="L1083" s="69"/>
    </row>
    <row r="1084" spans="1:75" ht="13.5" customHeight="1">
      <c r="A1084" s="61" t="s">
        <v>2080</v>
      </c>
      <c r="B1084" s="62" t="s">
        <v>116</v>
      </c>
      <c r="C1084" s="62" t="s">
        <v>2081</v>
      </c>
      <c r="D1084" s="224" t="s">
        <v>2082</v>
      </c>
      <c r="E1084" s="225"/>
      <c r="F1084" s="62" t="s">
        <v>939</v>
      </c>
      <c r="G1084" s="63">
        <f>'Stavební rozpočet-vyplnit'!G1084</f>
        <v>0.64</v>
      </c>
      <c r="H1084" s="63">
        <f>'Stavební rozpočet-vyplnit'!H1084</f>
        <v>0</v>
      </c>
      <c r="I1084" s="63">
        <f>G1084*H1084</f>
        <v>0</v>
      </c>
      <c r="J1084" s="63">
        <f>'Stavební rozpočet-vyplnit'!J1084</f>
        <v>1</v>
      </c>
      <c r="K1084" s="63">
        <f>G1084*J1084</f>
        <v>0.64</v>
      </c>
      <c r="L1084" s="65" t="s">
        <v>124</v>
      </c>
      <c r="Z1084" s="55">
        <f>IF(AQ1084="5",BJ1084,0)</f>
        <v>0</v>
      </c>
      <c r="AB1084" s="55">
        <f>IF(AQ1084="1",BH1084,0)</f>
        <v>0</v>
      </c>
      <c r="AC1084" s="55">
        <f>IF(AQ1084="1",BI1084,0)</f>
        <v>0</v>
      </c>
      <c r="AD1084" s="55">
        <f>IF(AQ1084="7",BH1084,0)</f>
        <v>0</v>
      </c>
      <c r="AE1084" s="55">
        <f>IF(AQ1084="7",BI1084,0)</f>
        <v>0</v>
      </c>
      <c r="AF1084" s="55">
        <f>IF(AQ1084="2",BH1084,0)</f>
        <v>0</v>
      </c>
      <c r="AG1084" s="55">
        <f>IF(AQ1084="2",BI1084,0)</f>
        <v>0</v>
      </c>
      <c r="AH1084" s="55">
        <f>IF(AQ1084="0",BJ1084,0)</f>
        <v>0</v>
      </c>
      <c r="AI1084" s="34" t="s">
        <v>116</v>
      </c>
      <c r="AJ1084" s="63">
        <f>IF(AN1084=0,I1084,0)</f>
        <v>0</v>
      </c>
      <c r="AK1084" s="63">
        <f>IF(AN1084=12,I1084,0)</f>
        <v>0</v>
      </c>
      <c r="AL1084" s="63">
        <f>IF(AN1084=21,I1084,0)</f>
        <v>0</v>
      </c>
      <c r="AN1084" s="55">
        <v>21</v>
      </c>
      <c r="AO1084" s="55">
        <f>H1084*1</f>
        <v>0</v>
      </c>
      <c r="AP1084" s="55">
        <f>H1084*(1-1)</f>
        <v>0</v>
      </c>
      <c r="AQ1084" s="66" t="s">
        <v>125</v>
      </c>
      <c r="AV1084" s="55">
        <f>AW1084+AX1084</f>
        <v>0</v>
      </c>
      <c r="AW1084" s="55">
        <f>G1084*AO1084</f>
        <v>0</v>
      </c>
      <c r="AX1084" s="55">
        <f>G1084*AP1084</f>
        <v>0</v>
      </c>
      <c r="AY1084" s="58" t="s">
        <v>2029</v>
      </c>
      <c r="AZ1084" s="58" t="s">
        <v>1669</v>
      </c>
      <c r="BA1084" s="34" t="s">
        <v>128</v>
      </c>
      <c r="BC1084" s="55">
        <f>AW1084+AX1084</f>
        <v>0</v>
      </c>
      <c r="BD1084" s="55">
        <f>H1084/(100-BE1084)*100</f>
        <v>0</v>
      </c>
      <c r="BE1084" s="55">
        <v>0</v>
      </c>
      <c r="BF1084" s="55">
        <f>K1084</f>
        <v>0.64</v>
      </c>
      <c r="BH1084" s="63">
        <f>G1084*AO1084</f>
        <v>0</v>
      </c>
      <c r="BI1084" s="63">
        <f>G1084*AP1084</f>
        <v>0</v>
      </c>
      <c r="BJ1084" s="63">
        <f>G1084*H1084</f>
        <v>0</v>
      </c>
      <c r="BK1084" s="63"/>
      <c r="BL1084" s="55">
        <v>767</v>
      </c>
      <c r="BW1084" s="55">
        <v>21</v>
      </c>
    </row>
    <row r="1085" spans="1:12" ht="14.4">
      <c r="A1085" s="59"/>
      <c r="D1085" s="60" t="s">
        <v>2083</v>
      </c>
      <c r="E1085" s="60" t="s">
        <v>4</v>
      </c>
      <c r="G1085" s="68">
        <v>0.61</v>
      </c>
      <c r="L1085" s="69"/>
    </row>
    <row r="1086" spans="1:12" ht="14.4">
      <c r="A1086" s="59"/>
      <c r="D1086" s="60" t="s">
        <v>2084</v>
      </c>
      <c r="E1086" s="60" t="s">
        <v>4</v>
      </c>
      <c r="G1086" s="68">
        <v>0.03</v>
      </c>
      <c r="L1086" s="69"/>
    </row>
    <row r="1087" spans="1:75" ht="13.5" customHeight="1">
      <c r="A1087" s="61" t="s">
        <v>2085</v>
      </c>
      <c r="B1087" s="62" t="s">
        <v>116</v>
      </c>
      <c r="C1087" s="62" t="s">
        <v>2051</v>
      </c>
      <c r="D1087" s="224" t="s">
        <v>2052</v>
      </c>
      <c r="E1087" s="225"/>
      <c r="F1087" s="62" t="s">
        <v>1731</v>
      </c>
      <c r="G1087" s="63">
        <f>'Stavební rozpočet-vyplnit'!G1087</f>
        <v>73.5</v>
      </c>
      <c r="H1087" s="63">
        <f>'Stavební rozpočet-vyplnit'!H1087</f>
        <v>0</v>
      </c>
      <c r="I1087" s="63">
        <f>G1087*H1087</f>
        <v>0</v>
      </c>
      <c r="J1087" s="63">
        <f>'Stavební rozpočet-vyplnit'!J1087</f>
        <v>0.001</v>
      </c>
      <c r="K1087" s="63">
        <f>G1087*J1087</f>
        <v>0.0735</v>
      </c>
      <c r="L1087" s="65" t="s">
        <v>124</v>
      </c>
      <c r="Z1087" s="55">
        <f>IF(AQ1087="5",BJ1087,0)</f>
        <v>0</v>
      </c>
      <c r="AB1087" s="55">
        <f>IF(AQ1087="1",BH1087,0)</f>
        <v>0</v>
      </c>
      <c r="AC1087" s="55">
        <f>IF(AQ1087="1",BI1087,0)</f>
        <v>0</v>
      </c>
      <c r="AD1087" s="55">
        <f>IF(AQ1087="7",BH1087,0)</f>
        <v>0</v>
      </c>
      <c r="AE1087" s="55">
        <f>IF(AQ1087="7",BI1087,0)</f>
        <v>0</v>
      </c>
      <c r="AF1087" s="55">
        <f>IF(AQ1087="2",BH1087,0)</f>
        <v>0</v>
      </c>
      <c r="AG1087" s="55">
        <f>IF(AQ1087="2",BI1087,0)</f>
        <v>0</v>
      </c>
      <c r="AH1087" s="55">
        <f>IF(AQ1087="0",BJ1087,0)</f>
        <v>0</v>
      </c>
      <c r="AI1087" s="34" t="s">
        <v>116</v>
      </c>
      <c r="AJ1087" s="63">
        <f>IF(AN1087=0,I1087,0)</f>
        <v>0</v>
      </c>
      <c r="AK1087" s="63">
        <f>IF(AN1087=12,I1087,0)</f>
        <v>0</v>
      </c>
      <c r="AL1087" s="63">
        <f>IF(AN1087=21,I1087,0)</f>
        <v>0</v>
      </c>
      <c r="AN1087" s="55">
        <v>21</v>
      </c>
      <c r="AO1087" s="55">
        <f>H1087*1</f>
        <v>0</v>
      </c>
      <c r="AP1087" s="55">
        <f>H1087*(1-1)</f>
        <v>0</v>
      </c>
      <c r="AQ1087" s="66" t="s">
        <v>125</v>
      </c>
      <c r="AV1087" s="55">
        <f>AW1087+AX1087</f>
        <v>0</v>
      </c>
      <c r="AW1087" s="55">
        <f>G1087*AO1087</f>
        <v>0</v>
      </c>
      <c r="AX1087" s="55">
        <f>G1087*AP1087</f>
        <v>0</v>
      </c>
      <c r="AY1087" s="58" t="s">
        <v>2029</v>
      </c>
      <c r="AZ1087" s="58" t="s">
        <v>1669</v>
      </c>
      <c r="BA1087" s="34" t="s">
        <v>128</v>
      </c>
      <c r="BC1087" s="55">
        <f>AW1087+AX1087</f>
        <v>0</v>
      </c>
      <c r="BD1087" s="55">
        <f>H1087/(100-BE1087)*100</f>
        <v>0</v>
      </c>
      <c r="BE1087" s="55">
        <v>0</v>
      </c>
      <c r="BF1087" s="55">
        <f>K1087</f>
        <v>0.0735</v>
      </c>
      <c r="BH1087" s="63">
        <f>G1087*AO1087</f>
        <v>0</v>
      </c>
      <c r="BI1087" s="63">
        <f>G1087*AP1087</f>
        <v>0</v>
      </c>
      <c r="BJ1087" s="63">
        <f>G1087*H1087</f>
        <v>0</v>
      </c>
      <c r="BK1087" s="63"/>
      <c r="BL1087" s="55">
        <v>767</v>
      </c>
      <c r="BW1087" s="55">
        <v>21</v>
      </c>
    </row>
    <row r="1088" spans="1:12" ht="14.4">
      <c r="A1088" s="59"/>
      <c r="D1088" s="60" t="s">
        <v>2086</v>
      </c>
      <c r="E1088" s="60" t="s">
        <v>4</v>
      </c>
      <c r="G1088" s="68">
        <v>73.5</v>
      </c>
      <c r="L1088" s="69"/>
    </row>
    <row r="1089" spans="1:75" ht="13.5" customHeight="1">
      <c r="A1089" s="1" t="s">
        <v>2087</v>
      </c>
      <c r="B1089" s="2" t="s">
        <v>116</v>
      </c>
      <c r="C1089" s="2" t="s">
        <v>2088</v>
      </c>
      <c r="D1089" s="147" t="s">
        <v>2089</v>
      </c>
      <c r="E1089" s="148"/>
      <c r="F1089" s="2" t="s">
        <v>174</v>
      </c>
      <c r="G1089" s="55">
        <f>'Stavební rozpočet-vyplnit'!G1089</f>
        <v>261.14</v>
      </c>
      <c r="H1089" s="55">
        <f>'Stavební rozpočet-vyplnit'!H1089</f>
        <v>0</v>
      </c>
      <c r="I1089" s="55">
        <f>G1089*H1089</f>
        <v>0</v>
      </c>
      <c r="J1089" s="55">
        <f>'Stavební rozpočet-vyplnit'!J1089</f>
        <v>0</v>
      </c>
      <c r="K1089" s="55">
        <f>G1089*J1089</f>
        <v>0</v>
      </c>
      <c r="L1089" s="57" t="s">
        <v>124</v>
      </c>
      <c r="Z1089" s="55">
        <f>IF(AQ1089="5",BJ1089,0)</f>
        <v>0</v>
      </c>
      <c r="AB1089" s="55">
        <f>IF(AQ1089="1",BH1089,0)</f>
        <v>0</v>
      </c>
      <c r="AC1089" s="55">
        <f>IF(AQ1089="1",BI1089,0)</f>
        <v>0</v>
      </c>
      <c r="AD1089" s="55">
        <f>IF(AQ1089="7",BH1089,0)</f>
        <v>0</v>
      </c>
      <c r="AE1089" s="55">
        <f>IF(AQ1089="7",BI1089,0)</f>
        <v>0</v>
      </c>
      <c r="AF1089" s="55">
        <f>IF(AQ1089="2",BH1089,0)</f>
        <v>0</v>
      </c>
      <c r="AG1089" s="55">
        <f>IF(AQ1089="2",BI1089,0)</f>
        <v>0</v>
      </c>
      <c r="AH1089" s="55">
        <f>IF(AQ1089="0",BJ1089,0)</f>
        <v>0</v>
      </c>
      <c r="AI1089" s="34" t="s">
        <v>116</v>
      </c>
      <c r="AJ1089" s="55">
        <f>IF(AN1089=0,I1089,0)</f>
        <v>0</v>
      </c>
      <c r="AK1089" s="55">
        <f>IF(AN1089=12,I1089,0)</f>
        <v>0</v>
      </c>
      <c r="AL1089" s="55">
        <f>IF(AN1089=21,I1089,0)</f>
        <v>0</v>
      </c>
      <c r="AN1089" s="55">
        <v>21</v>
      </c>
      <c r="AO1089" s="55">
        <f>H1089*0</f>
        <v>0</v>
      </c>
      <c r="AP1089" s="55">
        <f>H1089*(1-0)</f>
        <v>0</v>
      </c>
      <c r="AQ1089" s="58" t="s">
        <v>125</v>
      </c>
      <c r="AV1089" s="55">
        <f>AW1089+AX1089</f>
        <v>0</v>
      </c>
      <c r="AW1089" s="55">
        <f>G1089*AO1089</f>
        <v>0</v>
      </c>
      <c r="AX1089" s="55">
        <f>G1089*AP1089</f>
        <v>0</v>
      </c>
      <c r="AY1089" s="58" t="s">
        <v>2029</v>
      </c>
      <c r="AZ1089" s="58" t="s">
        <v>1669</v>
      </c>
      <c r="BA1089" s="34" t="s">
        <v>128</v>
      </c>
      <c r="BB1089" s="67">
        <v>100006</v>
      </c>
      <c r="BC1089" s="55">
        <f>AW1089+AX1089</f>
        <v>0</v>
      </c>
      <c r="BD1089" s="55">
        <f>H1089/(100-BE1089)*100</f>
        <v>0</v>
      </c>
      <c r="BE1089" s="55">
        <v>0</v>
      </c>
      <c r="BF1089" s="55">
        <f>K1089</f>
        <v>0</v>
      </c>
      <c r="BH1089" s="55">
        <f>G1089*AO1089</f>
        <v>0</v>
      </c>
      <c r="BI1089" s="55">
        <f>G1089*AP1089</f>
        <v>0</v>
      </c>
      <c r="BJ1089" s="55">
        <f>G1089*H1089</f>
        <v>0</v>
      </c>
      <c r="BK1089" s="55"/>
      <c r="BL1089" s="55">
        <v>767</v>
      </c>
      <c r="BW1089" s="55">
        <v>21</v>
      </c>
    </row>
    <row r="1090" spans="1:12" ht="14.4">
      <c r="A1090" s="59"/>
      <c r="D1090" s="60" t="s">
        <v>2090</v>
      </c>
      <c r="E1090" s="60" t="s">
        <v>2091</v>
      </c>
      <c r="G1090" s="68">
        <v>84.65</v>
      </c>
      <c r="L1090" s="69"/>
    </row>
    <row r="1091" spans="1:12" ht="14.4">
      <c r="A1091" s="59"/>
      <c r="D1091" s="60" t="s">
        <v>2092</v>
      </c>
      <c r="E1091" s="60" t="s">
        <v>2093</v>
      </c>
      <c r="G1091" s="68">
        <v>157.93</v>
      </c>
      <c r="L1091" s="69"/>
    </row>
    <row r="1092" spans="1:12" ht="14.4">
      <c r="A1092" s="59"/>
      <c r="D1092" s="60" t="s">
        <v>2094</v>
      </c>
      <c r="E1092" s="60" t="s">
        <v>2095</v>
      </c>
      <c r="G1092" s="68">
        <v>18.56</v>
      </c>
      <c r="L1092" s="69"/>
    </row>
    <row r="1093" spans="1:75" ht="13.5" customHeight="1">
      <c r="A1093" s="1" t="s">
        <v>2096</v>
      </c>
      <c r="B1093" s="2" t="s">
        <v>116</v>
      </c>
      <c r="C1093" s="2" t="s">
        <v>2097</v>
      </c>
      <c r="D1093" s="147" t="s">
        <v>2098</v>
      </c>
      <c r="E1093" s="148"/>
      <c r="F1093" s="2" t="s">
        <v>1731</v>
      </c>
      <c r="G1093" s="55">
        <f>'Stavební rozpočet-vyplnit'!G1093</f>
        <v>45.77</v>
      </c>
      <c r="H1093" s="55">
        <f>'Stavební rozpočet-vyplnit'!H1093</f>
        <v>0</v>
      </c>
      <c r="I1093" s="55">
        <f>G1093*H1093</f>
        <v>0</v>
      </c>
      <c r="J1093" s="55">
        <f>'Stavební rozpočet-vyplnit'!J1093</f>
        <v>0.001</v>
      </c>
      <c r="K1093" s="55">
        <f>G1093*J1093</f>
        <v>0.045770000000000005</v>
      </c>
      <c r="L1093" s="57" t="s">
        <v>785</v>
      </c>
      <c r="Z1093" s="55">
        <f>IF(AQ1093="5",BJ1093,0)</f>
        <v>0</v>
      </c>
      <c r="AB1093" s="55">
        <f>IF(AQ1093="1",BH1093,0)</f>
        <v>0</v>
      </c>
      <c r="AC1093" s="55">
        <f>IF(AQ1093="1",BI1093,0)</f>
        <v>0</v>
      </c>
      <c r="AD1093" s="55">
        <f>IF(AQ1093="7",BH1093,0)</f>
        <v>0</v>
      </c>
      <c r="AE1093" s="55">
        <f>IF(AQ1093="7",BI1093,0)</f>
        <v>0</v>
      </c>
      <c r="AF1093" s="55">
        <f>IF(AQ1093="2",BH1093,0)</f>
        <v>0</v>
      </c>
      <c r="AG1093" s="55">
        <f>IF(AQ1093="2",BI1093,0)</f>
        <v>0</v>
      </c>
      <c r="AH1093" s="55">
        <f>IF(AQ1093="0",BJ1093,0)</f>
        <v>0</v>
      </c>
      <c r="AI1093" s="34" t="s">
        <v>116</v>
      </c>
      <c r="AJ1093" s="55">
        <f>IF(AN1093=0,I1093,0)</f>
        <v>0</v>
      </c>
      <c r="AK1093" s="55">
        <f>IF(AN1093=12,I1093,0)</f>
        <v>0</v>
      </c>
      <c r="AL1093" s="55">
        <f>IF(AN1093=21,I1093,0)</f>
        <v>0</v>
      </c>
      <c r="AN1093" s="55">
        <v>21</v>
      </c>
      <c r="AO1093" s="55">
        <f>H1093*0.164793094</f>
        <v>0</v>
      </c>
      <c r="AP1093" s="55">
        <f>H1093*(1-0.164793094)</f>
        <v>0</v>
      </c>
      <c r="AQ1093" s="58" t="s">
        <v>125</v>
      </c>
      <c r="AV1093" s="55">
        <f>AW1093+AX1093</f>
        <v>0</v>
      </c>
      <c r="AW1093" s="55">
        <f>G1093*AO1093</f>
        <v>0</v>
      </c>
      <c r="AX1093" s="55">
        <f>G1093*AP1093</f>
        <v>0</v>
      </c>
      <c r="AY1093" s="58" t="s">
        <v>2029</v>
      </c>
      <c r="AZ1093" s="58" t="s">
        <v>1669</v>
      </c>
      <c r="BA1093" s="34" t="s">
        <v>128</v>
      </c>
      <c r="BC1093" s="55">
        <f>AW1093+AX1093</f>
        <v>0</v>
      </c>
      <c r="BD1093" s="55">
        <f>H1093/(100-BE1093)*100</f>
        <v>0</v>
      </c>
      <c r="BE1093" s="55">
        <v>0</v>
      </c>
      <c r="BF1093" s="55">
        <f>K1093</f>
        <v>0.045770000000000005</v>
      </c>
      <c r="BH1093" s="55">
        <f>G1093*AO1093</f>
        <v>0</v>
      </c>
      <c r="BI1093" s="55">
        <f>G1093*AP1093</f>
        <v>0</v>
      </c>
      <c r="BJ1093" s="55">
        <f>G1093*H1093</f>
        <v>0</v>
      </c>
      <c r="BK1093" s="55"/>
      <c r="BL1093" s="55">
        <v>767</v>
      </c>
      <c r="BW1093" s="55">
        <v>21</v>
      </c>
    </row>
    <row r="1094" spans="1:12" ht="13.5" customHeight="1">
      <c r="A1094" s="59"/>
      <c r="D1094" s="218" t="s">
        <v>2099</v>
      </c>
      <c r="E1094" s="219"/>
      <c r="F1094" s="219"/>
      <c r="G1094" s="219"/>
      <c r="H1094" s="219"/>
      <c r="I1094" s="219"/>
      <c r="J1094" s="219"/>
      <c r="K1094" s="219"/>
      <c r="L1094" s="221"/>
    </row>
    <row r="1095" spans="1:12" ht="14.4">
      <c r="A1095" s="59"/>
      <c r="D1095" s="60" t="s">
        <v>2100</v>
      </c>
      <c r="E1095" s="60" t="s">
        <v>2101</v>
      </c>
      <c r="G1095" s="68">
        <v>17.5</v>
      </c>
      <c r="L1095" s="69"/>
    </row>
    <row r="1096" spans="1:12" ht="14.4">
      <c r="A1096" s="59"/>
      <c r="D1096" s="60" t="s">
        <v>2102</v>
      </c>
      <c r="E1096" s="60" t="s">
        <v>2103</v>
      </c>
      <c r="G1096" s="68">
        <v>10.5</v>
      </c>
      <c r="L1096" s="69"/>
    </row>
    <row r="1097" spans="1:12" ht="14.4">
      <c r="A1097" s="59"/>
      <c r="D1097" s="60" t="s">
        <v>2104</v>
      </c>
      <c r="E1097" s="60" t="s">
        <v>2105</v>
      </c>
      <c r="G1097" s="68">
        <v>14</v>
      </c>
      <c r="L1097" s="69"/>
    </row>
    <row r="1098" spans="1:12" ht="14.4">
      <c r="A1098" s="59"/>
      <c r="D1098" s="60" t="s">
        <v>2106</v>
      </c>
      <c r="E1098" s="60" t="s">
        <v>2107</v>
      </c>
      <c r="G1098" s="68">
        <v>2.03</v>
      </c>
      <c r="L1098" s="69"/>
    </row>
    <row r="1099" spans="1:12" ht="14.4">
      <c r="A1099" s="59"/>
      <c r="D1099" s="60" t="s">
        <v>2108</v>
      </c>
      <c r="E1099" s="60" t="s">
        <v>2109</v>
      </c>
      <c r="G1099" s="68">
        <v>1.74</v>
      </c>
      <c r="L1099" s="69"/>
    </row>
    <row r="1100" spans="1:75" ht="13.5" customHeight="1">
      <c r="A1100" s="1" t="s">
        <v>2110</v>
      </c>
      <c r="B1100" s="2" t="s">
        <v>116</v>
      </c>
      <c r="C1100" s="2" t="s">
        <v>2111</v>
      </c>
      <c r="D1100" s="147" t="s">
        <v>2112</v>
      </c>
      <c r="E1100" s="148"/>
      <c r="F1100" s="2" t="s">
        <v>1731</v>
      </c>
      <c r="G1100" s="55">
        <f>'Stavební rozpočet-vyplnit'!G1100</f>
        <v>68.8</v>
      </c>
      <c r="H1100" s="55">
        <f>'Stavební rozpočet-vyplnit'!H1100</f>
        <v>0</v>
      </c>
      <c r="I1100" s="55">
        <f>G1100*H1100</f>
        <v>0</v>
      </c>
      <c r="J1100" s="55">
        <f>'Stavební rozpočet-vyplnit'!J1100</f>
        <v>6E-05</v>
      </c>
      <c r="K1100" s="55">
        <f>G1100*J1100</f>
        <v>0.004128</v>
      </c>
      <c r="L1100" s="57" t="s">
        <v>124</v>
      </c>
      <c r="Z1100" s="55">
        <f>IF(AQ1100="5",BJ1100,0)</f>
        <v>0</v>
      </c>
      <c r="AB1100" s="55">
        <f>IF(AQ1100="1",BH1100,0)</f>
        <v>0</v>
      </c>
      <c r="AC1100" s="55">
        <f>IF(AQ1100="1",BI1100,0)</f>
        <v>0</v>
      </c>
      <c r="AD1100" s="55">
        <f>IF(AQ1100="7",BH1100,0)</f>
        <v>0</v>
      </c>
      <c r="AE1100" s="55">
        <f>IF(AQ1100="7",BI1100,0)</f>
        <v>0</v>
      </c>
      <c r="AF1100" s="55">
        <f>IF(AQ1100="2",BH1100,0)</f>
        <v>0</v>
      </c>
      <c r="AG1100" s="55">
        <f>IF(AQ1100="2",BI1100,0)</f>
        <v>0</v>
      </c>
      <c r="AH1100" s="55">
        <f>IF(AQ1100="0",BJ1100,0)</f>
        <v>0</v>
      </c>
      <c r="AI1100" s="34" t="s">
        <v>116</v>
      </c>
      <c r="AJ1100" s="55">
        <f>IF(AN1100=0,I1100,0)</f>
        <v>0</v>
      </c>
      <c r="AK1100" s="55">
        <f>IF(AN1100=12,I1100,0)</f>
        <v>0</v>
      </c>
      <c r="AL1100" s="55">
        <f>IF(AN1100=21,I1100,0)</f>
        <v>0</v>
      </c>
      <c r="AN1100" s="55">
        <v>21</v>
      </c>
      <c r="AO1100" s="55">
        <f>H1100*0.276428571</f>
        <v>0</v>
      </c>
      <c r="AP1100" s="55">
        <f>H1100*(1-0.276428571)</f>
        <v>0</v>
      </c>
      <c r="AQ1100" s="58" t="s">
        <v>125</v>
      </c>
      <c r="AV1100" s="55">
        <f>AW1100+AX1100</f>
        <v>0</v>
      </c>
      <c r="AW1100" s="55">
        <f>G1100*AO1100</f>
        <v>0</v>
      </c>
      <c r="AX1100" s="55">
        <f>G1100*AP1100</f>
        <v>0</v>
      </c>
      <c r="AY1100" s="58" t="s">
        <v>2029</v>
      </c>
      <c r="AZ1100" s="58" t="s">
        <v>1669</v>
      </c>
      <c r="BA1100" s="34" t="s">
        <v>128</v>
      </c>
      <c r="BB1100" s="67">
        <v>100006</v>
      </c>
      <c r="BC1100" s="55">
        <f>AW1100+AX1100</f>
        <v>0</v>
      </c>
      <c r="BD1100" s="55">
        <f>H1100/(100-BE1100)*100</f>
        <v>0</v>
      </c>
      <c r="BE1100" s="55">
        <v>0</v>
      </c>
      <c r="BF1100" s="55">
        <f>K1100</f>
        <v>0.004128</v>
      </c>
      <c r="BH1100" s="55">
        <f>G1100*AO1100</f>
        <v>0</v>
      </c>
      <c r="BI1100" s="55">
        <f>G1100*AP1100</f>
        <v>0</v>
      </c>
      <c r="BJ1100" s="55">
        <f>G1100*H1100</f>
        <v>0</v>
      </c>
      <c r="BK1100" s="55"/>
      <c r="BL1100" s="55">
        <v>767</v>
      </c>
      <c r="BW1100" s="55">
        <v>21</v>
      </c>
    </row>
    <row r="1101" spans="1:12" ht="13.5" customHeight="1">
      <c r="A1101" s="59"/>
      <c r="D1101" s="218" t="s">
        <v>2113</v>
      </c>
      <c r="E1101" s="219"/>
      <c r="F1101" s="219"/>
      <c r="G1101" s="219"/>
      <c r="H1101" s="219"/>
      <c r="I1101" s="219"/>
      <c r="J1101" s="219"/>
      <c r="K1101" s="219"/>
      <c r="L1101" s="221"/>
    </row>
    <row r="1102" spans="1:12" ht="14.4">
      <c r="A1102" s="59"/>
      <c r="D1102" s="60" t="s">
        <v>2114</v>
      </c>
      <c r="E1102" s="60" t="s">
        <v>2115</v>
      </c>
      <c r="G1102" s="68">
        <v>68.8</v>
      </c>
      <c r="L1102" s="69"/>
    </row>
    <row r="1103" spans="1:75" ht="13.5" customHeight="1">
      <c r="A1103" s="1" t="s">
        <v>2116</v>
      </c>
      <c r="B1103" s="2" t="s">
        <v>116</v>
      </c>
      <c r="C1103" s="2" t="s">
        <v>2117</v>
      </c>
      <c r="D1103" s="147" t="s">
        <v>2118</v>
      </c>
      <c r="E1103" s="148"/>
      <c r="F1103" s="2" t="s">
        <v>1731</v>
      </c>
      <c r="G1103" s="55">
        <f>'Stavební rozpočet-vyplnit'!G1103</f>
        <v>49.7</v>
      </c>
      <c r="H1103" s="55">
        <f>'Stavební rozpočet-vyplnit'!H1103</f>
        <v>0</v>
      </c>
      <c r="I1103" s="55">
        <f>G1103*H1103</f>
        <v>0</v>
      </c>
      <c r="J1103" s="55">
        <f>'Stavební rozpočet-vyplnit'!J1103</f>
        <v>5E-05</v>
      </c>
      <c r="K1103" s="55">
        <f>G1103*J1103</f>
        <v>0.0024850000000000002</v>
      </c>
      <c r="L1103" s="57" t="s">
        <v>785</v>
      </c>
      <c r="Z1103" s="55">
        <f>IF(AQ1103="5",BJ1103,0)</f>
        <v>0</v>
      </c>
      <c r="AB1103" s="55">
        <f>IF(AQ1103="1",BH1103,0)</f>
        <v>0</v>
      </c>
      <c r="AC1103" s="55">
        <f>IF(AQ1103="1",BI1103,0)</f>
        <v>0</v>
      </c>
      <c r="AD1103" s="55">
        <f>IF(AQ1103="7",BH1103,0)</f>
        <v>0</v>
      </c>
      <c r="AE1103" s="55">
        <f>IF(AQ1103="7",BI1103,0)</f>
        <v>0</v>
      </c>
      <c r="AF1103" s="55">
        <f>IF(AQ1103="2",BH1103,0)</f>
        <v>0</v>
      </c>
      <c r="AG1103" s="55">
        <f>IF(AQ1103="2",BI1103,0)</f>
        <v>0</v>
      </c>
      <c r="AH1103" s="55">
        <f>IF(AQ1103="0",BJ1103,0)</f>
        <v>0</v>
      </c>
      <c r="AI1103" s="34" t="s">
        <v>116</v>
      </c>
      <c r="AJ1103" s="55">
        <f>IF(AN1103=0,I1103,0)</f>
        <v>0</v>
      </c>
      <c r="AK1103" s="55">
        <f>IF(AN1103=12,I1103,0)</f>
        <v>0</v>
      </c>
      <c r="AL1103" s="55">
        <f>IF(AN1103=21,I1103,0)</f>
        <v>0</v>
      </c>
      <c r="AN1103" s="55">
        <v>21</v>
      </c>
      <c r="AO1103" s="55">
        <f>H1103*0.454637855</f>
        <v>0</v>
      </c>
      <c r="AP1103" s="55">
        <f>H1103*(1-0.454637855)</f>
        <v>0</v>
      </c>
      <c r="AQ1103" s="58" t="s">
        <v>125</v>
      </c>
      <c r="AV1103" s="55">
        <f>AW1103+AX1103</f>
        <v>0</v>
      </c>
      <c r="AW1103" s="55">
        <f>G1103*AO1103</f>
        <v>0</v>
      </c>
      <c r="AX1103" s="55">
        <f>G1103*AP1103</f>
        <v>0</v>
      </c>
      <c r="AY1103" s="58" t="s">
        <v>2029</v>
      </c>
      <c r="AZ1103" s="58" t="s">
        <v>1669</v>
      </c>
      <c r="BA1103" s="34" t="s">
        <v>128</v>
      </c>
      <c r="BB1103" s="67">
        <v>100006</v>
      </c>
      <c r="BC1103" s="55">
        <f>AW1103+AX1103</f>
        <v>0</v>
      </c>
      <c r="BD1103" s="55">
        <f>H1103/(100-BE1103)*100</f>
        <v>0</v>
      </c>
      <c r="BE1103" s="55">
        <v>0</v>
      </c>
      <c r="BF1103" s="55">
        <f>K1103</f>
        <v>0.0024850000000000002</v>
      </c>
      <c r="BH1103" s="55">
        <f>G1103*AO1103</f>
        <v>0</v>
      </c>
      <c r="BI1103" s="55">
        <f>G1103*AP1103</f>
        <v>0</v>
      </c>
      <c r="BJ1103" s="55">
        <f>G1103*H1103</f>
        <v>0</v>
      </c>
      <c r="BK1103" s="55"/>
      <c r="BL1103" s="55">
        <v>767</v>
      </c>
      <c r="BW1103" s="55">
        <v>21</v>
      </c>
    </row>
    <row r="1104" spans="1:12" ht="13.5" customHeight="1">
      <c r="A1104" s="59"/>
      <c r="D1104" s="218" t="s">
        <v>2099</v>
      </c>
      <c r="E1104" s="219"/>
      <c r="F1104" s="219"/>
      <c r="G1104" s="219"/>
      <c r="H1104" s="219"/>
      <c r="I1104" s="219"/>
      <c r="J1104" s="219"/>
      <c r="K1104" s="219"/>
      <c r="L1104" s="221"/>
    </row>
    <row r="1105" spans="1:12" ht="14.4">
      <c r="A1105" s="59"/>
      <c r="D1105" s="60" t="s">
        <v>2119</v>
      </c>
      <c r="E1105" s="60" t="s">
        <v>2120</v>
      </c>
      <c r="G1105" s="68">
        <v>28.6</v>
      </c>
      <c r="L1105" s="69"/>
    </row>
    <row r="1106" spans="1:12" ht="14.4">
      <c r="A1106" s="59"/>
      <c r="D1106" s="60" t="s">
        <v>2121</v>
      </c>
      <c r="E1106" s="60" t="s">
        <v>2122</v>
      </c>
      <c r="G1106" s="68">
        <v>21.1</v>
      </c>
      <c r="L1106" s="69"/>
    </row>
    <row r="1107" spans="1:75" ht="13.5" customHeight="1">
      <c r="A1107" s="1" t="s">
        <v>2123</v>
      </c>
      <c r="B1107" s="2" t="s">
        <v>116</v>
      </c>
      <c r="C1107" s="2" t="s">
        <v>2124</v>
      </c>
      <c r="D1107" s="147" t="s">
        <v>2125</v>
      </c>
      <c r="E1107" s="148"/>
      <c r="F1107" s="2" t="s">
        <v>1731</v>
      </c>
      <c r="G1107" s="55">
        <f>'Stavební rozpočet-vyplnit'!G1107</f>
        <v>60</v>
      </c>
      <c r="H1107" s="55">
        <f>'Stavební rozpočet-vyplnit'!H1107</f>
        <v>0</v>
      </c>
      <c r="I1107" s="55">
        <f>G1107*H1107</f>
        <v>0</v>
      </c>
      <c r="J1107" s="55">
        <f>'Stavební rozpočet-vyplnit'!J1107</f>
        <v>6E-05</v>
      </c>
      <c r="K1107" s="55">
        <f>G1107*J1107</f>
        <v>0.0036</v>
      </c>
      <c r="L1107" s="57" t="s">
        <v>785</v>
      </c>
      <c r="Z1107" s="55">
        <f>IF(AQ1107="5",BJ1107,0)</f>
        <v>0</v>
      </c>
      <c r="AB1107" s="55">
        <f>IF(AQ1107="1",BH1107,0)</f>
        <v>0</v>
      </c>
      <c r="AC1107" s="55">
        <f>IF(AQ1107="1",BI1107,0)</f>
        <v>0</v>
      </c>
      <c r="AD1107" s="55">
        <f>IF(AQ1107="7",BH1107,0)</f>
        <v>0</v>
      </c>
      <c r="AE1107" s="55">
        <f>IF(AQ1107="7",BI1107,0)</f>
        <v>0</v>
      </c>
      <c r="AF1107" s="55">
        <f>IF(AQ1107="2",BH1107,0)</f>
        <v>0</v>
      </c>
      <c r="AG1107" s="55">
        <f>IF(AQ1107="2",BI1107,0)</f>
        <v>0</v>
      </c>
      <c r="AH1107" s="55">
        <f>IF(AQ1107="0",BJ1107,0)</f>
        <v>0</v>
      </c>
      <c r="AI1107" s="34" t="s">
        <v>116</v>
      </c>
      <c r="AJ1107" s="55">
        <f>IF(AN1107=0,I1107,0)</f>
        <v>0</v>
      </c>
      <c r="AK1107" s="55">
        <f>IF(AN1107=12,I1107,0)</f>
        <v>0</v>
      </c>
      <c r="AL1107" s="55">
        <f>IF(AN1107=21,I1107,0)</f>
        <v>0</v>
      </c>
      <c r="AN1107" s="55">
        <v>21</v>
      </c>
      <c r="AO1107" s="55">
        <f>H1107*0.114427487</f>
        <v>0</v>
      </c>
      <c r="AP1107" s="55">
        <f>H1107*(1-0.114427487)</f>
        <v>0</v>
      </c>
      <c r="AQ1107" s="58" t="s">
        <v>125</v>
      </c>
      <c r="AV1107" s="55">
        <f>AW1107+AX1107</f>
        <v>0</v>
      </c>
      <c r="AW1107" s="55">
        <f>G1107*AO1107</f>
        <v>0</v>
      </c>
      <c r="AX1107" s="55">
        <f>G1107*AP1107</f>
        <v>0</v>
      </c>
      <c r="AY1107" s="58" t="s">
        <v>2029</v>
      </c>
      <c r="AZ1107" s="58" t="s">
        <v>1669</v>
      </c>
      <c r="BA1107" s="34" t="s">
        <v>128</v>
      </c>
      <c r="BB1107" s="67">
        <v>100006</v>
      </c>
      <c r="BC1107" s="55">
        <f>AW1107+AX1107</f>
        <v>0</v>
      </c>
      <c r="BD1107" s="55">
        <f>H1107/(100-BE1107)*100</f>
        <v>0</v>
      </c>
      <c r="BE1107" s="55">
        <v>0</v>
      </c>
      <c r="BF1107" s="55">
        <f>K1107</f>
        <v>0.0036</v>
      </c>
      <c r="BH1107" s="55">
        <f>G1107*AO1107</f>
        <v>0</v>
      </c>
      <c r="BI1107" s="55">
        <f>G1107*AP1107</f>
        <v>0</v>
      </c>
      <c r="BJ1107" s="55">
        <f>G1107*H1107</f>
        <v>0</v>
      </c>
      <c r="BK1107" s="55"/>
      <c r="BL1107" s="55">
        <v>767</v>
      </c>
      <c r="BW1107" s="55">
        <v>21</v>
      </c>
    </row>
    <row r="1108" spans="1:12" ht="13.5" customHeight="1">
      <c r="A1108" s="59"/>
      <c r="D1108" s="218" t="s">
        <v>2126</v>
      </c>
      <c r="E1108" s="219"/>
      <c r="F1108" s="219"/>
      <c r="G1108" s="219"/>
      <c r="H1108" s="219"/>
      <c r="I1108" s="219"/>
      <c r="J1108" s="219"/>
      <c r="K1108" s="219"/>
      <c r="L1108" s="221"/>
    </row>
    <row r="1109" spans="1:12" ht="14.4">
      <c r="A1109" s="59"/>
      <c r="D1109" s="60" t="s">
        <v>310</v>
      </c>
      <c r="E1109" s="60" t="s">
        <v>1709</v>
      </c>
      <c r="G1109" s="68">
        <v>60</v>
      </c>
      <c r="L1109" s="69"/>
    </row>
    <row r="1110" spans="1:75" ht="13.5" customHeight="1">
      <c r="A1110" s="1" t="s">
        <v>2127</v>
      </c>
      <c r="B1110" s="2" t="s">
        <v>116</v>
      </c>
      <c r="C1110" s="2" t="s">
        <v>2128</v>
      </c>
      <c r="D1110" s="147" t="s">
        <v>2129</v>
      </c>
      <c r="E1110" s="148"/>
      <c r="F1110" s="2" t="s">
        <v>939</v>
      </c>
      <c r="G1110" s="55">
        <f>'Stavební rozpočet-vyplnit'!G1110</f>
        <v>23.72</v>
      </c>
      <c r="H1110" s="55">
        <f>'Stavební rozpočet-vyplnit'!H1110</f>
        <v>0</v>
      </c>
      <c r="I1110" s="55">
        <f>G1110*H1110</f>
        <v>0</v>
      </c>
      <c r="J1110" s="55">
        <f>'Stavební rozpočet-vyplnit'!J1110</f>
        <v>0</v>
      </c>
      <c r="K1110" s="55">
        <f>G1110*J1110</f>
        <v>0</v>
      </c>
      <c r="L1110" s="57" t="s">
        <v>785</v>
      </c>
      <c r="Z1110" s="55">
        <f>IF(AQ1110="5",BJ1110,0)</f>
        <v>0</v>
      </c>
      <c r="AB1110" s="55">
        <f>IF(AQ1110="1",BH1110,0)</f>
        <v>0</v>
      </c>
      <c r="AC1110" s="55">
        <f>IF(AQ1110="1",BI1110,0)</f>
        <v>0</v>
      </c>
      <c r="AD1110" s="55">
        <f>IF(AQ1110="7",BH1110,0)</f>
        <v>0</v>
      </c>
      <c r="AE1110" s="55">
        <f>IF(AQ1110="7",BI1110,0)</f>
        <v>0</v>
      </c>
      <c r="AF1110" s="55">
        <f>IF(AQ1110="2",BH1110,0)</f>
        <v>0</v>
      </c>
      <c r="AG1110" s="55">
        <f>IF(AQ1110="2",BI1110,0)</f>
        <v>0</v>
      </c>
      <c r="AH1110" s="55">
        <f>IF(AQ1110="0",BJ1110,0)</f>
        <v>0</v>
      </c>
      <c r="AI1110" s="34" t="s">
        <v>116</v>
      </c>
      <c r="AJ1110" s="55">
        <f>IF(AN1110=0,I1110,0)</f>
        <v>0</v>
      </c>
      <c r="AK1110" s="55">
        <f>IF(AN1110=12,I1110,0)</f>
        <v>0</v>
      </c>
      <c r="AL1110" s="55">
        <f>IF(AN1110=21,I1110,0)</f>
        <v>0</v>
      </c>
      <c r="AN1110" s="55">
        <v>21</v>
      </c>
      <c r="AO1110" s="55">
        <f>H1110*0</f>
        <v>0</v>
      </c>
      <c r="AP1110" s="55">
        <f>H1110*(1-0)</f>
        <v>0</v>
      </c>
      <c r="AQ1110" s="58" t="s">
        <v>139</v>
      </c>
      <c r="AV1110" s="55">
        <f>AW1110+AX1110</f>
        <v>0</v>
      </c>
      <c r="AW1110" s="55">
        <f>G1110*AO1110</f>
        <v>0</v>
      </c>
      <c r="AX1110" s="55">
        <f>G1110*AP1110</f>
        <v>0</v>
      </c>
      <c r="AY1110" s="58" t="s">
        <v>2029</v>
      </c>
      <c r="AZ1110" s="58" t="s">
        <v>1669</v>
      </c>
      <c r="BA1110" s="34" t="s">
        <v>128</v>
      </c>
      <c r="BC1110" s="55">
        <f>AW1110+AX1110</f>
        <v>0</v>
      </c>
      <c r="BD1110" s="55">
        <f>H1110/(100-BE1110)*100</f>
        <v>0</v>
      </c>
      <c r="BE1110" s="55">
        <v>0</v>
      </c>
      <c r="BF1110" s="55">
        <f>K1110</f>
        <v>0</v>
      </c>
      <c r="BH1110" s="55">
        <f>G1110*AO1110</f>
        <v>0</v>
      </c>
      <c r="BI1110" s="55">
        <f>G1110*AP1110</f>
        <v>0</v>
      </c>
      <c r="BJ1110" s="55">
        <f>G1110*H1110</f>
        <v>0</v>
      </c>
      <c r="BK1110" s="55"/>
      <c r="BL1110" s="55">
        <v>767</v>
      </c>
      <c r="BW1110" s="55">
        <v>21</v>
      </c>
    </row>
    <row r="1111" spans="1:12" ht="14.4">
      <c r="A1111" s="59"/>
      <c r="D1111" s="60" t="s">
        <v>2130</v>
      </c>
      <c r="E1111" s="60" t="s">
        <v>4</v>
      </c>
      <c r="G1111" s="68">
        <v>23.72</v>
      </c>
      <c r="L1111" s="69"/>
    </row>
    <row r="1112" spans="1:47" ht="14.4">
      <c r="A1112" s="50" t="s">
        <v>4</v>
      </c>
      <c r="B1112" s="51" t="s">
        <v>116</v>
      </c>
      <c r="C1112" s="51" t="s">
        <v>2131</v>
      </c>
      <c r="D1112" s="222" t="s">
        <v>2132</v>
      </c>
      <c r="E1112" s="223"/>
      <c r="F1112" s="52" t="s">
        <v>79</v>
      </c>
      <c r="G1112" s="52" t="s">
        <v>79</v>
      </c>
      <c r="H1112" s="52" t="s">
        <v>79</v>
      </c>
      <c r="I1112" s="27">
        <f>SUM(I1113:I1130)</f>
        <v>0</v>
      </c>
      <c r="J1112" s="34" t="s">
        <v>4</v>
      </c>
      <c r="K1112" s="27">
        <f>SUM(K1113:K1130)</f>
        <v>0.8472469999999999</v>
      </c>
      <c r="L1112" s="54" t="s">
        <v>4</v>
      </c>
      <c r="AI1112" s="34" t="s">
        <v>116</v>
      </c>
      <c r="AS1112" s="27">
        <f>SUM(AJ1113:AJ1130)</f>
        <v>0</v>
      </c>
      <c r="AT1112" s="27">
        <f>SUM(AK1113:AK1130)</f>
        <v>0</v>
      </c>
      <c r="AU1112" s="27">
        <f>SUM(AL1113:AL1130)</f>
        <v>0</v>
      </c>
    </row>
    <row r="1113" spans="1:75" ht="13.5" customHeight="1">
      <c r="A1113" s="1" t="s">
        <v>2133</v>
      </c>
      <c r="B1113" s="2" t="s">
        <v>116</v>
      </c>
      <c r="C1113" s="2" t="s">
        <v>2134</v>
      </c>
      <c r="D1113" s="147" t="s">
        <v>2135</v>
      </c>
      <c r="E1113" s="148"/>
      <c r="F1113" s="2" t="s">
        <v>174</v>
      </c>
      <c r="G1113" s="55">
        <f>'Stavební rozpočet-vyplnit'!G1113</f>
        <v>85.9</v>
      </c>
      <c r="H1113" s="55">
        <f>'Stavební rozpočet-vyplnit'!H1113</f>
        <v>0</v>
      </c>
      <c r="I1113" s="55">
        <f>G1113*H1113</f>
        <v>0</v>
      </c>
      <c r="J1113" s="55">
        <f>'Stavební rozpočet-vyplnit'!J1113</f>
        <v>4E-05</v>
      </c>
      <c r="K1113" s="55">
        <f>G1113*J1113</f>
        <v>0.0034360000000000007</v>
      </c>
      <c r="L1113" s="57" t="s">
        <v>785</v>
      </c>
      <c r="Z1113" s="55">
        <f>IF(AQ1113="5",BJ1113,0)</f>
        <v>0</v>
      </c>
      <c r="AB1113" s="55">
        <f>IF(AQ1113="1",BH1113,0)</f>
        <v>0</v>
      </c>
      <c r="AC1113" s="55">
        <f>IF(AQ1113="1",BI1113,0)</f>
        <v>0</v>
      </c>
      <c r="AD1113" s="55">
        <f>IF(AQ1113="7",BH1113,0)</f>
        <v>0</v>
      </c>
      <c r="AE1113" s="55">
        <f>IF(AQ1113="7",BI1113,0)</f>
        <v>0</v>
      </c>
      <c r="AF1113" s="55">
        <f>IF(AQ1113="2",BH1113,0)</f>
        <v>0</v>
      </c>
      <c r="AG1113" s="55">
        <f>IF(AQ1113="2",BI1113,0)</f>
        <v>0</v>
      </c>
      <c r="AH1113" s="55">
        <f>IF(AQ1113="0",BJ1113,0)</f>
        <v>0</v>
      </c>
      <c r="AI1113" s="34" t="s">
        <v>116</v>
      </c>
      <c r="AJ1113" s="55">
        <f>IF(AN1113=0,I1113,0)</f>
        <v>0</v>
      </c>
      <c r="AK1113" s="55">
        <f>IF(AN1113=12,I1113,0)</f>
        <v>0</v>
      </c>
      <c r="AL1113" s="55">
        <f>IF(AN1113=21,I1113,0)</f>
        <v>0</v>
      </c>
      <c r="AN1113" s="55">
        <v>21</v>
      </c>
      <c r="AO1113" s="55">
        <f>H1113*0.500127481</f>
        <v>0</v>
      </c>
      <c r="AP1113" s="55">
        <f>H1113*(1-0.500127481)</f>
        <v>0</v>
      </c>
      <c r="AQ1113" s="58" t="s">
        <v>125</v>
      </c>
      <c r="AV1113" s="55">
        <f>AW1113+AX1113</f>
        <v>0</v>
      </c>
      <c r="AW1113" s="55">
        <f>G1113*AO1113</f>
        <v>0</v>
      </c>
      <c r="AX1113" s="55">
        <f>G1113*AP1113</f>
        <v>0</v>
      </c>
      <c r="AY1113" s="58" t="s">
        <v>2136</v>
      </c>
      <c r="AZ1113" s="58" t="s">
        <v>2137</v>
      </c>
      <c r="BA1113" s="34" t="s">
        <v>128</v>
      </c>
      <c r="BB1113" s="67">
        <v>100008</v>
      </c>
      <c r="BC1113" s="55">
        <f>AW1113+AX1113</f>
        <v>0</v>
      </c>
      <c r="BD1113" s="55">
        <f>H1113/(100-BE1113)*100</f>
        <v>0</v>
      </c>
      <c r="BE1113" s="55">
        <v>0</v>
      </c>
      <c r="BF1113" s="55">
        <f>K1113</f>
        <v>0.0034360000000000007</v>
      </c>
      <c r="BH1113" s="55">
        <f>G1113*AO1113</f>
        <v>0</v>
      </c>
      <c r="BI1113" s="55">
        <f>G1113*AP1113</f>
        <v>0</v>
      </c>
      <c r="BJ1113" s="55">
        <f>G1113*H1113</f>
        <v>0</v>
      </c>
      <c r="BK1113" s="55"/>
      <c r="BL1113" s="55">
        <v>771</v>
      </c>
      <c r="BW1113" s="55">
        <v>21</v>
      </c>
    </row>
    <row r="1114" spans="1:12" ht="14.4">
      <c r="A1114" s="59"/>
      <c r="D1114" s="60" t="s">
        <v>2138</v>
      </c>
      <c r="E1114" s="60" t="s">
        <v>2139</v>
      </c>
      <c r="G1114" s="68">
        <v>39.5</v>
      </c>
      <c r="L1114" s="69"/>
    </row>
    <row r="1115" spans="1:12" ht="14.4">
      <c r="A1115" s="59"/>
      <c r="D1115" s="60" t="s">
        <v>2140</v>
      </c>
      <c r="E1115" s="60" t="s">
        <v>2141</v>
      </c>
      <c r="G1115" s="68">
        <v>46.4</v>
      </c>
      <c r="L1115" s="69"/>
    </row>
    <row r="1116" spans="1:75" ht="13.5" customHeight="1">
      <c r="A1116" s="1" t="s">
        <v>2142</v>
      </c>
      <c r="B1116" s="2" t="s">
        <v>116</v>
      </c>
      <c r="C1116" s="2" t="s">
        <v>2143</v>
      </c>
      <c r="D1116" s="147" t="s">
        <v>2144</v>
      </c>
      <c r="E1116" s="148"/>
      <c r="F1116" s="2" t="s">
        <v>729</v>
      </c>
      <c r="G1116" s="55">
        <f>'Stavební rozpočet-vyplnit'!G1116</f>
        <v>56.7</v>
      </c>
      <c r="H1116" s="55">
        <f>'Stavební rozpočet-vyplnit'!H1116</f>
        <v>0</v>
      </c>
      <c r="I1116" s="55">
        <f>G1116*H1116</f>
        <v>0</v>
      </c>
      <c r="J1116" s="55">
        <f>'Stavební rozpočet-vyplnit'!J1116</f>
        <v>0.00021</v>
      </c>
      <c r="K1116" s="55">
        <f>G1116*J1116</f>
        <v>0.011907000000000001</v>
      </c>
      <c r="L1116" s="57" t="s">
        <v>785</v>
      </c>
      <c r="Z1116" s="55">
        <f>IF(AQ1116="5",BJ1116,0)</f>
        <v>0</v>
      </c>
      <c r="AB1116" s="55">
        <f>IF(AQ1116="1",BH1116,0)</f>
        <v>0</v>
      </c>
      <c r="AC1116" s="55">
        <f>IF(AQ1116="1",BI1116,0)</f>
        <v>0</v>
      </c>
      <c r="AD1116" s="55">
        <f>IF(AQ1116="7",BH1116,0)</f>
        <v>0</v>
      </c>
      <c r="AE1116" s="55">
        <f>IF(AQ1116="7",BI1116,0)</f>
        <v>0</v>
      </c>
      <c r="AF1116" s="55">
        <f>IF(AQ1116="2",BH1116,0)</f>
        <v>0</v>
      </c>
      <c r="AG1116" s="55">
        <f>IF(AQ1116="2",BI1116,0)</f>
        <v>0</v>
      </c>
      <c r="AH1116" s="55">
        <f>IF(AQ1116="0",BJ1116,0)</f>
        <v>0</v>
      </c>
      <c r="AI1116" s="34" t="s">
        <v>116</v>
      </c>
      <c r="AJ1116" s="55">
        <f>IF(AN1116=0,I1116,0)</f>
        <v>0</v>
      </c>
      <c r="AK1116" s="55">
        <f>IF(AN1116=12,I1116,0)</f>
        <v>0</v>
      </c>
      <c r="AL1116" s="55">
        <f>IF(AN1116=21,I1116,0)</f>
        <v>0</v>
      </c>
      <c r="AN1116" s="55">
        <v>21</v>
      </c>
      <c r="AO1116" s="55">
        <f>H1116*0.477370178</f>
        <v>0</v>
      </c>
      <c r="AP1116" s="55">
        <f>H1116*(1-0.477370178)</f>
        <v>0</v>
      </c>
      <c r="AQ1116" s="58" t="s">
        <v>125</v>
      </c>
      <c r="AV1116" s="55">
        <f>AW1116+AX1116</f>
        <v>0</v>
      </c>
      <c r="AW1116" s="55">
        <f>G1116*AO1116</f>
        <v>0</v>
      </c>
      <c r="AX1116" s="55">
        <f>G1116*AP1116</f>
        <v>0</v>
      </c>
      <c r="AY1116" s="58" t="s">
        <v>2136</v>
      </c>
      <c r="AZ1116" s="58" t="s">
        <v>2137</v>
      </c>
      <c r="BA1116" s="34" t="s">
        <v>128</v>
      </c>
      <c r="BB1116" s="67">
        <v>100008</v>
      </c>
      <c r="BC1116" s="55">
        <f>AW1116+AX1116</f>
        <v>0</v>
      </c>
      <c r="BD1116" s="55">
        <f>H1116/(100-BE1116)*100</f>
        <v>0</v>
      </c>
      <c r="BE1116" s="55">
        <v>0</v>
      </c>
      <c r="BF1116" s="55">
        <f>K1116</f>
        <v>0.011907000000000001</v>
      </c>
      <c r="BH1116" s="55">
        <f>G1116*AO1116</f>
        <v>0</v>
      </c>
      <c r="BI1116" s="55">
        <f>G1116*AP1116</f>
        <v>0</v>
      </c>
      <c r="BJ1116" s="55">
        <f>G1116*H1116</f>
        <v>0</v>
      </c>
      <c r="BK1116" s="55"/>
      <c r="BL1116" s="55">
        <v>771</v>
      </c>
      <c r="BW1116" s="55">
        <v>21</v>
      </c>
    </row>
    <row r="1117" spans="1:12" ht="13.5" customHeight="1">
      <c r="A1117" s="59"/>
      <c r="D1117" s="218" t="s">
        <v>2145</v>
      </c>
      <c r="E1117" s="219"/>
      <c r="F1117" s="219"/>
      <c r="G1117" s="219"/>
      <c r="H1117" s="219"/>
      <c r="I1117" s="219"/>
      <c r="J1117" s="219"/>
      <c r="K1117" s="219"/>
      <c r="L1117" s="221"/>
    </row>
    <row r="1118" spans="1:12" ht="14.4">
      <c r="A1118" s="59"/>
      <c r="D1118" s="60" t="s">
        <v>999</v>
      </c>
      <c r="E1118" s="60" t="s">
        <v>2146</v>
      </c>
      <c r="G1118" s="68">
        <v>52.9</v>
      </c>
      <c r="L1118" s="69"/>
    </row>
    <row r="1119" spans="1:12" ht="14.4">
      <c r="A1119" s="59"/>
      <c r="D1119" s="60" t="s">
        <v>2147</v>
      </c>
      <c r="E1119" s="60" t="s">
        <v>2148</v>
      </c>
      <c r="G1119" s="68">
        <v>3.8</v>
      </c>
      <c r="L1119" s="69"/>
    </row>
    <row r="1120" spans="1:75" ht="13.5" customHeight="1">
      <c r="A1120" s="1" t="s">
        <v>2149</v>
      </c>
      <c r="B1120" s="2" t="s">
        <v>116</v>
      </c>
      <c r="C1120" s="2" t="s">
        <v>2150</v>
      </c>
      <c r="D1120" s="147" t="s">
        <v>2151</v>
      </c>
      <c r="E1120" s="148"/>
      <c r="F1120" s="2" t="s">
        <v>729</v>
      </c>
      <c r="G1120" s="55">
        <f>'Stavební rozpočet-vyplnit'!G1120</f>
        <v>35.5</v>
      </c>
      <c r="H1120" s="55">
        <f>'Stavební rozpočet-vyplnit'!H1120</f>
        <v>0</v>
      </c>
      <c r="I1120" s="55">
        <f>G1120*H1120</f>
        <v>0</v>
      </c>
      <c r="J1120" s="55">
        <f>'Stavební rozpočet-vyplnit'!J1120</f>
        <v>0</v>
      </c>
      <c r="K1120" s="55">
        <f>G1120*J1120</f>
        <v>0</v>
      </c>
      <c r="L1120" s="57" t="s">
        <v>785</v>
      </c>
      <c r="Z1120" s="55">
        <f>IF(AQ1120="5",BJ1120,0)</f>
        <v>0</v>
      </c>
      <c r="AB1120" s="55">
        <f>IF(AQ1120="1",BH1120,0)</f>
        <v>0</v>
      </c>
      <c r="AC1120" s="55">
        <f>IF(AQ1120="1",BI1120,0)</f>
        <v>0</v>
      </c>
      <c r="AD1120" s="55">
        <f>IF(AQ1120="7",BH1120,0)</f>
        <v>0</v>
      </c>
      <c r="AE1120" s="55">
        <f>IF(AQ1120="7",BI1120,0)</f>
        <v>0</v>
      </c>
      <c r="AF1120" s="55">
        <f>IF(AQ1120="2",BH1120,0)</f>
        <v>0</v>
      </c>
      <c r="AG1120" s="55">
        <f>IF(AQ1120="2",BI1120,0)</f>
        <v>0</v>
      </c>
      <c r="AH1120" s="55">
        <f>IF(AQ1120="0",BJ1120,0)</f>
        <v>0</v>
      </c>
      <c r="AI1120" s="34" t="s">
        <v>116</v>
      </c>
      <c r="AJ1120" s="55">
        <f>IF(AN1120=0,I1120,0)</f>
        <v>0</v>
      </c>
      <c r="AK1120" s="55">
        <f>IF(AN1120=12,I1120,0)</f>
        <v>0</v>
      </c>
      <c r="AL1120" s="55">
        <f>IF(AN1120=21,I1120,0)</f>
        <v>0</v>
      </c>
      <c r="AN1120" s="55">
        <v>21</v>
      </c>
      <c r="AO1120" s="55">
        <f>H1120*0</f>
        <v>0</v>
      </c>
      <c r="AP1120" s="55">
        <f>H1120*(1-0)</f>
        <v>0</v>
      </c>
      <c r="AQ1120" s="58" t="s">
        <v>125</v>
      </c>
      <c r="AV1120" s="55">
        <f>AW1120+AX1120</f>
        <v>0</v>
      </c>
      <c r="AW1120" s="55">
        <f>G1120*AO1120</f>
        <v>0</v>
      </c>
      <c r="AX1120" s="55">
        <f>G1120*AP1120</f>
        <v>0</v>
      </c>
      <c r="AY1120" s="58" t="s">
        <v>2136</v>
      </c>
      <c r="AZ1120" s="58" t="s">
        <v>2137</v>
      </c>
      <c r="BA1120" s="34" t="s">
        <v>128</v>
      </c>
      <c r="BB1120" s="67">
        <v>100008</v>
      </c>
      <c r="BC1120" s="55">
        <f>AW1120+AX1120</f>
        <v>0</v>
      </c>
      <c r="BD1120" s="55">
        <f>H1120/(100-BE1120)*100</f>
        <v>0</v>
      </c>
      <c r="BE1120" s="55">
        <v>0</v>
      </c>
      <c r="BF1120" s="55">
        <f>K1120</f>
        <v>0</v>
      </c>
      <c r="BH1120" s="55">
        <f>G1120*AO1120</f>
        <v>0</v>
      </c>
      <c r="BI1120" s="55">
        <f>G1120*AP1120</f>
        <v>0</v>
      </c>
      <c r="BJ1120" s="55">
        <f>G1120*H1120</f>
        <v>0</v>
      </c>
      <c r="BK1120" s="55"/>
      <c r="BL1120" s="55">
        <v>771</v>
      </c>
      <c r="BW1120" s="55">
        <v>21</v>
      </c>
    </row>
    <row r="1121" spans="1:12" ht="13.5" customHeight="1">
      <c r="A1121" s="59"/>
      <c r="D1121" s="218" t="s">
        <v>2152</v>
      </c>
      <c r="E1121" s="219"/>
      <c r="F1121" s="219"/>
      <c r="G1121" s="219"/>
      <c r="H1121" s="219"/>
      <c r="I1121" s="219"/>
      <c r="J1121" s="219"/>
      <c r="K1121" s="219"/>
      <c r="L1121" s="221"/>
    </row>
    <row r="1122" spans="1:12" ht="14.4">
      <c r="A1122" s="59"/>
      <c r="D1122" s="60" t="s">
        <v>2153</v>
      </c>
      <c r="E1122" s="60" t="s">
        <v>2146</v>
      </c>
      <c r="G1122" s="68">
        <v>35.5</v>
      </c>
      <c r="L1122" s="69"/>
    </row>
    <row r="1123" spans="1:75" ht="13.5" customHeight="1">
      <c r="A1123" s="61" t="s">
        <v>2154</v>
      </c>
      <c r="B1123" s="62" t="s">
        <v>116</v>
      </c>
      <c r="C1123" s="62" t="s">
        <v>2155</v>
      </c>
      <c r="D1123" s="224" t="s">
        <v>2156</v>
      </c>
      <c r="E1123" s="225"/>
      <c r="F1123" s="62" t="s">
        <v>729</v>
      </c>
      <c r="G1123" s="63">
        <f>'Stavební rozpočet-vyplnit'!G1123</f>
        <v>42.98</v>
      </c>
      <c r="H1123" s="63">
        <f>'Stavební rozpočet-vyplnit'!H1123</f>
        <v>0</v>
      </c>
      <c r="I1123" s="63">
        <f>G1123*H1123</f>
        <v>0</v>
      </c>
      <c r="J1123" s="63">
        <f>'Stavební rozpočet-vyplnit'!J1123</f>
        <v>0.0192</v>
      </c>
      <c r="K1123" s="63">
        <f>G1123*J1123</f>
        <v>0.8252159999999998</v>
      </c>
      <c r="L1123" s="65" t="s">
        <v>124</v>
      </c>
      <c r="Z1123" s="55">
        <f>IF(AQ1123="5",BJ1123,0)</f>
        <v>0</v>
      </c>
      <c r="AB1123" s="55">
        <f>IF(AQ1123="1",BH1123,0)</f>
        <v>0</v>
      </c>
      <c r="AC1123" s="55">
        <f>IF(AQ1123="1",BI1123,0)</f>
        <v>0</v>
      </c>
      <c r="AD1123" s="55">
        <f>IF(AQ1123="7",BH1123,0)</f>
        <v>0</v>
      </c>
      <c r="AE1123" s="55">
        <f>IF(AQ1123="7",BI1123,0)</f>
        <v>0</v>
      </c>
      <c r="AF1123" s="55">
        <f>IF(AQ1123="2",BH1123,0)</f>
        <v>0</v>
      </c>
      <c r="AG1123" s="55">
        <f>IF(AQ1123="2",BI1123,0)</f>
        <v>0</v>
      </c>
      <c r="AH1123" s="55">
        <f>IF(AQ1123="0",BJ1123,0)</f>
        <v>0</v>
      </c>
      <c r="AI1123" s="34" t="s">
        <v>116</v>
      </c>
      <c r="AJ1123" s="63">
        <f>IF(AN1123=0,I1123,0)</f>
        <v>0</v>
      </c>
      <c r="AK1123" s="63">
        <f>IF(AN1123=12,I1123,0)</f>
        <v>0</v>
      </c>
      <c r="AL1123" s="63">
        <f>IF(AN1123=21,I1123,0)</f>
        <v>0</v>
      </c>
      <c r="AN1123" s="55">
        <v>21</v>
      </c>
      <c r="AO1123" s="55">
        <f>H1123*1</f>
        <v>0</v>
      </c>
      <c r="AP1123" s="55">
        <f>H1123*(1-1)</f>
        <v>0</v>
      </c>
      <c r="AQ1123" s="66" t="s">
        <v>125</v>
      </c>
      <c r="AV1123" s="55">
        <f>AW1123+AX1123</f>
        <v>0</v>
      </c>
      <c r="AW1123" s="55">
        <f>G1123*AO1123</f>
        <v>0</v>
      </c>
      <c r="AX1123" s="55">
        <f>G1123*AP1123</f>
        <v>0</v>
      </c>
      <c r="AY1123" s="58" t="s">
        <v>2136</v>
      </c>
      <c r="AZ1123" s="58" t="s">
        <v>2137</v>
      </c>
      <c r="BA1123" s="34" t="s">
        <v>128</v>
      </c>
      <c r="BC1123" s="55">
        <f>AW1123+AX1123</f>
        <v>0</v>
      </c>
      <c r="BD1123" s="55">
        <f>H1123/(100-BE1123)*100</f>
        <v>0</v>
      </c>
      <c r="BE1123" s="55">
        <v>0</v>
      </c>
      <c r="BF1123" s="55">
        <f>K1123</f>
        <v>0.8252159999999998</v>
      </c>
      <c r="BH1123" s="63">
        <f>G1123*AO1123</f>
        <v>0</v>
      </c>
      <c r="BI1123" s="63">
        <f>G1123*AP1123</f>
        <v>0</v>
      </c>
      <c r="BJ1123" s="63">
        <f>G1123*H1123</f>
        <v>0</v>
      </c>
      <c r="BK1123" s="63"/>
      <c r="BL1123" s="55">
        <v>771</v>
      </c>
      <c r="BW1123" s="55">
        <v>21</v>
      </c>
    </row>
    <row r="1124" spans="1:12" ht="14.4">
      <c r="A1124" s="59"/>
      <c r="D1124" s="60" t="s">
        <v>2153</v>
      </c>
      <c r="E1124" s="60" t="s">
        <v>2146</v>
      </c>
      <c r="G1124" s="68">
        <v>35.5</v>
      </c>
      <c r="L1124" s="69"/>
    </row>
    <row r="1125" spans="1:12" ht="14.4">
      <c r="A1125" s="59"/>
      <c r="D1125" s="60" t="s">
        <v>2157</v>
      </c>
      <c r="E1125" s="60" t="s">
        <v>2139</v>
      </c>
      <c r="G1125" s="68">
        <v>1.87</v>
      </c>
      <c r="L1125" s="69"/>
    </row>
    <row r="1126" spans="1:12" ht="14.4">
      <c r="A1126" s="59"/>
      <c r="D1126" s="60" t="s">
        <v>2158</v>
      </c>
      <c r="E1126" s="60" t="s">
        <v>4</v>
      </c>
      <c r="G1126" s="68">
        <v>5.61</v>
      </c>
      <c r="L1126" s="69"/>
    </row>
    <row r="1127" spans="1:75" ht="13.5" customHeight="1">
      <c r="A1127" s="1" t="s">
        <v>2159</v>
      </c>
      <c r="B1127" s="2" t="s">
        <v>116</v>
      </c>
      <c r="C1127" s="2" t="s">
        <v>2160</v>
      </c>
      <c r="D1127" s="147" t="s">
        <v>2161</v>
      </c>
      <c r="E1127" s="148"/>
      <c r="F1127" s="2" t="s">
        <v>174</v>
      </c>
      <c r="G1127" s="55">
        <f>'Stavební rozpočet-vyplnit'!G1127</f>
        <v>20.9</v>
      </c>
      <c r="H1127" s="55">
        <f>'Stavební rozpočet-vyplnit'!H1127</f>
        <v>0</v>
      </c>
      <c r="I1127" s="55">
        <f>G1127*H1127</f>
        <v>0</v>
      </c>
      <c r="J1127" s="55">
        <f>'Stavební rozpočet-vyplnit'!J1127</f>
        <v>0.00032</v>
      </c>
      <c r="K1127" s="55">
        <f>G1127*J1127</f>
        <v>0.006688</v>
      </c>
      <c r="L1127" s="57" t="s">
        <v>785</v>
      </c>
      <c r="Z1127" s="55">
        <f>IF(AQ1127="5",BJ1127,0)</f>
        <v>0</v>
      </c>
      <c r="AB1127" s="55">
        <f>IF(AQ1127="1",BH1127,0)</f>
        <v>0</v>
      </c>
      <c r="AC1127" s="55">
        <f>IF(AQ1127="1",BI1127,0)</f>
        <v>0</v>
      </c>
      <c r="AD1127" s="55">
        <f>IF(AQ1127="7",BH1127,0)</f>
        <v>0</v>
      </c>
      <c r="AE1127" s="55">
        <f>IF(AQ1127="7",BI1127,0)</f>
        <v>0</v>
      </c>
      <c r="AF1127" s="55">
        <f>IF(AQ1127="2",BH1127,0)</f>
        <v>0</v>
      </c>
      <c r="AG1127" s="55">
        <f>IF(AQ1127="2",BI1127,0)</f>
        <v>0</v>
      </c>
      <c r="AH1127" s="55">
        <f>IF(AQ1127="0",BJ1127,0)</f>
        <v>0</v>
      </c>
      <c r="AI1127" s="34" t="s">
        <v>116</v>
      </c>
      <c r="AJ1127" s="55">
        <f>IF(AN1127=0,I1127,0)</f>
        <v>0</v>
      </c>
      <c r="AK1127" s="55">
        <f>IF(AN1127=12,I1127,0)</f>
        <v>0</v>
      </c>
      <c r="AL1127" s="55">
        <f>IF(AN1127=21,I1127,0)</f>
        <v>0</v>
      </c>
      <c r="AN1127" s="55">
        <v>21</v>
      </c>
      <c r="AO1127" s="55">
        <f>H1127*0.104563758</f>
        <v>0</v>
      </c>
      <c r="AP1127" s="55">
        <f>H1127*(1-0.104563758)</f>
        <v>0</v>
      </c>
      <c r="AQ1127" s="58" t="s">
        <v>125</v>
      </c>
      <c r="AV1127" s="55">
        <f>AW1127+AX1127</f>
        <v>0</v>
      </c>
      <c r="AW1127" s="55">
        <f>G1127*AO1127</f>
        <v>0</v>
      </c>
      <c r="AX1127" s="55">
        <f>G1127*AP1127</f>
        <v>0</v>
      </c>
      <c r="AY1127" s="58" t="s">
        <v>2136</v>
      </c>
      <c r="AZ1127" s="58" t="s">
        <v>2137</v>
      </c>
      <c r="BA1127" s="34" t="s">
        <v>128</v>
      </c>
      <c r="BB1127" s="67">
        <v>100008</v>
      </c>
      <c r="BC1127" s="55">
        <f>AW1127+AX1127</f>
        <v>0</v>
      </c>
      <c r="BD1127" s="55">
        <f>H1127/(100-BE1127)*100</f>
        <v>0</v>
      </c>
      <c r="BE1127" s="55">
        <v>0</v>
      </c>
      <c r="BF1127" s="55">
        <f>K1127</f>
        <v>0.006688</v>
      </c>
      <c r="BH1127" s="55">
        <f>G1127*AO1127</f>
        <v>0</v>
      </c>
      <c r="BI1127" s="55">
        <f>G1127*AP1127</f>
        <v>0</v>
      </c>
      <c r="BJ1127" s="55">
        <f>G1127*H1127</f>
        <v>0</v>
      </c>
      <c r="BK1127" s="55"/>
      <c r="BL1127" s="55">
        <v>771</v>
      </c>
      <c r="BW1127" s="55">
        <v>21</v>
      </c>
    </row>
    <row r="1128" spans="1:12" ht="13.5" customHeight="1">
      <c r="A1128" s="59"/>
      <c r="D1128" s="218" t="s">
        <v>2152</v>
      </c>
      <c r="E1128" s="219"/>
      <c r="F1128" s="219"/>
      <c r="G1128" s="219"/>
      <c r="H1128" s="219"/>
      <c r="I1128" s="219"/>
      <c r="J1128" s="219"/>
      <c r="K1128" s="219"/>
      <c r="L1128" s="221"/>
    </row>
    <row r="1129" spans="1:12" ht="14.4">
      <c r="A1129" s="59"/>
      <c r="D1129" s="60" t="s">
        <v>2162</v>
      </c>
      <c r="E1129" s="60" t="s">
        <v>2163</v>
      </c>
      <c r="G1129" s="68">
        <v>20.9</v>
      </c>
      <c r="L1129" s="69"/>
    </row>
    <row r="1130" spans="1:75" ht="13.5" customHeight="1">
      <c r="A1130" s="1" t="s">
        <v>2164</v>
      </c>
      <c r="B1130" s="2" t="s">
        <v>116</v>
      </c>
      <c r="C1130" s="2" t="s">
        <v>2165</v>
      </c>
      <c r="D1130" s="147" t="s">
        <v>2166</v>
      </c>
      <c r="E1130" s="148"/>
      <c r="F1130" s="2" t="s">
        <v>939</v>
      </c>
      <c r="G1130" s="55">
        <f>'Stavební rozpočet-vyplnit'!G1130</f>
        <v>0.85</v>
      </c>
      <c r="H1130" s="55">
        <f>'Stavební rozpočet-vyplnit'!H1130</f>
        <v>0</v>
      </c>
      <c r="I1130" s="55">
        <f>G1130*H1130</f>
        <v>0</v>
      </c>
      <c r="J1130" s="55">
        <f>'Stavební rozpočet-vyplnit'!J1130</f>
        <v>0</v>
      </c>
      <c r="K1130" s="55">
        <f>G1130*J1130</f>
        <v>0</v>
      </c>
      <c r="L1130" s="57" t="s">
        <v>785</v>
      </c>
      <c r="Z1130" s="55">
        <f>IF(AQ1130="5",BJ1130,0)</f>
        <v>0</v>
      </c>
      <c r="AB1130" s="55">
        <f>IF(AQ1130="1",BH1130,0)</f>
        <v>0</v>
      </c>
      <c r="AC1130" s="55">
        <f>IF(AQ1130="1",BI1130,0)</f>
        <v>0</v>
      </c>
      <c r="AD1130" s="55">
        <f>IF(AQ1130="7",BH1130,0)</f>
        <v>0</v>
      </c>
      <c r="AE1130" s="55">
        <f>IF(AQ1130="7",BI1130,0)</f>
        <v>0</v>
      </c>
      <c r="AF1130" s="55">
        <f>IF(AQ1130="2",BH1130,0)</f>
        <v>0</v>
      </c>
      <c r="AG1130" s="55">
        <f>IF(AQ1130="2",BI1130,0)</f>
        <v>0</v>
      </c>
      <c r="AH1130" s="55">
        <f>IF(AQ1130="0",BJ1130,0)</f>
        <v>0</v>
      </c>
      <c r="AI1130" s="34" t="s">
        <v>116</v>
      </c>
      <c r="AJ1130" s="55">
        <f>IF(AN1130=0,I1130,0)</f>
        <v>0</v>
      </c>
      <c r="AK1130" s="55">
        <f>IF(AN1130=12,I1130,0)</f>
        <v>0</v>
      </c>
      <c r="AL1130" s="55">
        <f>IF(AN1130=21,I1130,0)</f>
        <v>0</v>
      </c>
      <c r="AN1130" s="55">
        <v>21</v>
      </c>
      <c r="AO1130" s="55">
        <f>H1130*0</f>
        <v>0</v>
      </c>
      <c r="AP1130" s="55">
        <f>H1130*(1-0)</f>
        <v>0</v>
      </c>
      <c r="AQ1130" s="58" t="s">
        <v>139</v>
      </c>
      <c r="AV1130" s="55">
        <f>AW1130+AX1130</f>
        <v>0</v>
      </c>
      <c r="AW1130" s="55">
        <f>G1130*AO1130</f>
        <v>0</v>
      </c>
      <c r="AX1130" s="55">
        <f>G1130*AP1130</f>
        <v>0</v>
      </c>
      <c r="AY1130" s="58" t="s">
        <v>2136</v>
      </c>
      <c r="AZ1130" s="58" t="s">
        <v>2137</v>
      </c>
      <c r="BA1130" s="34" t="s">
        <v>128</v>
      </c>
      <c r="BC1130" s="55">
        <f>AW1130+AX1130</f>
        <v>0</v>
      </c>
      <c r="BD1130" s="55">
        <f>H1130/(100-BE1130)*100</f>
        <v>0</v>
      </c>
      <c r="BE1130" s="55">
        <v>0</v>
      </c>
      <c r="BF1130" s="55">
        <f>K1130</f>
        <v>0</v>
      </c>
      <c r="BH1130" s="55">
        <f>G1130*AO1130</f>
        <v>0</v>
      </c>
      <c r="BI1130" s="55">
        <f>G1130*AP1130</f>
        <v>0</v>
      </c>
      <c r="BJ1130" s="55">
        <f>G1130*H1130</f>
        <v>0</v>
      </c>
      <c r="BK1130" s="55"/>
      <c r="BL1130" s="55">
        <v>771</v>
      </c>
      <c r="BW1130" s="55">
        <v>21</v>
      </c>
    </row>
    <row r="1131" spans="1:12" ht="14.4">
      <c r="A1131" s="59"/>
      <c r="D1131" s="60" t="s">
        <v>2167</v>
      </c>
      <c r="E1131" s="60" t="s">
        <v>4</v>
      </c>
      <c r="G1131" s="68">
        <v>0.85</v>
      </c>
      <c r="L1131" s="69"/>
    </row>
    <row r="1132" spans="1:47" ht="14.4">
      <c r="A1132" s="50" t="s">
        <v>4</v>
      </c>
      <c r="B1132" s="51" t="s">
        <v>116</v>
      </c>
      <c r="C1132" s="51" t="s">
        <v>2168</v>
      </c>
      <c r="D1132" s="222" t="s">
        <v>2169</v>
      </c>
      <c r="E1132" s="223"/>
      <c r="F1132" s="52" t="s">
        <v>79</v>
      </c>
      <c r="G1132" s="52" t="s">
        <v>79</v>
      </c>
      <c r="H1132" s="52" t="s">
        <v>79</v>
      </c>
      <c r="I1132" s="27">
        <f>SUM(I1133:I1148)</f>
        <v>0</v>
      </c>
      <c r="J1132" s="34" t="s">
        <v>4</v>
      </c>
      <c r="K1132" s="27">
        <f>SUM(K1133:K1148)</f>
        <v>0.860241</v>
      </c>
      <c r="L1132" s="54" t="s">
        <v>4</v>
      </c>
      <c r="AI1132" s="34" t="s">
        <v>116</v>
      </c>
      <c r="AS1132" s="27">
        <f>SUM(AJ1133:AJ1148)</f>
        <v>0</v>
      </c>
      <c r="AT1132" s="27">
        <f>SUM(AK1133:AK1148)</f>
        <v>0</v>
      </c>
      <c r="AU1132" s="27">
        <f>SUM(AL1133:AL1148)</f>
        <v>0</v>
      </c>
    </row>
    <row r="1133" spans="1:75" ht="13.5" customHeight="1">
      <c r="A1133" s="1" t="s">
        <v>2170</v>
      </c>
      <c r="B1133" s="2" t="s">
        <v>116</v>
      </c>
      <c r="C1133" s="2" t="s">
        <v>2171</v>
      </c>
      <c r="D1133" s="147" t="s">
        <v>2172</v>
      </c>
      <c r="E1133" s="148"/>
      <c r="F1133" s="2" t="s">
        <v>174</v>
      </c>
      <c r="G1133" s="55">
        <f>'Stavební rozpočet-vyplnit'!G1133</f>
        <v>8.25</v>
      </c>
      <c r="H1133" s="55">
        <f>'Stavební rozpočet-vyplnit'!H1133</f>
        <v>0</v>
      </c>
      <c r="I1133" s="55">
        <f>G1133*H1133</f>
        <v>0</v>
      </c>
      <c r="J1133" s="55">
        <f>'Stavební rozpočet-vyplnit'!J1133</f>
        <v>0.04751</v>
      </c>
      <c r="K1133" s="55">
        <f>G1133*J1133</f>
        <v>0.39195749999999996</v>
      </c>
      <c r="L1133" s="57" t="s">
        <v>2173</v>
      </c>
      <c r="Z1133" s="55">
        <f>IF(AQ1133="5",BJ1133,0)</f>
        <v>0</v>
      </c>
      <c r="AB1133" s="55">
        <f>IF(AQ1133="1",BH1133,0)</f>
        <v>0</v>
      </c>
      <c r="AC1133" s="55">
        <f>IF(AQ1133="1",BI1133,0)</f>
        <v>0</v>
      </c>
      <c r="AD1133" s="55">
        <f>IF(AQ1133="7",BH1133,0)</f>
        <v>0</v>
      </c>
      <c r="AE1133" s="55">
        <f>IF(AQ1133="7",BI1133,0)</f>
        <v>0</v>
      </c>
      <c r="AF1133" s="55">
        <f>IF(AQ1133="2",BH1133,0)</f>
        <v>0</v>
      </c>
      <c r="AG1133" s="55">
        <f>IF(AQ1133="2",BI1133,0)</f>
        <v>0</v>
      </c>
      <c r="AH1133" s="55">
        <f>IF(AQ1133="0",BJ1133,0)</f>
        <v>0</v>
      </c>
      <c r="AI1133" s="34" t="s">
        <v>116</v>
      </c>
      <c r="AJ1133" s="55">
        <f>IF(AN1133=0,I1133,0)</f>
        <v>0</v>
      </c>
      <c r="AK1133" s="55">
        <f>IF(AN1133=12,I1133,0)</f>
        <v>0</v>
      </c>
      <c r="AL1133" s="55">
        <f>IF(AN1133=21,I1133,0)</f>
        <v>0</v>
      </c>
      <c r="AN1133" s="55">
        <v>21</v>
      </c>
      <c r="AO1133" s="55">
        <f>H1133*0.186482698</f>
        <v>0</v>
      </c>
      <c r="AP1133" s="55">
        <f>H1133*(1-0.186482698)</f>
        <v>0</v>
      </c>
      <c r="AQ1133" s="58" t="s">
        <v>125</v>
      </c>
      <c r="AV1133" s="55">
        <f>AW1133+AX1133</f>
        <v>0</v>
      </c>
      <c r="AW1133" s="55">
        <f>G1133*AO1133</f>
        <v>0</v>
      </c>
      <c r="AX1133" s="55">
        <f>G1133*AP1133</f>
        <v>0</v>
      </c>
      <c r="AY1133" s="58" t="s">
        <v>2174</v>
      </c>
      <c r="AZ1133" s="58" t="s">
        <v>2137</v>
      </c>
      <c r="BA1133" s="34" t="s">
        <v>128</v>
      </c>
      <c r="BB1133" s="67">
        <v>100047</v>
      </c>
      <c r="BC1133" s="55">
        <f>AW1133+AX1133</f>
        <v>0</v>
      </c>
      <c r="BD1133" s="55">
        <f>H1133/(100-BE1133)*100</f>
        <v>0</v>
      </c>
      <c r="BE1133" s="55">
        <v>0</v>
      </c>
      <c r="BF1133" s="55">
        <f>K1133</f>
        <v>0.39195749999999996</v>
      </c>
      <c r="BH1133" s="55">
        <f>G1133*AO1133</f>
        <v>0</v>
      </c>
      <c r="BI1133" s="55">
        <f>G1133*AP1133</f>
        <v>0</v>
      </c>
      <c r="BJ1133" s="55">
        <f>G1133*H1133</f>
        <v>0</v>
      </c>
      <c r="BK1133" s="55"/>
      <c r="BL1133" s="55">
        <v>772</v>
      </c>
      <c r="BW1133" s="55">
        <v>21</v>
      </c>
    </row>
    <row r="1134" spans="1:12" ht="13.5" customHeight="1">
      <c r="A1134" s="59"/>
      <c r="D1134" s="218" t="s">
        <v>2175</v>
      </c>
      <c r="E1134" s="219"/>
      <c r="F1134" s="219"/>
      <c r="G1134" s="219"/>
      <c r="H1134" s="219"/>
      <c r="I1134" s="219"/>
      <c r="J1134" s="219"/>
      <c r="K1134" s="219"/>
      <c r="L1134" s="221"/>
    </row>
    <row r="1135" spans="1:12" ht="14.4">
      <c r="A1135" s="59"/>
      <c r="D1135" s="60" t="s">
        <v>2176</v>
      </c>
      <c r="E1135" s="60" t="s">
        <v>4</v>
      </c>
      <c r="G1135" s="68">
        <v>8.25</v>
      </c>
      <c r="L1135" s="69"/>
    </row>
    <row r="1136" spans="1:75" ht="13.5" customHeight="1">
      <c r="A1136" s="61" t="s">
        <v>2177</v>
      </c>
      <c r="B1136" s="62" t="s">
        <v>116</v>
      </c>
      <c r="C1136" s="62" t="s">
        <v>2178</v>
      </c>
      <c r="D1136" s="224" t="s">
        <v>2179</v>
      </c>
      <c r="E1136" s="225"/>
      <c r="F1136" s="62" t="s">
        <v>174</v>
      </c>
      <c r="G1136" s="63">
        <f>'Stavební rozpočet-vyplnit'!G1136</f>
        <v>8.25</v>
      </c>
      <c r="H1136" s="63">
        <f>'Stavební rozpočet-vyplnit'!H1136</f>
        <v>0</v>
      </c>
      <c r="I1136" s="63">
        <f>G1136*H1136</f>
        <v>0</v>
      </c>
      <c r="J1136" s="63">
        <f>'Stavební rozpočet-vyplnit'!J1136</f>
        <v>0.025</v>
      </c>
      <c r="K1136" s="63">
        <f>G1136*J1136</f>
        <v>0.20625000000000002</v>
      </c>
      <c r="L1136" s="65" t="s">
        <v>785</v>
      </c>
      <c r="Z1136" s="55">
        <f>IF(AQ1136="5",BJ1136,0)</f>
        <v>0</v>
      </c>
      <c r="AB1136" s="55">
        <f>IF(AQ1136="1",BH1136,0)</f>
        <v>0</v>
      </c>
      <c r="AC1136" s="55">
        <f>IF(AQ1136="1",BI1136,0)</f>
        <v>0</v>
      </c>
      <c r="AD1136" s="55">
        <f>IF(AQ1136="7",BH1136,0)</f>
        <v>0</v>
      </c>
      <c r="AE1136" s="55">
        <f>IF(AQ1136="7",BI1136,0)</f>
        <v>0</v>
      </c>
      <c r="AF1136" s="55">
        <f>IF(AQ1136="2",BH1136,0)</f>
        <v>0</v>
      </c>
      <c r="AG1136" s="55">
        <f>IF(AQ1136="2",BI1136,0)</f>
        <v>0</v>
      </c>
      <c r="AH1136" s="55">
        <f>IF(AQ1136="0",BJ1136,0)</f>
        <v>0</v>
      </c>
      <c r="AI1136" s="34" t="s">
        <v>116</v>
      </c>
      <c r="AJ1136" s="63">
        <f>IF(AN1136=0,I1136,0)</f>
        <v>0</v>
      </c>
      <c r="AK1136" s="63">
        <f>IF(AN1136=12,I1136,0)</f>
        <v>0</v>
      </c>
      <c r="AL1136" s="63">
        <f>IF(AN1136=21,I1136,0)</f>
        <v>0</v>
      </c>
      <c r="AN1136" s="55">
        <v>21</v>
      </c>
      <c r="AO1136" s="55">
        <f>H1136*1</f>
        <v>0</v>
      </c>
      <c r="AP1136" s="55">
        <f>H1136*(1-1)</f>
        <v>0</v>
      </c>
      <c r="AQ1136" s="66" t="s">
        <v>125</v>
      </c>
      <c r="AV1136" s="55">
        <f>AW1136+AX1136</f>
        <v>0</v>
      </c>
      <c r="AW1136" s="55">
        <f>G1136*AO1136</f>
        <v>0</v>
      </c>
      <c r="AX1136" s="55">
        <f>G1136*AP1136</f>
        <v>0</v>
      </c>
      <c r="AY1136" s="58" t="s">
        <v>2174</v>
      </c>
      <c r="AZ1136" s="58" t="s">
        <v>2137</v>
      </c>
      <c r="BA1136" s="34" t="s">
        <v>128</v>
      </c>
      <c r="BC1136" s="55">
        <f>AW1136+AX1136</f>
        <v>0</v>
      </c>
      <c r="BD1136" s="55">
        <f>H1136/(100-BE1136)*100</f>
        <v>0</v>
      </c>
      <c r="BE1136" s="55">
        <v>0</v>
      </c>
      <c r="BF1136" s="55">
        <f>K1136</f>
        <v>0.20625000000000002</v>
      </c>
      <c r="BH1136" s="63">
        <f>G1136*AO1136</f>
        <v>0</v>
      </c>
      <c r="BI1136" s="63">
        <f>G1136*AP1136</f>
        <v>0</v>
      </c>
      <c r="BJ1136" s="63">
        <f>G1136*H1136</f>
        <v>0</v>
      </c>
      <c r="BK1136" s="63"/>
      <c r="BL1136" s="55">
        <v>772</v>
      </c>
      <c r="BW1136" s="55">
        <v>21</v>
      </c>
    </row>
    <row r="1137" spans="1:12" ht="14.4">
      <c r="A1137" s="59"/>
      <c r="D1137" s="60" t="s">
        <v>2180</v>
      </c>
      <c r="E1137" s="60" t="s">
        <v>4</v>
      </c>
      <c r="G1137" s="68">
        <v>8.25</v>
      </c>
      <c r="L1137" s="69"/>
    </row>
    <row r="1138" spans="1:75" ht="13.5" customHeight="1">
      <c r="A1138" s="1" t="s">
        <v>2181</v>
      </c>
      <c r="B1138" s="2" t="s">
        <v>116</v>
      </c>
      <c r="C1138" s="2" t="s">
        <v>2182</v>
      </c>
      <c r="D1138" s="147" t="s">
        <v>2183</v>
      </c>
      <c r="E1138" s="148"/>
      <c r="F1138" s="2" t="s">
        <v>174</v>
      </c>
      <c r="G1138" s="55">
        <f>'Stavební rozpočet-vyplnit'!G1138</f>
        <v>8.25</v>
      </c>
      <c r="H1138" s="55">
        <f>'Stavební rozpočet-vyplnit'!H1138</f>
        <v>0</v>
      </c>
      <c r="I1138" s="55">
        <f>G1138*H1138</f>
        <v>0</v>
      </c>
      <c r="J1138" s="55">
        <f>'Stavební rozpočet-vyplnit'!J1138</f>
        <v>0.01059</v>
      </c>
      <c r="K1138" s="55">
        <f>G1138*J1138</f>
        <v>0.0873675</v>
      </c>
      <c r="L1138" s="57" t="s">
        <v>124</v>
      </c>
      <c r="Z1138" s="55">
        <f>IF(AQ1138="5",BJ1138,0)</f>
        <v>0</v>
      </c>
      <c r="AB1138" s="55">
        <f>IF(AQ1138="1",BH1138,0)</f>
        <v>0</v>
      </c>
      <c r="AC1138" s="55">
        <f>IF(AQ1138="1",BI1138,0)</f>
        <v>0</v>
      </c>
      <c r="AD1138" s="55">
        <f>IF(AQ1138="7",BH1138,0)</f>
        <v>0</v>
      </c>
      <c r="AE1138" s="55">
        <f>IF(AQ1138="7",BI1138,0)</f>
        <v>0</v>
      </c>
      <c r="AF1138" s="55">
        <f>IF(AQ1138="2",BH1138,0)</f>
        <v>0</v>
      </c>
      <c r="AG1138" s="55">
        <f>IF(AQ1138="2",BI1138,0)</f>
        <v>0</v>
      </c>
      <c r="AH1138" s="55">
        <f>IF(AQ1138="0",BJ1138,0)</f>
        <v>0</v>
      </c>
      <c r="AI1138" s="34" t="s">
        <v>116</v>
      </c>
      <c r="AJ1138" s="55">
        <f>IF(AN1138=0,I1138,0)</f>
        <v>0</v>
      </c>
      <c r="AK1138" s="55">
        <f>IF(AN1138=12,I1138,0)</f>
        <v>0</v>
      </c>
      <c r="AL1138" s="55">
        <f>IF(AN1138=21,I1138,0)</f>
        <v>0</v>
      </c>
      <c r="AN1138" s="55">
        <v>21</v>
      </c>
      <c r="AO1138" s="55">
        <f>H1138*0.215378554</f>
        <v>0</v>
      </c>
      <c r="AP1138" s="55">
        <f>H1138*(1-0.215378554)</f>
        <v>0</v>
      </c>
      <c r="AQ1138" s="58" t="s">
        <v>125</v>
      </c>
      <c r="AV1138" s="55">
        <f>AW1138+AX1138</f>
        <v>0</v>
      </c>
      <c r="AW1138" s="55">
        <f>G1138*AO1138</f>
        <v>0</v>
      </c>
      <c r="AX1138" s="55">
        <f>G1138*AP1138</f>
        <v>0</v>
      </c>
      <c r="AY1138" s="58" t="s">
        <v>2174</v>
      </c>
      <c r="AZ1138" s="58" t="s">
        <v>2137</v>
      </c>
      <c r="BA1138" s="34" t="s">
        <v>128</v>
      </c>
      <c r="BB1138" s="67">
        <v>100047</v>
      </c>
      <c r="BC1138" s="55">
        <f>AW1138+AX1138</f>
        <v>0</v>
      </c>
      <c r="BD1138" s="55">
        <f>H1138/(100-BE1138)*100</f>
        <v>0</v>
      </c>
      <c r="BE1138" s="55">
        <v>0</v>
      </c>
      <c r="BF1138" s="55">
        <f>K1138</f>
        <v>0.0873675</v>
      </c>
      <c r="BH1138" s="55">
        <f>G1138*AO1138</f>
        <v>0</v>
      </c>
      <c r="BI1138" s="55">
        <f>G1138*AP1138</f>
        <v>0</v>
      </c>
      <c r="BJ1138" s="55">
        <f>G1138*H1138</f>
        <v>0</v>
      </c>
      <c r="BK1138" s="55"/>
      <c r="BL1138" s="55">
        <v>772</v>
      </c>
      <c r="BW1138" s="55">
        <v>21</v>
      </c>
    </row>
    <row r="1139" spans="1:12" ht="13.5" customHeight="1">
      <c r="A1139" s="59"/>
      <c r="D1139" s="218" t="s">
        <v>2184</v>
      </c>
      <c r="E1139" s="219"/>
      <c r="F1139" s="219"/>
      <c r="G1139" s="219"/>
      <c r="H1139" s="219"/>
      <c r="I1139" s="219"/>
      <c r="J1139" s="219"/>
      <c r="K1139" s="219"/>
      <c r="L1139" s="221"/>
    </row>
    <row r="1140" spans="1:12" ht="14.4">
      <c r="A1140" s="59"/>
      <c r="D1140" s="60" t="s">
        <v>2176</v>
      </c>
      <c r="E1140" s="60" t="s">
        <v>4</v>
      </c>
      <c r="G1140" s="68">
        <v>8.25</v>
      </c>
      <c r="L1140" s="69"/>
    </row>
    <row r="1141" spans="1:75" ht="13.5" customHeight="1">
      <c r="A1141" s="61" t="s">
        <v>2185</v>
      </c>
      <c r="B1141" s="62" t="s">
        <v>116</v>
      </c>
      <c r="C1141" s="62" t="s">
        <v>2186</v>
      </c>
      <c r="D1141" s="224" t="s">
        <v>2187</v>
      </c>
      <c r="E1141" s="225"/>
      <c r="F1141" s="62" t="s">
        <v>174</v>
      </c>
      <c r="G1141" s="63">
        <f>'Stavební rozpočet-vyplnit'!G1141</f>
        <v>8.25</v>
      </c>
      <c r="H1141" s="63">
        <f>'Stavební rozpočet-vyplnit'!H1141</f>
        <v>0</v>
      </c>
      <c r="I1141" s="63">
        <f>G1141*H1141</f>
        <v>0</v>
      </c>
      <c r="J1141" s="63">
        <f>'Stavební rozpočet-vyplnit'!J1141</f>
        <v>0.011</v>
      </c>
      <c r="K1141" s="63">
        <f>G1141*J1141</f>
        <v>0.09075</v>
      </c>
      <c r="L1141" s="65" t="s">
        <v>785</v>
      </c>
      <c r="Z1141" s="55">
        <f>IF(AQ1141="5",BJ1141,0)</f>
        <v>0</v>
      </c>
      <c r="AB1141" s="55">
        <f>IF(AQ1141="1",BH1141,0)</f>
        <v>0</v>
      </c>
      <c r="AC1141" s="55">
        <f>IF(AQ1141="1",BI1141,0)</f>
        <v>0</v>
      </c>
      <c r="AD1141" s="55">
        <f>IF(AQ1141="7",BH1141,0)</f>
        <v>0</v>
      </c>
      <c r="AE1141" s="55">
        <f>IF(AQ1141="7",BI1141,0)</f>
        <v>0</v>
      </c>
      <c r="AF1141" s="55">
        <f>IF(AQ1141="2",BH1141,0)</f>
        <v>0</v>
      </c>
      <c r="AG1141" s="55">
        <f>IF(AQ1141="2",BI1141,0)</f>
        <v>0</v>
      </c>
      <c r="AH1141" s="55">
        <f>IF(AQ1141="0",BJ1141,0)</f>
        <v>0</v>
      </c>
      <c r="AI1141" s="34" t="s">
        <v>116</v>
      </c>
      <c r="AJ1141" s="63">
        <f>IF(AN1141=0,I1141,0)</f>
        <v>0</v>
      </c>
      <c r="AK1141" s="63">
        <f>IF(AN1141=12,I1141,0)</f>
        <v>0</v>
      </c>
      <c r="AL1141" s="63">
        <f>IF(AN1141=21,I1141,0)</f>
        <v>0</v>
      </c>
      <c r="AN1141" s="55">
        <v>21</v>
      </c>
      <c r="AO1141" s="55">
        <f>H1141*1</f>
        <v>0</v>
      </c>
      <c r="AP1141" s="55">
        <f>H1141*(1-1)</f>
        <v>0</v>
      </c>
      <c r="AQ1141" s="66" t="s">
        <v>125</v>
      </c>
      <c r="AV1141" s="55">
        <f>AW1141+AX1141</f>
        <v>0</v>
      </c>
      <c r="AW1141" s="55">
        <f>G1141*AO1141</f>
        <v>0</v>
      </c>
      <c r="AX1141" s="55">
        <f>G1141*AP1141</f>
        <v>0</v>
      </c>
      <c r="AY1141" s="58" t="s">
        <v>2174</v>
      </c>
      <c r="AZ1141" s="58" t="s">
        <v>2137</v>
      </c>
      <c r="BA1141" s="34" t="s">
        <v>128</v>
      </c>
      <c r="BC1141" s="55">
        <f>AW1141+AX1141</f>
        <v>0</v>
      </c>
      <c r="BD1141" s="55">
        <f>H1141/(100-BE1141)*100</f>
        <v>0</v>
      </c>
      <c r="BE1141" s="55">
        <v>0</v>
      </c>
      <c r="BF1141" s="55">
        <f>K1141</f>
        <v>0.09075</v>
      </c>
      <c r="BH1141" s="63">
        <f>G1141*AO1141</f>
        <v>0</v>
      </c>
      <c r="BI1141" s="63">
        <f>G1141*AP1141</f>
        <v>0</v>
      </c>
      <c r="BJ1141" s="63">
        <f>G1141*H1141</f>
        <v>0</v>
      </c>
      <c r="BK1141" s="63"/>
      <c r="BL1141" s="55">
        <v>772</v>
      </c>
      <c r="BW1141" s="55">
        <v>21</v>
      </c>
    </row>
    <row r="1142" spans="1:12" ht="14.4">
      <c r="A1142" s="59"/>
      <c r="D1142" s="60" t="s">
        <v>2180</v>
      </c>
      <c r="E1142" s="60" t="s">
        <v>4</v>
      </c>
      <c r="G1142" s="68">
        <v>8.25</v>
      </c>
      <c r="L1142" s="69"/>
    </row>
    <row r="1143" spans="1:75" ht="13.5" customHeight="1">
      <c r="A1143" s="1" t="s">
        <v>2188</v>
      </c>
      <c r="B1143" s="2" t="s">
        <v>116</v>
      </c>
      <c r="C1143" s="2" t="s">
        <v>2189</v>
      </c>
      <c r="D1143" s="147" t="s">
        <v>2190</v>
      </c>
      <c r="E1143" s="148"/>
      <c r="F1143" s="2" t="s">
        <v>174</v>
      </c>
      <c r="G1143" s="55">
        <f>'Stavební rozpočet-vyplnit'!G1143</f>
        <v>2.8</v>
      </c>
      <c r="H1143" s="55">
        <f>'Stavební rozpočet-vyplnit'!H1143</f>
        <v>0</v>
      </c>
      <c r="I1143" s="55">
        <f>G1143*H1143</f>
        <v>0</v>
      </c>
      <c r="J1143" s="55">
        <f>'Stavební rozpočet-vyplnit'!J1143</f>
        <v>0.01597</v>
      </c>
      <c r="K1143" s="55">
        <f>G1143*J1143</f>
        <v>0.044716</v>
      </c>
      <c r="L1143" s="57" t="s">
        <v>124</v>
      </c>
      <c r="Z1143" s="55">
        <f>IF(AQ1143="5",BJ1143,0)</f>
        <v>0</v>
      </c>
      <c r="AB1143" s="55">
        <f>IF(AQ1143="1",BH1143,0)</f>
        <v>0</v>
      </c>
      <c r="AC1143" s="55">
        <f>IF(AQ1143="1",BI1143,0)</f>
        <v>0</v>
      </c>
      <c r="AD1143" s="55">
        <f>IF(AQ1143="7",BH1143,0)</f>
        <v>0</v>
      </c>
      <c r="AE1143" s="55">
        <f>IF(AQ1143="7",BI1143,0)</f>
        <v>0</v>
      </c>
      <c r="AF1143" s="55">
        <f>IF(AQ1143="2",BH1143,0)</f>
        <v>0</v>
      </c>
      <c r="AG1143" s="55">
        <f>IF(AQ1143="2",BI1143,0)</f>
        <v>0</v>
      </c>
      <c r="AH1143" s="55">
        <f>IF(AQ1143="0",BJ1143,0)</f>
        <v>0</v>
      </c>
      <c r="AI1143" s="34" t="s">
        <v>116</v>
      </c>
      <c r="AJ1143" s="55">
        <f>IF(AN1143=0,I1143,0)</f>
        <v>0</v>
      </c>
      <c r="AK1143" s="55">
        <f>IF(AN1143=12,I1143,0)</f>
        <v>0</v>
      </c>
      <c r="AL1143" s="55">
        <f>IF(AN1143=21,I1143,0)</f>
        <v>0</v>
      </c>
      <c r="AN1143" s="55">
        <v>21</v>
      </c>
      <c r="AO1143" s="55">
        <f>H1143*0.044363853</f>
        <v>0</v>
      </c>
      <c r="AP1143" s="55">
        <f>H1143*(1-0.044363853)</f>
        <v>0</v>
      </c>
      <c r="AQ1143" s="58" t="s">
        <v>125</v>
      </c>
      <c r="AV1143" s="55">
        <f>AW1143+AX1143</f>
        <v>0</v>
      </c>
      <c r="AW1143" s="55">
        <f>G1143*AO1143</f>
        <v>0</v>
      </c>
      <c r="AX1143" s="55">
        <f>G1143*AP1143</f>
        <v>0</v>
      </c>
      <c r="AY1143" s="58" t="s">
        <v>2174</v>
      </c>
      <c r="AZ1143" s="58" t="s">
        <v>2137</v>
      </c>
      <c r="BA1143" s="34" t="s">
        <v>128</v>
      </c>
      <c r="BB1143" s="67">
        <v>100047</v>
      </c>
      <c r="BC1143" s="55">
        <f>AW1143+AX1143</f>
        <v>0</v>
      </c>
      <c r="BD1143" s="55">
        <f>H1143/(100-BE1143)*100</f>
        <v>0</v>
      </c>
      <c r="BE1143" s="55">
        <v>0</v>
      </c>
      <c r="BF1143" s="55">
        <f>K1143</f>
        <v>0.044716</v>
      </c>
      <c r="BH1143" s="55">
        <f>G1143*AO1143</f>
        <v>0</v>
      </c>
      <c r="BI1143" s="55">
        <f>G1143*AP1143</f>
        <v>0</v>
      </c>
      <c r="BJ1143" s="55">
        <f>G1143*H1143</f>
        <v>0</v>
      </c>
      <c r="BK1143" s="55"/>
      <c r="BL1143" s="55">
        <v>772</v>
      </c>
      <c r="BW1143" s="55">
        <v>21</v>
      </c>
    </row>
    <row r="1144" spans="1:12" ht="13.5" customHeight="1">
      <c r="A1144" s="59"/>
      <c r="D1144" s="218" t="s">
        <v>2191</v>
      </c>
      <c r="E1144" s="219"/>
      <c r="F1144" s="219"/>
      <c r="G1144" s="219"/>
      <c r="H1144" s="219"/>
      <c r="I1144" s="219"/>
      <c r="J1144" s="219"/>
      <c r="K1144" s="219"/>
      <c r="L1144" s="221"/>
    </row>
    <row r="1145" spans="1:12" ht="14.4">
      <c r="A1145" s="59"/>
      <c r="D1145" s="60" t="s">
        <v>2192</v>
      </c>
      <c r="E1145" s="60" t="s">
        <v>4</v>
      </c>
      <c r="G1145" s="68">
        <v>2.8</v>
      </c>
      <c r="L1145" s="69"/>
    </row>
    <row r="1146" spans="1:75" ht="13.5" customHeight="1">
      <c r="A1146" s="61" t="s">
        <v>2193</v>
      </c>
      <c r="B1146" s="62" t="s">
        <v>116</v>
      </c>
      <c r="C1146" s="62" t="s">
        <v>2194</v>
      </c>
      <c r="D1146" s="224" t="s">
        <v>2195</v>
      </c>
      <c r="E1146" s="225"/>
      <c r="F1146" s="62" t="s">
        <v>174</v>
      </c>
      <c r="G1146" s="63">
        <f>'Stavební rozpočet-vyplnit'!G1146</f>
        <v>2.8</v>
      </c>
      <c r="H1146" s="63">
        <f>'Stavební rozpočet-vyplnit'!H1146</f>
        <v>0</v>
      </c>
      <c r="I1146" s="63">
        <f>G1146*H1146</f>
        <v>0</v>
      </c>
      <c r="J1146" s="63">
        <f>'Stavební rozpočet-vyplnit'!J1146</f>
        <v>0.014</v>
      </c>
      <c r="K1146" s="63">
        <f>G1146*J1146</f>
        <v>0.0392</v>
      </c>
      <c r="L1146" s="65" t="s">
        <v>785</v>
      </c>
      <c r="Z1146" s="55">
        <f>IF(AQ1146="5",BJ1146,0)</f>
        <v>0</v>
      </c>
      <c r="AB1146" s="55">
        <f>IF(AQ1146="1",BH1146,0)</f>
        <v>0</v>
      </c>
      <c r="AC1146" s="55">
        <f>IF(AQ1146="1",BI1146,0)</f>
        <v>0</v>
      </c>
      <c r="AD1146" s="55">
        <f>IF(AQ1146="7",BH1146,0)</f>
        <v>0</v>
      </c>
      <c r="AE1146" s="55">
        <f>IF(AQ1146="7",BI1146,0)</f>
        <v>0</v>
      </c>
      <c r="AF1146" s="55">
        <f>IF(AQ1146="2",BH1146,0)</f>
        <v>0</v>
      </c>
      <c r="AG1146" s="55">
        <f>IF(AQ1146="2",BI1146,0)</f>
        <v>0</v>
      </c>
      <c r="AH1146" s="55">
        <f>IF(AQ1146="0",BJ1146,0)</f>
        <v>0</v>
      </c>
      <c r="AI1146" s="34" t="s">
        <v>116</v>
      </c>
      <c r="AJ1146" s="63">
        <f>IF(AN1146=0,I1146,0)</f>
        <v>0</v>
      </c>
      <c r="AK1146" s="63">
        <f>IF(AN1146=12,I1146,0)</f>
        <v>0</v>
      </c>
      <c r="AL1146" s="63">
        <f>IF(AN1146=21,I1146,0)</f>
        <v>0</v>
      </c>
      <c r="AN1146" s="55">
        <v>21</v>
      </c>
      <c r="AO1146" s="55">
        <f>H1146*1</f>
        <v>0</v>
      </c>
      <c r="AP1146" s="55">
        <f>H1146*(1-1)</f>
        <v>0</v>
      </c>
      <c r="AQ1146" s="66" t="s">
        <v>125</v>
      </c>
      <c r="AV1146" s="55">
        <f>AW1146+AX1146</f>
        <v>0</v>
      </c>
      <c r="AW1146" s="55">
        <f>G1146*AO1146</f>
        <v>0</v>
      </c>
      <c r="AX1146" s="55">
        <f>G1146*AP1146</f>
        <v>0</v>
      </c>
      <c r="AY1146" s="58" t="s">
        <v>2174</v>
      </c>
      <c r="AZ1146" s="58" t="s">
        <v>2137</v>
      </c>
      <c r="BA1146" s="34" t="s">
        <v>128</v>
      </c>
      <c r="BC1146" s="55">
        <f>AW1146+AX1146</f>
        <v>0</v>
      </c>
      <c r="BD1146" s="55">
        <f>H1146/(100-BE1146)*100</f>
        <v>0</v>
      </c>
      <c r="BE1146" s="55">
        <v>0</v>
      </c>
      <c r="BF1146" s="55">
        <f>K1146</f>
        <v>0.0392</v>
      </c>
      <c r="BH1146" s="63">
        <f>G1146*AO1146</f>
        <v>0</v>
      </c>
      <c r="BI1146" s="63">
        <f>G1146*AP1146</f>
        <v>0</v>
      </c>
      <c r="BJ1146" s="63">
        <f>G1146*H1146</f>
        <v>0</v>
      </c>
      <c r="BK1146" s="63"/>
      <c r="BL1146" s="55">
        <v>772</v>
      </c>
      <c r="BW1146" s="55">
        <v>21</v>
      </c>
    </row>
    <row r="1147" spans="1:12" ht="14.4">
      <c r="A1147" s="59"/>
      <c r="D1147" s="60" t="s">
        <v>1889</v>
      </c>
      <c r="E1147" s="60" t="s">
        <v>4</v>
      </c>
      <c r="G1147" s="68">
        <v>2.8</v>
      </c>
      <c r="L1147" s="69"/>
    </row>
    <row r="1148" spans="1:75" ht="13.5" customHeight="1">
      <c r="A1148" s="1" t="s">
        <v>2196</v>
      </c>
      <c r="B1148" s="2" t="s">
        <v>116</v>
      </c>
      <c r="C1148" s="2" t="s">
        <v>2197</v>
      </c>
      <c r="D1148" s="147" t="s">
        <v>2198</v>
      </c>
      <c r="E1148" s="148"/>
      <c r="F1148" s="2" t="s">
        <v>939</v>
      </c>
      <c r="G1148" s="55">
        <f>'Stavební rozpočet-vyplnit'!G1148</f>
        <v>0.86</v>
      </c>
      <c r="H1148" s="55">
        <f>'Stavební rozpočet-vyplnit'!H1148</f>
        <v>0</v>
      </c>
      <c r="I1148" s="55">
        <f>G1148*H1148</f>
        <v>0</v>
      </c>
      <c r="J1148" s="55">
        <f>'Stavební rozpočet-vyplnit'!J1148</f>
        <v>0</v>
      </c>
      <c r="K1148" s="55">
        <f>G1148*J1148</f>
        <v>0</v>
      </c>
      <c r="L1148" s="57" t="s">
        <v>785</v>
      </c>
      <c r="Z1148" s="55">
        <f>IF(AQ1148="5",BJ1148,0)</f>
        <v>0</v>
      </c>
      <c r="AB1148" s="55">
        <f>IF(AQ1148="1",BH1148,0)</f>
        <v>0</v>
      </c>
      <c r="AC1148" s="55">
        <f>IF(AQ1148="1",BI1148,0)</f>
        <v>0</v>
      </c>
      <c r="AD1148" s="55">
        <f>IF(AQ1148="7",BH1148,0)</f>
        <v>0</v>
      </c>
      <c r="AE1148" s="55">
        <f>IF(AQ1148="7",BI1148,0)</f>
        <v>0</v>
      </c>
      <c r="AF1148" s="55">
        <f>IF(AQ1148="2",BH1148,0)</f>
        <v>0</v>
      </c>
      <c r="AG1148" s="55">
        <f>IF(AQ1148="2",BI1148,0)</f>
        <v>0</v>
      </c>
      <c r="AH1148" s="55">
        <f>IF(AQ1148="0",BJ1148,0)</f>
        <v>0</v>
      </c>
      <c r="AI1148" s="34" t="s">
        <v>116</v>
      </c>
      <c r="AJ1148" s="55">
        <f>IF(AN1148=0,I1148,0)</f>
        <v>0</v>
      </c>
      <c r="AK1148" s="55">
        <f>IF(AN1148=12,I1148,0)</f>
        <v>0</v>
      </c>
      <c r="AL1148" s="55">
        <f>IF(AN1148=21,I1148,0)</f>
        <v>0</v>
      </c>
      <c r="AN1148" s="55">
        <v>21</v>
      </c>
      <c r="AO1148" s="55">
        <f>H1148*0</f>
        <v>0</v>
      </c>
      <c r="AP1148" s="55">
        <f>H1148*(1-0)</f>
        <v>0</v>
      </c>
      <c r="AQ1148" s="58" t="s">
        <v>139</v>
      </c>
      <c r="AV1148" s="55">
        <f>AW1148+AX1148</f>
        <v>0</v>
      </c>
      <c r="AW1148" s="55">
        <f>G1148*AO1148</f>
        <v>0</v>
      </c>
      <c r="AX1148" s="55">
        <f>G1148*AP1148</f>
        <v>0</v>
      </c>
      <c r="AY1148" s="58" t="s">
        <v>2174</v>
      </c>
      <c r="AZ1148" s="58" t="s">
        <v>2137</v>
      </c>
      <c r="BA1148" s="34" t="s">
        <v>128</v>
      </c>
      <c r="BC1148" s="55">
        <f>AW1148+AX1148</f>
        <v>0</v>
      </c>
      <c r="BD1148" s="55">
        <f>H1148/(100-BE1148)*100</f>
        <v>0</v>
      </c>
      <c r="BE1148" s="55">
        <v>0</v>
      </c>
      <c r="BF1148" s="55">
        <f>K1148</f>
        <v>0</v>
      </c>
      <c r="BH1148" s="55">
        <f>G1148*AO1148</f>
        <v>0</v>
      </c>
      <c r="BI1148" s="55">
        <f>G1148*AP1148</f>
        <v>0</v>
      </c>
      <c r="BJ1148" s="55">
        <f>G1148*H1148</f>
        <v>0</v>
      </c>
      <c r="BK1148" s="55"/>
      <c r="BL1148" s="55">
        <v>772</v>
      </c>
      <c r="BW1148" s="55">
        <v>21</v>
      </c>
    </row>
    <row r="1149" spans="1:12" ht="14.4">
      <c r="A1149" s="59"/>
      <c r="D1149" s="60" t="s">
        <v>2199</v>
      </c>
      <c r="E1149" s="60" t="s">
        <v>4</v>
      </c>
      <c r="G1149" s="68">
        <v>0.86</v>
      </c>
      <c r="L1149" s="69"/>
    </row>
    <row r="1150" spans="1:47" ht="14.4">
      <c r="A1150" s="50" t="s">
        <v>4</v>
      </c>
      <c r="B1150" s="51" t="s">
        <v>116</v>
      </c>
      <c r="C1150" s="51" t="s">
        <v>2200</v>
      </c>
      <c r="D1150" s="222" t="s">
        <v>2201</v>
      </c>
      <c r="E1150" s="223"/>
      <c r="F1150" s="52" t="s">
        <v>79</v>
      </c>
      <c r="G1150" s="52" t="s">
        <v>79</v>
      </c>
      <c r="H1150" s="52" t="s">
        <v>79</v>
      </c>
      <c r="I1150" s="27">
        <f>SUM(I1151:I1172)</f>
        <v>0</v>
      </c>
      <c r="J1150" s="34" t="s">
        <v>4</v>
      </c>
      <c r="K1150" s="27">
        <f>SUM(K1151:K1172)</f>
        <v>1.1397924</v>
      </c>
      <c r="L1150" s="54" t="s">
        <v>4</v>
      </c>
      <c r="AI1150" s="34" t="s">
        <v>116</v>
      </c>
      <c r="AS1150" s="27">
        <f>SUM(AJ1151:AJ1172)</f>
        <v>0</v>
      </c>
      <c r="AT1150" s="27">
        <f>SUM(AK1151:AK1172)</f>
        <v>0</v>
      </c>
      <c r="AU1150" s="27">
        <f>SUM(AL1151:AL1172)</f>
        <v>0</v>
      </c>
    </row>
    <row r="1151" spans="1:75" ht="13.5" customHeight="1">
      <c r="A1151" s="1" t="s">
        <v>2202</v>
      </c>
      <c r="B1151" s="2" t="s">
        <v>116</v>
      </c>
      <c r="C1151" s="2" t="s">
        <v>2203</v>
      </c>
      <c r="D1151" s="147" t="s">
        <v>2204</v>
      </c>
      <c r="E1151" s="148"/>
      <c r="F1151" s="2" t="s">
        <v>174</v>
      </c>
      <c r="G1151" s="55">
        <f>'Stavební rozpočet-vyplnit'!G1151</f>
        <v>237.31</v>
      </c>
      <c r="H1151" s="55">
        <f>'Stavební rozpočet-vyplnit'!H1151</f>
        <v>0</v>
      </c>
      <c r="I1151" s="55">
        <f>G1151*H1151</f>
        <v>0</v>
      </c>
      <c r="J1151" s="55">
        <f>'Stavební rozpočet-vyplnit'!J1151</f>
        <v>0.00024</v>
      </c>
      <c r="K1151" s="55">
        <f>G1151*J1151</f>
        <v>0.0569544</v>
      </c>
      <c r="L1151" s="57" t="s">
        <v>124</v>
      </c>
      <c r="Z1151" s="55">
        <f>IF(AQ1151="5",BJ1151,0)</f>
        <v>0</v>
      </c>
      <c r="AB1151" s="55">
        <f>IF(AQ1151="1",BH1151,0)</f>
        <v>0</v>
      </c>
      <c r="AC1151" s="55">
        <f>IF(AQ1151="1",BI1151,0)</f>
        <v>0</v>
      </c>
      <c r="AD1151" s="55">
        <f>IF(AQ1151="7",BH1151,0)</f>
        <v>0</v>
      </c>
      <c r="AE1151" s="55">
        <f>IF(AQ1151="7",BI1151,0)</f>
        <v>0</v>
      </c>
      <c r="AF1151" s="55">
        <f>IF(AQ1151="2",BH1151,0)</f>
        <v>0</v>
      </c>
      <c r="AG1151" s="55">
        <f>IF(AQ1151="2",BI1151,0)</f>
        <v>0</v>
      </c>
      <c r="AH1151" s="55">
        <f>IF(AQ1151="0",BJ1151,0)</f>
        <v>0</v>
      </c>
      <c r="AI1151" s="34" t="s">
        <v>116</v>
      </c>
      <c r="AJ1151" s="55">
        <f>IF(AN1151=0,I1151,0)</f>
        <v>0</v>
      </c>
      <c r="AK1151" s="55">
        <f>IF(AN1151=12,I1151,0)</f>
        <v>0</v>
      </c>
      <c r="AL1151" s="55">
        <f>IF(AN1151=21,I1151,0)</f>
        <v>0</v>
      </c>
      <c r="AN1151" s="55">
        <v>21</v>
      </c>
      <c r="AO1151" s="55">
        <f>H1151*0.331721765</f>
        <v>0</v>
      </c>
      <c r="AP1151" s="55">
        <f>H1151*(1-0.331721765)</f>
        <v>0</v>
      </c>
      <c r="AQ1151" s="58" t="s">
        <v>125</v>
      </c>
      <c r="AV1151" s="55">
        <f>AW1151+AX1151</f>
        <v>0</v>
      </c>
      <c r="AW1151" s="55">
        <f>G1151*AO1151</f>
        <v>0</v>
      </c>
      <c r="AX1151" s="55">
        <f>G1151*AP1151</f>
        <v>0</v>
      </c>
      <c r="AY1151" s="58" t="s">
        <v>2205</v>
      </c>
      <c r="AZ1151" s="58" t="s">
        <v>2137</v>
      </c>
      <c r="BA1151" s="34" t="s">
        <v>128</v>
      </c>
      <c r="BB1151" s="67">
        <v>100027</v>
      </c>
      <c r="BC1151" s="55">
        <f>AW1151+AX1151</f>
        <v>0</v>
      </c>
      <c r="BD1151" s="55">
        <f>H1151/(100-BE1151)*100</f>
        <v>0</v>
      </c>
      <c r="BE1151" s="55">
        <v>0</v>
      </c>
      <c r="BF1151" s="55">
        <f>K1151</f>
        <v>0.0569544</v>
      </c>
      <c r="BH1151" s="55">
        <f>G1151*AO1151</f>
        <v>0</v>
      </c>
      <c r="BI1151" s="55">
        <f>G1151*AP1151</f>
        <v>0</v>
      </c>
      <c r="BJ1151" s="55">
        <f>G1151*H1151</f>
        <v>0</v>
      </c>
      <c r="BK1151" s="55"/>
      <c r="BL1151" s="55">
        <v>776</v>
      </c>
      <c r="BW1151" s="55">
        <v>21</v>
      </c>
    </row>
    <row r="1152" spans="1:12" ht="13.5" customHeight="1">
      <c r="A1152" s="59"/>
      <c r="D1152" s="218" t="s">
        <v>2206</v>
      </c>
      <c r="E1152" s="219"/>
      <c r="F1152" s="219"/>
      <c r="G1152" s="219"/>
      <c r="H1152" s="219"/>
      <c r="I1152" s="219"/>
      <c r="J1152" s="219"/>
      <c r="K1152" s="219"/>
      <c r="L1152" s="221"/>
    </row>
    <row r="1153" spans="1:12" ht="14.4">
      <c r="A1153" s="59"/>
      <c r="D1153" s="60" t="s">
        <v>2207</v>
      </c>
      <c r="E1153" s="60" t="s">
        <v>869</v>
      </c>
      <c r="G1153" s="68">
        <v>237.31</v>
      </c>
      <c r="L1153" s="69"/>
    </row>
    <row r="1154" spans="1:75" ht="13.5" customHeight="1">
      <c r="A1154" s="1" t="s">
        <v>2208</v>
      </c>
      <c r="B1154" s="2" t="s">
        <v>116</v>
      </c>
      <c r="C1154" s="2" t="s">
        <v>2209</v>
      </c>
      <c r="D1154" s="147" t="s">
        <v>2210</v>
      </c>
      <c r="E1154" s="148"/>
      <c r="F1154" s="2" t="s">
        <v>729</v>
      </c>
      <c r="G1154" s="55">
        <f>'Stavební rozpočet-vyplnit'!G1154</f>
        <v>200.9</v>
      </c>
      <c r="H1154" s="55">
        <f>'Stavební rozpočet-vyplnit'!H1154</f>
        <v>0</v>
      </c>
      <c r="I1154" s="55">
        <f>G1154*H1154</f>
        <v>0</v>
      </c>
      <c r="J1154" s="55">
        <f>'Stavební rozpočet-vyplnit'!J1154</f>
        <v>0.0004</v>
      </c>
      <c r="K1154" s="55">
        <f>G1154*J1154</f>
        <v>0.08036</v>
      </c>
      <c r="L1154" s="57" t="s">
        <v>785</v>
      </c>
      <c r="Z1154" s="55">
        <f>IF(AQ1154="5",BJ1154,0)</f>
        <v>0</v>
      </c>
      <c r="AB1154" s="55">
        <f>IF(AQ1154="1",BH1154,0)</f>
        <v>0</v>
      </c>
      <c r="AC1154" s="55">
        <f>IF(AQ1154="1",BI1154,0)</f>
        <v>0</v>
      </c>
      <c r="AD1154" s="55">
        <f>IF(AQ1154="7",BH1154,0)</f>
        <v>0</v>
      </c>
      <c r="AE1154" s="55">
        <f>IF(AQ1154="7",BI1154,0)</f>
        <v>0</v>
      </c>
      <c r="AF1154" s="55">
        <f>IF(AQ1154="2",BH1154,0)</f>
        <v>0</v>
      </c>
      <c r="AG1154" s="55">
        <f>IF(AQ1154="2",BI1154,0)</f>
        <v>0</v>
      </c>
      <c r="AH1154" s="55">
        <f>IF(AQ1154="0",BJ1154,0)</f>
        <v>0</v>
      </c>
      <c r="AI1154" s="34" t="s">
        <v>116</v>
      </c>
      <c r="AJ1154" s="55">
        <f>IF(AN1154=0,I1154,0)</f>
        <v>0</v>
      </c>
      <c r="AK1154" s="55">
        <f>IF(AN1154=12,I1154,0)</f>
        <v>0</v>
      </c>
      <c r="AL1154" s="55">
        <f>IF(AN1154=21,I1154,0)</f>
        <v>0</v>
      </c>
      <c r="AN1154" s="55">
        <v>21</v>
      </c>
      <c r="AO1154" s="55">
        <f>H1154*0.178154124</f>
        <v>0</v>
      </c>
      <c r="AP1154" s="55">
        <f>H1154*(1-0.178154124)</f>
        <v>0</v>
      </c>
      <c r="AQ1154" s="58" t="s">
        <v>125</v>
      </c>
      <c r="AV1154" s="55">
        <f>AW1154+AX1154</f>
        <v>0</v>
      </c>
      <c r="AW1154" s="55">
        <f>G1154*AO1154</f>
        <v>0</v>
      </c>
      <c r="AX1154" s="55">
        <f>G1154*AP1154</f>
        <v>0</v>
      </c>
      <c r="AY1154" s="58" t="s">
        <v>2205</v>
      </c>
      <c r="AZ1154" s="58" t="s">
        <v>2137</v>
      </c>
      <c r="BA1154" s="34" t="s">
        <v>128</v>
      </c>
      <c r="BB1154" s="67">
        <v>100027</v>
      </c>
      <c r="BC1154" s="55">
        <f>AW1154+AX1154</f>
        <v>0</v>
      </c>
      <c r="BD1154" s="55">
        <f>H1154/(100-BE1154)*100</f>
        <v>0</v>
      </c>
      <c r="BE1154" s="55">
        <v>0</v>
      </c>
      <c r="BF1154" s="55">
        <f>K1154</f>
        <v>0.08036</v>
      </c>
      <c r="BH1154" s="55">
        <f>G1154*AO1154</f>
        <v>0</v>
      </c>
      <c r="BI1154" s="55">
        <f>G1154*AP1154</f>
        <v>0</v>
      </c>
      <c r="BJ1154" s="55">
        <f>G1154*H1154</f>
        <v>0</v>
      </c>
      <c r="BK1154" s="55"/>
      <c r="BL1154" s="55">
        <v>776</v>
      </c>
      <c r="BW1154" s="55">
        <v>21</v>
      </c>
    </row>
    <row r="1155" spans="1:12" ht="14.4">
      <c r="A1155" s="59"/>
      <c r="D1155" s="60" t="s">
        <v>2211</v>
      </c>
      <c r="E1155" s="60" t="s">
        <v>869</v>
      </c>
      <c r="G1155" s="68">
        <v>200.9</v>
      </c>
      <c r="L1155" s="69"/>
    </row>
    <row r="1156" spans="1:75" ht="13.5" customHeight="1">
      <c r="A1156" s="61" t="s">
        <v>2212</v>
      </c>
      <c r="B1156" s="62" t="s">
        <v>116</v>
      </c>
      <c r="C1156" s="62" t="s">
        <v>2213</v>
      </c>
      <c r="D1156" s="224" t="s">
        <v>2214</v>
      </c>
      <c r="E1156" s="225"/>
      <c r="F1156" s="62" t="s">
        <v>729</v>
      </c>
      <c r="G1156" s="63">
        <f>'Stavební rozpočet-vyplnit'!G1156</f>
        <v>210.94</v>
      </c>
      <c r="H1156" s="63">
        <f>'Stavební rozpočet-vyplnit'!H1156</f>
        <v>0</v>
      </c>
      <c r="I1156" s="63">
        <f>G1156*H1156</f>
        <v>0</v>
      </c>
      <c r="J1156" s="63">
        <f>'Stavební rozpočet-vyplnit'!J1156</f>
        <v>0.0034</v>
      </c>
      <c r="K1156" s="63">
        <f>G1156*J1156</f>
        <v>0.717196</v>
      </c>
      <c r="L1156" s="65" t="s">
        <v>1110</v>
      </c>
      <c r="Z1156" s="55">
        <f>IF(AQ1156="5",BJ1156,0)</f>
        <v>0</v>
      </c>
      <c r="AB1156" s="55">
        <f>IF(AQ1156="1",BH1156,0)</f>
        <v>0</v>
      </c>
      <c r="AC1156" s="55">
        <f>IF(AQ1156="1",BI1156,0)</f>
        <v>0</v>
      </c>
      <c r="AD1156" s="55">
        <f>IF(AQ1156="7",BH1156,0)</f>
        <v>0</v>
      </c>
      <c r="AE1156" s="55">
        <f>IF(AQ1156="7",BI1156,0)</f>
        <v>0</v>
      </c>
      <c r="AF1156" s="55">
        <f>IF(AQ1156="2",BH1156,0)</f>
        <v>0</v>
      </c>
      <c r="AG1156" s="55">
        <f>IF(AQ1156="2",BI1156,0)</f>
        <v>0</v>
      </c>
      <c r="AH1156" s="55">
        <f>IF(AQ1156="0",BJ1156,0)</f>
        <v>0</v>
      </c>
      <c r="AI1156" s="34" t="s">
        <v>116</v>
      </c>
      <c r="AJ1156" s="63">
        <f>IF(AN1156=0,I1156,0)</f>
        <v>0</v>
      </c>
      <c r="AK1156" s="63">
        <f>IF(AN1156=12,I1156,0)</f>
        <v>0</v>
      </c>
      <c r="AL1156" s="63">
        <f>IF(AN1156=21,I1156,0)</f>
        <v>0</v>
      </c>
      <c r="AN1156" s="55">
        <v>21</v>
      </c>
      <c r="AO1156" s="55">
        <f>H1156*1</f>
        <v>0</v>
      </c>
      <c r="AP1156" s="55">
        <f>H1156*(1-1)</f>
        <v>0</v>
      </c>
      <c r="AQ1156" s="66" t="s">
        <v>125</v>
      </c>
      <c r="AV1156" s="55">
        <f>AW1156+AX1156</f>
        <v>0</v>
      </c>
      <c r="AW1156" s="55">
        <f>G1156*AO1156</f>
        <v>0</v>
      </c>
      <c r="AX1156" s="55">
        <f>G1156*AP1156</f>
        <v>0</v>
      </c>
      <c r="AY1156" s="58" t="s">
        <v>2205</v>
      </c>
      <c r="AZ1156" s="58" t="s">
        <v>2137</v>
      </c>
      <c r="BA1156" s="34" t="s">
        <v>128</v>
      </c>
      <c r="BC1156" s="55">
        <f>AW1156+AX1156</f>
        <v>0</v>
      </c>
      <c r="BD1156" s="55">
        <f>H1156/(100-BE1156)*100</f>
        <v>0</v>
      </c>
      <c r="BE1156" s="55">
        <v>0</v>
      </c>
      <c r="BF1156" s="55">
        <f>K1156</f>
        <v>0.717196</v>
      </c>
      <c r="BH1156" s="63">
        <f>G1156*AO1156</f>
        <v>0</v>
      </c>
      <c r="BI1156" s="63">
        <f>G1156*AP1156</f>
        <v>0</v>
      </c>
      <c r="BJ1156" s="63">
        <f>G1156*H1156</f>
        <v>0</v>
      </c>
      <c r="BK1156" s="63"/>
      <c r="BL1156" s="55">
        <v>776</v>
      </c>
      <c r="BW1156" s="55">
        <v>21</v>
      </c>
    </row>
    <row r="1157" spans="1:12" ht="14.4">
      <c r="A1157" s="59"/>
      <c r="D1157" s="60" t="s">
        <v>2211</v>
      </c>
      <c r="E1157" s="60" t="s">
        <v>2215</v>
      </c>
      <c r="G1157" s="68">
        <v>200.9</v>
      </c>
      <c r="L1157" s="69"/>
    </row>
    <row r="1158" spans="1:12" ht="14.4">
      <c r="A1158" s="59"/>
      <c r="D1158" s="60" t="s">
        <v>2216</v>
      </c>
      <c r="E1158" s="60" t="s">
        <v>4</v>
      </c>
      <c r="G1158" s="68">
        <v>10.04</v>
      </c>
      <c r="L1158" s="69"/>
    </row>
    <row r="1159" spans="1:75" ht="13.5" customHeight="1">
      <c r="A1159" s="1" t="s">
        <v>2217</v>
      </c>
      <c r="B1159" s="2" t="s">
        <v>116</v>
      </c>
      <c r="C1159" s="2" t="s">
        <v>2218</v>
      </c>
      <c r="D1159" s="147" t="s">
        <v>2219</v>
      </c>
      <c r="E1159" s="148"/>
      <c r="F1159" s="2" t="s">
        <v>174</v>
      </c>
      <c r="G1159" s="55">
        <f>'Stavební rozpočet-vyplnit'!G1159</f>
        <v>10</v>
      </c>
      <c r="H1159" s="55">
        <f>'Stavební rozpočet-vyplnit'!H1159</f>
        <v>0</v>
      </c>
      <c r="I1159" s="55">
        <f>G1159*H1159</f>
        <v>0</v>
      </c>
      <c r="J1159" s="55">
        <f>'Stavební rozpočet-vyplnit'!J1159</f>
        <v>0.00037</v>
      </c>
      <c r="K1159" s="55">
        <f>G1159*J1159</f>
        <v>0.0037</v>
      </c>
      <c r="L1159" s="57" t="s">
        <v>785</v>
      </c>
      <c r="Z1159" s="55">
        <f>IF(AQ1159="5",BJ1159,0)</f>
        <v>0</v>
      </c>
      <c r="AB1159" s="55">
        <f>IF(AQ1159="1",BH1159,0)</f>
        <v>0</v>
      </c>
      <c r="AC1159" s="55">
        <f>IF(AQ1159="1",BI1159,0)</f>
        <v>0</v>
      </c>
      <c r="AD1159" s="55">
        <f>IF(AQ1159="7",BH1159,0)</f>
        <v>0</v>
      </c>
      <c r="AE1159" s="55">
        <f>IF(AQ1159="7",BI1159,0)</f>
        <v>0</v>
      </c>
      <c r="AF1159" s="55">
        <f>IF(AQ1159="2",BH1159,0)</f>
        <v>0</v>
      </c>
      <c r="AG1159" s="55">
        <f>IF(AQ1159="2",BI1159,0)</f>
        <v>0</v>
      </c>
      <c r="AH1159" s="55">
        <f>IF(AQ1159="0",BJ1159,0)</f>
        <v>0</v>
      </c>
      <c r="AI1159" s="34" t="s">
        <v>116</v>
      </c>
      <c r="AJ1159" s="55">
        <f>IF(AN1159=0,I1159,0)</f>
        <v>0</v>
      </c>
      <c r="AK1159" s="55">
        <f>IF(AN1159=12,I1159,0)</f>
        <v>0</v>
      </c>
      <c r="AL1159" s="55">
        <f>IF(AN1159=21,I1159,0)</f>
        <v>0</v>
      </c>
      <c r="AN1159" s="55">
        <v>21</v>
      </c>
      <c r="AO1159" s="55">
        <f>H1159*0.662874016</f>
        <v>0</v>
      </c>
      <c r="AP1159" s="55">
        <f>H1159*(1-0.662874016)</f>
        <v>0</v>
      </c>
      <c r="AQ1159" s="58" t="s">
        <v>125</v>
      </c>
      <c r="AV1159" s="55">
        <f>AW1159+AX1159</f>
        <v>0</v>
      </c>
      <c r="AW1159" s="55">
        <f>G1159*AO1159</f>
        <v>0</v>
      </c>
      <c r="AX1159" s="55">
        <f>G1159*AP1159</f>
        <v>0</v>
      </c>
      <c r="AY1159" s="58" t="s">
        <v>2205</v>
      </c>
      <c r="AZ1159" s="58" t="s">
        <v>2137</v>
      </c>
      <c r="BA1159" s="34" t="s">
        <v>128</v>
      </c>
      <c r="BB1159" s="67">
        <v>100027</v>
      </c>
      <c r="BC1159" s="55">
        <f>AW1159+AX1159</f>
        <v>0</v>
      </c>
      <c r="BD1159" s="55">
        <f>H1159/(100-BE1159)*100</f>
        <v>0</v>
      </c>
      <c r="BE1159" s="55">
        <v>0</v>
      </c>
      <c r="BF1159" s="55">
        <f>K1159</f>
        <v>0.0037</v>
      </c>
      <c r="BH1159" s="55">
        <f>G1159*AO1159</f>
        <v>0</v>
      </c>
      <c r="BI1159" s="55">
        <f>G1159*AP1159</f>
        <v>0</v>
      </c>
      <c r="BJ1159" s="55">
        <f>G1159*H1159</f>
        <v>0</v>
      </c>
      <c r="BK1159" s="55"/>
      <c r="BL1159" s="55">
        <v>776</v>
      </c>
      <c r="BW1159" s="55">
        <v>21</v>
      </c>
    </row>
    <row r="1160" spans="1:12" ht="13.5" customHeight="1">
      <c r="A1160" s="59"/>
      <c r="D1160" s="218" t="s">
        <v>2220</v>
      </c>
      <c r="E1160" s="219"/>
      <c r="F1160" s="219"/>
      <c r="G1160" s="219"/>
      <c r="H1160" s="219"/>
      <c r="I1160" s="219"/>
      <c r="J1160" s="219"/>
      <c r="K1160" s="219"/>
      <c r="L1160" s="221"/>
    </row>
    <row r="1161" spans="1:12" ht="14.4">
      <c r="A1161" s="59"/>
      <c r="D1161" s="60" t="s">
        <v>153</v>
      </c>
      <c r="E1161" s="60" t="s">
        <v>1709</v>
      </c>
      <c r="G1161" s="68">
        <v>10</v>
      </c>
      <c r="L1161" s="69"/>
    </row>
    <row r="1162" spans="1:75" ht="13.5" customHeight="1">
      <c r="A1162" s="1" t="s">
        <v>2221</v>
      </c>
      <c r="B1162" s="2" t="s">
        <v>116</v>
      </c>
      <c r="C1162" s="2" t="s">
        <v>2222</v>
      </c>
      <c r="D1162" s="147" t="s">
        <v>2223</v>
      </c>
      <c r="E1162" s="148"/>
      <c r="F1162" s="2" t="s">
        <v>729</v>
      </c>
      <c r="G1162" s="55">
        <f>'Stavební rozpočet-vyplnit'!G1162</f>
        <v>74.9</v>
      </c>
      <c r="H1162" s="55">
        <f>'Stavební rozpočet-vyplnit'!H1162</f>
        <v>0</v>
      </c>
      <c r="I1162" s="55">
        <f>G1162*H1162</f>
        <v>0</v>
      </c>
      <c r="J1162" s="55">
        <f>'Stavební rozpočet-vyplnit'!J1162</f>
        <v>0.00042</v>
      </c>
      <c r="K1162" s="55">
        <f>G1162*J1162</f>
        <v>0.03145800000000001</v>
      </c>
      <c r="L1162" s="57" t="s">
        <v>785</v>
      </c>
      <c r="Z1162" s="55">
        <f>IF(AQ1162="5",BJ1162,0)</f>
        <v>0</v>
      </c>
      <c r="AB1162" s="55">
        <f>IF(AQ1162="1",BH1162,0)</f>
        <v>0</v>
      </c>
      <c r="AC1162" s="55">
        <f>IF(AQ1162="1",BI1162,0)</f>
        <v>0</v>
      </c>
      <c r="AD1162" s="55">
        <f>IF(AQ1162="7",BH1162,0)</f>
        <v>0</v>
      </c>
      <c r="AE1162" s="55">
        <f>IF(AQ1162="7",BI1162,0)</f>
        <v>0</v>
      </c>
      <c r="AF1162" s="55">
        <f>IF(AQ1162="2",BH1162,0)</f>
        <v>0</v>
      </c>
      <c r="AG1162" s="55">
        <f>IF(AQ1162="2",BI1162,0)</f>
        <v>0</v>
      </c>
      <c r="AH1162" s="55">
        <f>IF(AQ1162="0",BJ1162,0)</f>
        <v>0</v>
      </c>
      <c r="AI1162" s="34" t="s">
        <v>116</v>
      </c>
      <c r="AJ1162" s="55">
        <f>IF(AN1162=0,I1162,0)</f>
        <v>0</v>
      </c>
      <c r="AK1162" s="55">
        <f>IF(AN1162=12,I1162,0)</f>
        <v>0</v>
      </c>
      <c r="AL1162" s="55">
        <f>IF(AN1162=21,I1162,0)</f>
        <v>0</v>
      </c>
      <c r="AN1162" s="55">
        <v>21</v>
      </c>
      <c r="AO1162" s="55">
        <f>H1162*0.304174229</f>
        <v>0</v>
      </c>
      <c r="AP1162" s="55">
        <f>H1162*(1-0.304174229)</f>
        <v>0</v>
      </c>
      <c r="AQ1162" s="58" t="s">
        <v>125</v>
      </c>
      <c r="AV1162" s="55">
        <f>AW1162+AX1162</f>
        <v>0</v>
      </c>
      <c r="AW1162" s="55">
        <f>G1162*AO1162</f>
        <v>0</v>
      </c>
      <c r="AX1162" s="55">
        <f>G1162*AP1162</f>
        <v>0</v>
      </c>
      <c r="AY1162" s="58" t="s">
        <v>2205</v>
      </c>
      <c r="AZ1162" s="58" t="s">
        <v>2137</v>
      </c>
      <c r="BA1162" s="34" t="s">
        <v>128</v>
      </c>
      <c r="BB1162" s="67">
        <v>100027</v>
      </c>
      <c r="BC1162" s="55">
        <f>AW1162+AX1162</f>
        <v>0</v>
      </c>
      <c r="BD1162" s="55">
        <f>H1162/(100-BE1162)*100</f>
        <v>0</v>
      </c>
      <c r="BE1162" s="55">
        <v>0</v>
      </c>
      <c r="BF1162" s="55">
        <f>K1162</f>
        <v>0.03145800000000001</v>
      </c>
      <c r="BH1162" s="55">
        <f>G1162*AO1162</f>
        <v>0</v>
      </c>
      <c r="BI1162" s="55">
        <f>G1162*AP1162</f>
        <v>0</v>
      </c>
      <c r="BJ1162" s="55">
        <f>G1162*H1162</f>
        <v>0</v>
      </c>
      <c r="BK1162" s="55"/>
      <c r="BL1162" s="55">
        <v>776</v>
      </c>
      <c r="BW1162" s="55">
        <v>21</v>
      </c>
    </row>
    <row r="1163" spans="1:12" ht="14.4">
      <c r="A1163" s="59"/>
      <c r="D1163" s="60" t="s">
        <v>2224</v>
      </c>
      <c r="E1163" s="60" t="s">
        <v>869</v>
      </c>
      <c r="G1163" s="68">
        <v>74.9</v>
      </c>
      <c r="L1163" s="69"/>
    </row>
    <row r="1164" spans="1:75" ht="13.5" customHeight="1">
      <c r="A1164" s="61" t="s">
        <v>2225</v>
      </c>
      <c r="B1164" s="62" t="s">
        <v>116</v>
      </c>
      <c r="C1164" s="62" t="s">
        <v>2226</v>
      </c>
      <c r="D1164" s="224" t="s">
        <v>2227</v>
      </c>
      <c r="E1164" s="225"/>
      <c r="F1164" s="62" t="s">
        <v>729</v>
      </c>
      <c r="G1164" s="63">
        <f>'Stavební rozpočet-vyplnit'!G1164</f>
        <v>78.65</v>
      </c>
      <c r="H1164" s="63">
        <f>'Stavební rozpočet-vyplnit'!H1164</f>
        <v>0</v>
      </c>
      <c r="I1164" s="63">
        <f>G1164*H1164</f>
        <v>0</v>
      </c>
      <c r="J1164" s="63">
        <f>'Stavební rozpočet-vyplnit'!J1164</f>
        <v>0.003</v>
      </c>
      <c r="K1164" s="63">
        <f>G1164*J1164</f>
        <v>0.23595000000000002</v>
      </c>
      <c r="L1164" s="65" t="s">
        <v>785</v>
      </c>
      <c r="Z1164" s="55">
        <f>IF(AQ1164="5",BJ1164,0)</f>
        <v>0</v>
      </c>
      <c r="AB1164" s="55">
        <f>IF(AQ1164="1",BH1164,0)</f>
        <v>0</v>
      </c>
      <c r="AC1164" s="55">
        <f>IF(AQ1164="1",BI1164,0)</f>
        <v>0</v>
      </c>
      <c r="AD1164" s="55">
        <f>IF(AQ1164="7",BH1164,0)</f>
        <v>0</v>
      </c>
      <c r="AE1164" s="55">
        <f>IF(AQ1164="7",BI1164,0)</f>
        <v>0</v>
      </c>
      <c r="AF1164" s="55">
        <f>IF(AQ1164="2",BH1164,0)</f>
        <v>0</v>
      </c>
      <c r="AG1164" s="55">
        <f>IF(AQ1164="2",BI1164,0)</f>
        <v>0</v>
      </c>
      <c r="AH1164" s="55">
        <f>IF(AQ1164="0",BJ1164,0)</f>
        <v>0</v>
      </c>
      <c r="AI1164" s="34" t="s">
        <v>116</v>
      </c>
      <c r="AJ1164" s="63">
        <f>IF(AN1164=0,I1164,0)</f>
        <v>0</v>
      </c>
      <c r="AK1164" s="63">
        <f>IF(AN1164=12,I1164,0)</f>
        <v>0</v>
      </c>
      <c r="AL1164" s="63">
        <f>IF(AN1164=21,I1164,0)</f>
        <v>0</v>
      </c>
      <c r="AN1164" s="55">
        <v>21</v>
      </c>
      <c r="AO1164" s="55">
        <f>H1164*1</f>
        <v>0</v>
      </c>
      <c r="AP1164" s="55">
        <f>H1164*(1-1)</f>
        <v>0</v>
      </c>
      <c r="AQ1164" s="66" t="s">
        <v>125</v>
      </c>
      <c r="AV1164" s="55">
        <f>AW1164+AX1164</f>
        <v>0</v>
      </c>
      <c r="AW1164" s="55">
        <f>G1164*AO1164</f>
        <v>0</v>
      </c>
      <c r="AX1164" s="55">
        <f>G1164*AP1164</f>
        <v>0</v>
      </c>
      <c r="AY1164" s="58" t="s">
        <v>2205</v>
      </c>
      <c r="AZ1164" s="58" t="s">
        <v>2137</v>
      </c>
      <c r="BA1164" s="34" t="s">
        <v>128</v>
      </c>
      <c r="BC1164" s="55">
        <f>AW1164+AX1164</f>
        <v>0</v>
      </c>
      <c r="BD1164" s="55">
        <f>H1164/(100-BE1164)*100</f>
        <v>0</v>
      </c>
      <c r="BE1164" s="55">
        <v>0</v>
      </c>
      <c r="BF1164" s="55">
        <f>K1164</f>
        <v>0.23595000000000002</v>
      </c>
      <c r="BH1164" s="63">
        <f>G1164*AO1164</f>
        <v>0</v>
      </c>
      <c r="BI1164" s="63">
        <f>G1164*AP1164</f>
        <v>0</v>
      </c>
      <c r="BJ1164" s="63">
        <f>G1164*H1164</f>
        <v>0</v>
      </c>
      <c r="BK1164" s="63"/>
      <c r="BL1164" s="55">
        <v>776</v>
      </c>
      <c r="BW1164" s="55">
        <v>21</v>
      </c>
    </row>
    <row r="1165" spans="1:12" ht="14.4">
      <c r="A1165" s="59"/>
      <c r="D1165" s="60" t="s">
        <v>2224</v>
      </c>
      <c r="E1165" s="60" t="s">
        <v>4</v>
      </c>
      <c r="G1165" s="68">
        <v>74.9</v>
      </c>
      <c r="L1165" s="69"/>
    </row>
    <row r="1166" spans="1:12" ht="14.4">
      <c r="A1166" s="59"/>
      <c r="D1166" s="60" t="s">
        <v>2228</v>
      </c>
      <c r="E1166" s="60" t="s">
        <v>4</v>
      </c>
      <c r="G1166" s="68">
        <v>3.75</v>
      </c>
      <c r="L1166" s="69"/>
    </row>
    <row r="1167" spans="1:75" ht="13.5" customHeight="1">
      <c r="A1167" s="1" t="s">
        <v>2229</v>
      </c>
      <c r="B1167" s="2" t="s">
        <v>116</v>
      </c>
      <c r="C1167" s="2" t="s">
        <v>2230</v>
      </c>
      <c r="D1167" s="147" t="s">
        <v>2231</v>
      </c>
      <c r="E1167" s="148"/>
      <c r="F1167" s="2" t="s">
        <v>729</v>
      </c>
      <c r="G1167" s="55">
        <f>'Stavební rozpočet-vyplnit'!G1167</f>
        <v>2.6</v>
      </c>
      <c r="H1167" s="55">
        <f>'Stavební rozpočet-vyplnit'!H1167</f>
        <v>0</v>
      </c>
      <c r="I1167" s="55">
        <f>G1167*H1167</f>
        <v>0</v>
      </c>
      <c r="J1167" s="55">
        <f>'Stavební rozpočet-vyplnit'!J1167</f>
        <v>0.0025</v>
      </c>
      <c r="K1167" s="55">
        <f>G1167*J1167</f>
        <v>0.006500000000000001</v>
      </c>
      <c r="L1167" s="57" t="s">
        <v>785</v>
      </c>
      <c r="Z1167" s="55">
        <f>IF(AQ1167="5",BJ1167,0)</f>
        <v>0</v>
      </c>
      <c r="AB1167" s="55">
        <f>IF(AQ1167="1",BH1167,0)</f>
        <v>0</v>
      </c>
      <c r="AC1167" s="55">
        <f>IF(AQ1167="1",BI1167,0)</f>
        <v>0</v>
      </c>
      <c r="AD1167" s="55">
        <f>IF(AQ1167="7",BH1167,0)</f>
        <v>0</v>
      </c>
      <c r="AE1167" s="55">
        <f>IF(AQ1167="7",BI1167,0)</f>
        <v>0</v>
      </c>
      <c r="AF1167" s="55">
        <f>IF(AQ1167="2",BH1167,0)</f>
        <v>0</v>
      </c>
      <c r="AG1167" s="55">
        <f>IF(AQ1167="2",BI1167,0)</f>
        <v>0</v>
      </c>
      <c r="AH1167" s="55">
        <f>IF(AQ1167="0",BJ1167,0)</f>
        <v>0</v>
      </c>
      <c r="AI1167" s="34" t="s">
        <v>116</v>
      </c>
      <c r="AJ1167" s="55">
        <f>IF(AN1167=0,I1167,0)</f>
        <v>0</v>
      </c>
      <c r="AK1167" s="55">
        <f>IF(AN1167=12,I1167,0)</f>
        <v>0</v>
      </c>
      <c r="AL1167" s="55">
        <f>IF(AN1167=21,I1167,0)</f>
        <v>0</v>
      </c>
      <c r="AN1167" s="55">
        <v>21</v>
      </c>
      <c r="AO1167" s="55">
        <f>H1167*0.986774648</f>
        <v>0</v>
      </c>
      <c r="AP1167" s="55">
        <f>H1167*(1-0.986774648)</f>
        <v>0</v>
      </c>
      <c r="AQ1167" s="58" t="s">
        <v>125</v>
      </c>
      <c r="AV1167" s="55">
        <f>AW1167+AX1167</f>
        <v>0</v>
      </c>
      <c r="AW1167" s="55">
        <f>G1167*AO1167</f>
        <v>0</v>
      </c>
      <c r="AX1167" s="55">
        <f>G1167*AP1167</f>
        <v>0</v>
      </c>
      <c r="AY1167" s="58" t="s">
        <v>2205</v>
      </c>
      <c r="AZ1167" s="58" t="s">
        <v>2137</v>
      </c>
      <c r="BA1167" s="34" t="s">
        <v>128</v>
      </c>
      <c r="BB1167" s="67">
        <v>100027</v>
      </c>
      <c r="BC1167" s="55">
        <f>AW1167+AX1167</f>
        <v>0</v>
      </c>
      <c r="BD1167" s="55">
        <f>H1167/(100-BE1167)*100</f>
        <v>0</v>
      </c>
      <c r="BE1167" s="55">
        <v>0</v>
      </c>
      <c r="BF1167" s="55">
        <f>K1167</f>
        <v>0.006500000000000001</v>
      </c>
      <c r="BH1167" s="55">
        <f>G1167*AO1167</f>
        <v>0</v>
      </c>
      <c r="BI1167" s="55">
        <f>G1167*AP1167</f>
        <v>0</v>
      </c>
      <c r="BJ1167" s="55">
        <f>G1167*H1167</f>
        <v>0</v>
      </c>
      <c r="BK1167" s="55"/>
      <c r="BL1167" s="55">
        <v>776</v>
      </c>
      <c r="BW1167" s="55">
        <v>21</v>
      </c>
    </row>
    <row r="1168" spans="1:12" ht="14.4">
      <c r="A1168" s="59"/>
      <c r="D1168" s="60" t="s">
        <v>2232</v>
      </c>
      <c r="E1168" s="60" t="s">
        <v>4</v>
      </c>
      <c r="G1168" s="68">
        <v>2.6</v>
      </c>
      <c r="L1168" s="69"/>
    </row>
    <row r="1169" spans="1:75" ht="13.5" customHeight="1">
      <c r="A1169" s="1" t="s">
        <v>2233</v>
      </c>
      <c r="B1169" s="2" t="s">
        <v>116</v>
      </c>
      <c r="C1169" s="2" t="s">
        <v>2234</v>
      </c>
      <c r="D1169" s="147" t="s">
        <v>2235</v>
      </c>
      <c r="E1169" s="148"/>
      <c r="F1169" s="2" t="s">
        <v>729</v>
      </c>
      <c r="G1169" s="55">
        <f>'Stavební rozpočet-vyplnit'!G1169</f>
        <v>255.8</v>
      </c>
      <c r="H1169" s="55">
        <f>'Stavební rozpočet-vyplnit'!H1169</f>
        <v>0</v>
      </c>
      <c r="I1169" s="55">
        <f>G1169*H1169</f>
        <v>0</v>
      </c>
      <c r="J1169" s="55">
        <f>'Stavební rozpočet-vyplnit'!J1169</f>
        <v>3E-05</v>
      </c>
      <c r="K1169" s="55">
        <f>G1169*J1169</f>
        <v>0.007674</v>
      </c>
      <c r="L1169" s="57" t="s">
        <v>785</v>
      </c>
      <c r="Z1169" s="55">
        <f>IF(AQ1169="5",BJ1169,0)</f>
        <v>0</v>
      </c>
      <c r="AB1169" s="55">
        <f>IF(AQ1169="1",BH1169,0)</f>
        <v>0</v>
      </c>
      <c r="AC1169" s="55">
        <f>IF(AQ1169="1",BI1169,0)</f>
        <v>0</v>
      </c>
      <c r="AD1169" s="55">
        <f>IF(AQ1169="7",BH1169,0)</f>
        <v>0</v>
      </c>
      <c r="AE1169" s="55">
        <f>IF(AQ1169="7",BI1169,0)</f>
        <v>0</v>
      </c>
      <c r="AF1169" s="55">
        <f>IF(AQ1169="2",BH1169,0)</f>
        <v>0</v>
      </c>
      <c r="AG1169" s="55">
        <f>IF(AQ1169="2",BI1169,0)</f>
        <v>0</v>
      </c>
      <c r="AH1169" s="55">
        <f>IF(AQ1169="0",BJ1169,0)</f>
        <v>0</v>
      </c>
      <c r="AI1169" s="34" t="s">
        <v>116</v>
      </c>
      <c r="AJ1169" s="55">
        <f>IF(AN1169=0,I1169,0)</f>
        <v>0</v>
      </c>
      <c r="AK1169" s="55">
        <f>IF(AN1169=12,I1169,0)</f>
        <v>0</v>
      </c>
      <c r="AL1169" s="55">
        <f>IF(AN1169=21,I1169,0)</f>
        <v>0</v>
      </c>
      <c r="AN1169" s="55">
        <v>21</v>
      </c>
      <c r="AO1169" s="55">
        <f>H1169*0.228357321</f>
        <v>0</v>
      </c>
      <c r="AP1169" s="55">
        <f>H1169*(1-0.228357321)</f>
        <v>0</v>
      </c>
      <c r="AQ1169" s="58" t="s">
        <v>125</v>
      </c>
      <c r="AV1169" s="55">
        <f>AW1169+AX1169</f>
        <v>0</v>
      </c>
      <c r="AW1169" s="55">
        <f>G1169*AO1169</f>
        <v>0</v>
      </c>
      <c r="AX1169" s="55">
        <f>G1169*AP1169</f>
        <v>0</v>
      </c>
      <c r="AY1169" s="58" t="s">
        <v>2205</v>
      </c>
      <c r="AZ1169" s="58" t="s">
        <v>2137</v>
      </c>
      <c r="BA1169" s="34" t="s">
        <v>128</v>
      </c>
      <c r="BB1169" s="67">
        <v>100027</v>
      </c>
      <c r="BC1169" s="55">
        <f>AW1169+AX1169</f>
        <v>0</v>
      </c>
      <c r="BD1169" s="55">
        <f>H1169/(100-BE1169)*100</f>
        <v>0</v>
      </c>
      <c r="BE1169" s="55">
        <v>0</v>
      </c>
      <c r="BF1169" s="55">
        <f>K1169</f>
        <v>0.007674</v>
      </c>
      <c r="BH1169" s="55">
        <f>G1169*AO1169</f>
        <v>0</v>
      </c>
      <c r="BI1169" s="55">
        <f>G1169*AP1169</f>
        <v>0</v>
      </c>
      <c r="BJ1169" s="55">
        <f>G1169*H1169</f>
        <v>0</v>
      </c>
      <c r="BK1169" s="55"/>
      <c r="BL1169" s="55">
        <v>776</v>
      </c>
      <c r="BW1169" s="55">
        <v>21</v>
      </c>
    </row>
    <row r="1170" spans="1:12" ht="14.4">
      <c r="A1170" s="59"/>
      <c r="D1170" s="60" t="s">
        <v>2236</v>
      </c>
      <c r="E1170" s="60" t="s">
        <v>4</v>
      </c>
      <c r="G1170" s="68">
        <v>180.9</v>
      </c>
      <c r="L1170" s="69"/>
    </row>
    <row r="1171" spans="1:12" ht="14.4">
      <c r="A1171" s="59"/>
      <c r="D1171" s="60" t="s">
        <v>2224</v>
      </c>
      <c r="E1171" s="60" t="s">
        <v>4</v>
      </c>
      <c r="G1171" s="68">
        <v>74.9</v>
      </c>
      <c r="L1171" s="69"/>
    </row>
    <row r="1172" spans="1:75" ht="13.5" customHeight="1">
      <c r="A1172" s="1" t="s">
        <v>2237</v>
      </c>
      <c r="B1172" s="2" t="s">
        <v>116</v>
      </c>
      <c r="C1172" s="2" t="s">
        <v>2238</v>
      </c>
      <c r="D1172" s="147" t="s">
        <v>2239</v>
      </c>
      <c r="E1172" s="148"/>
      <c r="F1172" s="2" t="s">
        <v>939</v>
      </c>
      <c r="G1172" s="55">
        <f>'Stavební rozpočet-vyplnit'!G1172</f>
        <v>1.14</v>
      </c>
      <c r="H1172" s="55">
        <f>'Stavební rozpočet-vyplnit'!H1172</f>
        <v>0</v>
      </c>
      <c r="I1172" s="55">
        <f>G1172*H1172</f>
        <v>0</v>
      </c>
      <c r="J1172" s="55">
        <f>'Stavební rozpočet-vyplnit'!J1172</f>
        <v>0</v>
      </c>
      <c r="K1172" s="55">
        <f>G1172*J1172</f>
        <v>0</v>
      </c>
      <c r="L1172" s="57" t="s">
        <v>785</v>
      </c>
      <c r="Z1172" s="55">
        <f>IF(AQ1172="5",BJ1172,0)</f>
        <v>0</v>
      </c>
      <c r="AB1172" s="55">
        <f>IF(AQ1172="1",BH1172,0)</f>
        <v>0</v>
      </c>
      <c r="AC1172" s="55">
        <f>IF(AQ1172="1",BI1172,0)</f>
        <v>0</v>
      </c>
      <c r="AD1172" s="55">
        <f>IF(AQ1172="7",BH1172,0)</f>
        <v>0</v>
      </c>
      <c r="AE1172" s="55">
        <f>IF(AQ1172="7",BI1172,0)</f>
        <v>0</v>
      </c>
      <c r="AF1172" s="55">
        <f>IF(AQ1172="2",BH1172,0)</f>
        <v>0</v>
      </c>
      <c r="AG1172" s="55">
        <f>IF(AQ1172="2",BI1172,0)</f>
        <v>0</v>
      </c>
      <c r="AH1172" s="55">
        <f>IF(AQ1172="0",BJ1172,0)</f>
        <v>0</v>
      </c>
      <c r="AI1172" s="34" t="s">
        <v>116</v>
      </c>
      <c r="AJ1172" s="55">
        <f>IF(AN1172=0,I1172,0)</f>
        <v>0</v>
      </c>
      <c r="AK1172" s="55">
        <f>IF(AN1172=12,I1172,0)</f>
        <v>0</v>
      </c>
      <c r="AL1172" s="55">
        <f>IF(AN1172=21,I1172,0)</f>
        <v>0</v>
      </c>
      <c r="AN1172" s="55">
        <v>21</v>
      </c>
      <c r="AO1172" s="55">
        <f>H1172*0</f>
        <v>0</v>
      </c>
      <c r="AP1172" s="55">
        <f>H1172*(1-0)</f>
        <v>0</v>
      </c>
      <c r="AQ1172" s="58" t="s">
        <v>139</v>
      </c>
      <c r="AV1172" s="55">
        <f>AW1172+AX1172</f>
        <v>0</v>
      </c>
      <c r="AW1172" s="55">
        <f>G1172*AO1172</f>
        <v>0</v>
      </c>
      <c r="AX1172" s="55">
        <f>G1172*AP1172</f>
        <v>0</v>
      </c>
      <c r="AY1172" s="58" t="s">
        <v>2205</v>
      </c>
      <c r="AZ1172" s="58" t="s">
        <v>2137</v>
      </c>
      <c r="BA1172" s="34" t="s">
        <v>128</v>
      </c>
      <c r="BC1172" s="55">
        <f>AW1172+AX1172</f>
        <v>0</v>
      </c>
      <c r="BD1172" s="55">
        <f>H1172/(100-BE1172)*100</f>
        <v>0</v>
      </c>
      <c r="BE1172" s="55">
        <v>0</v>
      </c>
      <c r="BF1172" s="55">
        <f>K1172</f>
        <v>0</v>
      </c>
      <c r="BH1172" s="55">
        <f>G1172*AO1172</f>
        <v>0</v>
      </c>
      <c r="BI1172" s="55">
        <f>G1172*AP1172</f>
        <v>0</v>
      </c>
      <c r="BJ1172" s="55">
        <f>G1172*H1172</f>
        <v>0</v>
      </c>
      <c r="BK1172" s="55"/>
      <c r="BL1172" s="55">
        <v>776</v>
      </c>
      <c r="BW1172" s="55">
        <v>21</v>
      </c>
    </row>
    <row r="1173" spans="1:12" ht="14.4">
      <c r="A1173" s="59"/>
      <c r="D1173" s="60" t="s">
        <v>2240</v>
      </c>
      <c r="E1173" s="60" t="s">
        <v>4</v>
      </c>
      <c r="G1173" s="68">
        <v>1.14</v>
      </c>
      <c r="L1173" s="69"/>
    </row>
    <row r="1174" spans="1:47" ht="14.4">
      <c r="A1174" s="50" t="s">
        <v>4</v>
      </c>
      <c r="B1174" s="51" t="s">
        <v>116</v>
      </c>
      <c r="C1174" s="51" t="s">
        <v>2241</v>
      </c>
      <c r="D1174" s="222" t="s">
        <v>2242</v>
      </c>
      <c r="E1174" s="223"/>
      <c r="F1174" s="52" t="s">
        <v>79</v>
      </c>
      <c r="G1174" s="52" t="s">
        <v>79</v>
      </c>
      <c r="H1174" s="52" t="s">
        <v>79</v>
      </c>
      <c r="I1174" s="27">
        <f>SUM(I1175:I1190)</f>
        <v>0</v>
      </c>
      <c r="J1174" s="34" t="s">
        <v>4</v>
      </c>
      <c r="K1174" s="27">
        <f>SUM(K1175:K1190)</f>
        <v>2.5381593</v>
      </c>
      <c r="L1174" s="54" t="s">
        <v>4</v>
      </c>
      <c r="AI1174" s="34" t="s">
        <v>116</v>
      </c>
      <c r="AS1174" s="27">
        <f>SUM(AJ1175:AJ1190)</f>
        <v>0</v>
      </c>
      <c r="AT1174" s="27">
        <f>SUM(AK1175:AK1190)</f>
        <v>0</v>
      </c>
      <c r="AU1174" s="27">
        <f>SUM(AL1175:AL1190)</f>
        <v>0</v>
      </c>
    </row>
    <row r="1175" spans="1:75" ht="13.5" customHeight="1">
      <c r="A1175" s="1" t="s">
        <v>2243</v>
      </c>
      <c r="B1175" s="2" t="s">
        <v>116</v>
      </c>
      <c r="C1175" s="2" t="s">
        <v>2244</v>
      </c>
      <c r="D1175" s="147" t="s">
        <v>2245</v>
      </c>
      <c r="E1175" s="148"/>
      <c r="F1175" s="2" t="s">
        <v>729</v>
      </c>
      <c r="G1175" s="55">
        <f>'Stavební rozpočet-vyplnit'!G1175</f>
        <v>94.1</v>
      </c>
      <c r="H1175" s="55">
        <f>'Stavební rozpočet-vyplnit'!H1175</f>
        <v>0</v>
      </c>
      <c r="I1175" s="55">
        <f>G1175*H1175</f>
        <v>0</v>
      </c>
      <c r="J1175" s="55">
        <f>'Stavební rozpočet-vyplnit'!J1175</f>
        <v>0.00016</v>
      </c>
      <c r="K1175" s="55">
        <f>G1175*J1175</f>
        <v>0.015056</v>
      </c>
      <c r="L1175" s="57" t="s">
        <v>785</v>
      </c>
      <c r="Z1175" s="55">
        <f>IF(AQ1175="5",BJ1175,0)</f>
        <v>0</v>
      </c>
      <c r="AB1175" s="55">
        <f>IF(AQ1175="1",BH1175,0)</f>
        <v>0</v>
      </c>
      <c r="AC1175" s="55">
        <f>IF(AQ1175="1",BI1175,0)</f>
        <v>0</v>
      </c>
      <c r="AD1175" s="55">
        <f>IF(AQ1175="7",BH1175,0)</f>
        <v>0</v>
      </c>
      <c r="AE1175" s="55">
        <f>IF(AQ1175="7",BI1175,0)</f>
        <v>0</v>
      </c>
      <c r="AF1175" s="55">
        <f>IF(AQ1175="2",BH1175,0)</f>
        <v>0</v>
      </c>
      <c r="AG1175" s="55">
        <f>IF(AQ1175="2",BI1175,0)</f>
        <v>0</v>
      </c>
      <c r="AH1175" s="55">
        <f>IF(AQ1175="0",BJ1175,0)</f>
        <v>0</v>
      </c>
      <c r="AI1175" s="34" t="s">
        <v>116</v>
      </c>
      <c r="AJ1175" s="55">
        <f>IF(AN1175=0,I1175,0)</f>
        <v>0</v>
      </c>
      <c r="AK1175" s="55">
        <f>IF(AN1175=12,I1175,0)</f>
        <v>0</v>
      </c>
      <c r="AL1175" s="55">
        <f>IF(AN1175=21,I1175,0)</f>
        <v>0</v>
      </c>
      <c r="AN1175" s="55">
        <v>21</v>
      </c>
      <c r="AO1175" s="55">
        <f>H1175*0.406942816</f>
        <v>0</v>
      </c>
      <c r="AP1175" s="55">
        <f>H1175*(1-0.406942816)</f>
        <v>0</v>
      </c>
      <c r="AQ1175" s="58" t="s">
        <v>125</v>
      </c>
      <c r="AV1175" s="55">
        <f>AW1175+AX1175</f>
        <v>0</v>
      </c>
      <c r="AW1175" s="55">
        <f>G1175*AO1175</f>
        <v>0</v>
      </c>
      <c r="AX1175" s="55">
        <f>G1175*AP1175</f>
        <v>0</v>
      </c>
      <c r="AY1175" s="58" t="s">
        <v>2246</v>
      </c>
      <c r="AZ1175" s="58" t="s">
        <v>2247</v>
      </c>
      <c r="BA1175" s="34" t="s">
        <v>128</v>
      </c>
      <c r="BB1175" s="67">
        <v>100024</v>
      </c>
      <c r="BC1175" s="55">
        <f>AW1175+AX1175</f>
        <v>0</v>
      </c>
      <c r="BD1175" s="55">
        <f>H1175/(100-BE1175)*100</f>
        <v>0</v>
      </c>
      <c r="BE1175" s="55">
        <v>0</v>
      </c>
      <c r="BF1175" s="55">
        <f>K1175</f>
        <v>0.015056</v>
      </c>
      <c r="BH1175" s="55">
        <f>G1175*AO1175</f>
        <v>0</v>
      </c>
      <c r="BI1175" s="55">
        <f>G1175*AP1175</f>
        <v>0</v>
      </c>
      <c r="BJ1175" s="55">
        <f>G1175*H1175</f>
        <v>0</v>
      </c>
      <c r="BK1175" s="55"/>
      <c r="BL1175" s="55">
        <v>781</v>
      </c>
      <c r="BW1175" s="55">
        <v>21</v>
      </c>
    </row>
    <row r="1176" spans="1:12" ht="13.5" customHeight="1">
      <c r="A1176" s="59"/>
      <c r="D1176" s="218" t="s">
        <v>2145</v>
      </c>
      <c r="E1176" s="219"/>
      <c r="F1176" s="219"/>
      <c r="G1176" s="219"/>
      <c r="H1176" s="219"/>
      <c r="I1176" s="219"/>
      <c r="J1176" s="219"/>
      <c r="K1176" s="219"/>
      <c r="L1176" s="221"/>
    </row>
    <row r="1177" spans="1:12" ht="14.4">
      <c r="A1177" s="59"/>
      <c r="D1177" s="60" t="s">
        <v>2248</v>
      </c>
      <c r="E1177" s="60" t="s">
        <v>4</v>
      </c>
      <c r="G1177" s="68">
        <v>94.1</v>
      </c>
      <c r="L1177" s="69"/>
    </row>
    <row r="1178" spans="1:75" ht="13.5" customHeight="1">
      <c r="A1178" s="1" t="s">
        <v>2249</v>
      </c>
      <c r="B1178" s="2" t="s">
        <v>116</v>
      </c>
      <c r="C1178" s="2" t="s">
        <v>2250</v>
      </c>
      <c r="D1178" s="147" t="s">
        <v>2251</v>
      </c>
      <c r="E1178" s="148"/>
      <c r="F1178" s="2" t="s">
        <v>174</v>
      </c>
      <c r="G1178" s="55">
        <f>'Stavební rozpočet-vyplnit'!G1178</f>
        <v>8.2</v>
      </c>
      <c r="H1178" s="55">
        <f>'Stavební rozpočet-vyplnit'!H1178</f>
        <v>0</v>
      </c>
      <c r="I1178" s="55">
        <f>G1178*H1178</f>
        <v>0</v>
      </c>
      <c r="J1178" s="55">
        <f>'Stavební rozpočet-vyplnit'!J1178</f>
        <v>0</v>
      </c>
      <c r="K1178" s="55">
        <f>G1178*J1178</f>
        <v>0</v>
      </c>
      <c r="L1178" s="57" t="s">
        <v>785</v>
      </c>
      <c r="Z1178" s="55">
        <f>IF(AQ1178="5",BJ1178,0)</f>
        <v>0</v>
      </c>
      <c r="AB1178" s="55">
        <f>IF(AQ1178="1",BH1178,0)</f>
        <v>0</v>
      </c>
      <c r="AC1178" s="55">
        <f>IF(AQ1178="1",BI1178,0)</f>
        <v>0</v>
      </c>
      <c r="AD1178" s="55">
        <f>IF(AQ1178="7",BH1178,0)</f>
        <v>0</v>
      </c>
      <c r="AE1178" s="55">
        <f>IF(AQ1178="7",BI1178,0)</f>
        <v>0</v>
      </c>
      <c r="AF1178" s="55">
        <f>IF(AQ1178="2",BH1178,0)</f>
        <v>0</v>
      </c>
      <c r="AG1178" s="55">
        <f>IF(AQ1178="2",BI1178,0)</f>
        <v>0</v>
      </c>
      <c r="AH1178" s="55">
        <f>IF(AQ1178="0",BJ1178,0)</f>
        <v>0</v>
      </c>
      <c r="AI1178" s="34" t="s">
        <v>116</v>
      </c>
      <c r="AJ1178" s="55">
        <f>IF(AN1178=0,I1178,0)</f>
        <v>0</v>
      </c>
      <c r="AK1178" s="55">
        <f>IF(AN1178=12,I1178,0)</f>
        <v>0</v>
      </c>
      <c r="AL1178" s="55">
        <f>IF(AN1178=21,I1178,0)</f>
        <v>0</v>
      </c>
      <c r="AN1178" s="55">
        <v>21</v>
      </c>
      <c r="AO1178" s="55">
        <f>H1178*0.245489796</f>
        <v>0</v>
      </c>
      <c r="AP1178" s="55">
        <f>H1178*(1-0.245489796)</f>
        <v>0</v>
      </c>
      <c r="AQ1178" s="58" t="s">
        <v>125</v>
      </c>
      <c r="AV1178" s="55">
        <f>AW1178+AX1178</f>
        <v>0</v>
      </c>
      <c r="AW1178" s="55">
        <f>G1178*AO1178</f>
        <v>0</v>
      </c>
      <c r="AX1178" s="55">
        <f>G1178*AP1178</f>
        <v>0</v>
      </c>
      <c r="AY1178" s="58" t="s">
        <v>2246</v>
      </c>
      <c r="AZ1178" s="58" t="s">
        <v>2247</v>
      </c>
      <c r="BA1178" s="34" t="s">
        <v>128</v>
      </c>
      <c r="BB1178" s="67">
        <v>100024</v>
      </c>
      <c r="BC1178" s="55">
        <f>AW1178+AX1178</f>
        <v>0</v>
      </c>
      <c r="BD1178" s="55">
        <f>H1178/(100-BE1178)*100</f>
        <v>0</v>
      </c>
      <c r="BE1178" s="55">
        <v>0</v>
      </c>
      <c r="BF1178" s="55">
        <f>K1178</f>
        <v>0</v>
      </c>
      <c r="BH1178" s="55">
        <f>G1178*AO1178</f>
        <v>0</v>
      </c>
      <c r="BI1178" s="55">
        <f>G1178*AP1178</f>
        <v>0</v>
      </c>
      <c r="BJ1178" s="55">
        <f>G1178*H1178</f>
        <v>0</v>
      </c>
      <c r="BK1178" s="55"/>
      <c r="BL1178" s="55">
        <v>781</v>
      </c>
      <c r="BW1178" s="55">
        <v>21</v>
      </c>
    </row>
    <row r="1179" spans="1:12" ht="13.5" customHeight="1">
      <c r="A1179" s="59"/>
      <c r="D1179" s="218" t="s">
        <v>2252</v>
      </c>
      <c r="E1179" s="219"/>
      <c r="F1179" s="219"/>
      <c r="G1179" s="219"/>
      <c r="H1179" s="219"/>
      <c r="I1179" s="219"/>
      <c r="J1179" s="219"/>
      <c r="K1179" s="219"/>
      <c r="L1179" s="221"/>
    </row>
    <row r="1180" spans="1:12" ht="14.4">
      <c r="A1180" s="59"/>
      <c r="D1180" s="60" t="s">
        <v>2253</v>
      </c>
      <c r="E1180" s="60" t="s">
        <v>4</v>
      </c>
      <c r="G1180" s="68">
        <v>8.2</v>
      </c>
      <c r="L1180" s="69"/>
    </row>
    <row r="1181" spans="1:75" ht="13.5" customHeight="1">
      <c r="A1181" s="1" t="s">
        <v>2254</v>
      </c>
      <c r="B1181" s="2" t="s">
        <v>116</v>
      </c>
      <c r="C1181" s="2" t="s">
        <v>2255</v>
      </c>
      <c r="D1181" s="147" t="s">
        <v>2256</v>
      </c>
      <c r="E1181" s="148"/>
      <c r="F1181" s="2" t="s">
        <v>729</v>
      </c>
      <c r="G1181" s="55">
        <f>'Stavební rozpočet-vyplnit'!G1181</f>
        <v>94.1</v>
      </c>
      <c r="H1181" s="55">
        <f>'Stavební rozpočet-vyplnit'!H1181</f>
        <v>0</v>
      </c>
      <c r="I1181" s="55">
        <f>G1181*H1181</f>
        <v>0</v>
      </c>
      <c r="J1181" s="55">
        <f>'Stavební rozpočet-vyplnit'!J1181</f>
        <v>0.00504</v>
      </c>
      <c r="K1181" s="55">
        <f>G1181*J1181</f>
        <v>0.47426399999999996</v>
      </c>
      <c r="L1181" s="57" t="s">
        <v>785</v>
      </c>
      <c r="Z1181" s="55">
        <f>IF(AQ1181="5",BJ1181,0)</f>
        <v>0</v>
      </c>
      <c r="AB1181" s="55">
        <f>IF(AQ1181="1",BH1181,0)</f>
        <v>0</v>
      </c>
      <c r="AC1181" s="55">
        <f>IF(AQ1181="1",BI1181,0)</f>
        <v>0</v>
      </c>
      <c r="AD1181" s="55">
        <f>IF(AQ1181="7",BH1181,0)</f>
        <v>0</v>
      </c>
      <c r="AE1181" s="55">
        <f>IF(AQ1181="7",BI1181,0)</f>
        <v>0</v>
      </c>
      <c r="AF1181" s="55">
        <f>IF(AQ1181="2",BH1181,0)</f>
        <v>0</v>
      </c>
      <c r="AG1181" s="55">
        <f>IF(AQ1181="2",BI1181,0)</f>
        <v>0</v>
      </c>
      <c r="AH1181" s="55">
        <f>IF(AQ1181="0",BJ1181,0)</f>
        <v>0</v>
      </c>
      <c r="AI1181" s="34" t="s">
        <v>116</v>
      </c>
      <c r="AJ1181" s="55">
        <f>IF(AN1181=0,I1181,0)</f>
        <v>0</v>
      </c>
      <c r="AK1181" s="55">
        <f>IF(AN1181=12,I1181,0)</f>
        <v>0</v>
      </c>
      <c r="AL1181" s="55">
        <f>IF(AN1181=21,I1181,0)</f>
        <v>0</v>
      </c>
      <c r="AN1181" s="55">
        <v>21</v>
      </c>
      <c r="AO1181" s="55">
        <f>H1181*0.214537634</f>
        <v>0</v>
      </c>
      <c r="AP1181" s="55">
        <f>H1181*(1-0.214537634)</f>
        <v>0</v>
      </c>
      <c r="AQ1181" s="58" t="s">
        <v>125</v>
      </c>
      <c r="AV1181" s="55">
        <f>AW1181+AX1181</f>
        <v>0</v>
      </c>
      <c r="AW1181" s="55">
        <f>G1181*AO1181</f>
        <v>0</v>
      </c>
      <c r="AX1181" s="55">
        <f>G1181*AP1181</f>
        <v>0</v>
      </c>
      <c r="AY1181" s="58" t="s">
        <v>2246</v>
      </c>
      <c r="AZ1181" s="58" t="s">
        <v>2247</v>
      </c>
      <c r="BA1181" s="34" t="s">
        <v>128</v>
      </c>
      <c r="BB1181" s="67">
        <v>100024</v>
      </c>
      <c r="BC1181" s="55">
        <f>AW1181+AX1181</f>
        <v>0</v>
      </c>
      <c r="BD1181" s="55">
        <f>H1181/(100-BE1181)*100</f>
        <v>0</v>
      </c>
      <c r="BE1181" s="55">
        <v>0</v>
      </c>
      <c r="BF1181" s="55">
        <f>K1181</f>
        <v>0.47426399999999996</v>
      </c>
      <c r="BH1181" s="55">
        <f>G1181*AO1181</f>
        <v>0</v>
      </c>
      <c r="BI1181" s="55">
        <f>G1181*AP1181</f>
        <v>0</v>
      </c>
      <c r="BJ1181" s="55">
        <f>G1181*H1181</f>
        <v>0</v>
      </c>
      <c r="BK1181" s="55"/>
      <c r="BL1181" s="55">
        <v>781</v>
      </c>
      <c r="BW1181" s="55">
        <v>21</v>
      </c>
    </row>
    <row r="1182" spans="1:12" ht="13.5" customHeight="1">
      <c r="A1182" s="59"/>
      <c r="D1182" s="218" t="s">
        <v>2152</v>
      </c>
      <c r="E1182" s="219"/>
      <c r="F1182" s="219"/>
      <c r="G1182" s="219"/>
      <c r="H1182" s="219"/>
      <c r="I1182" s="219"/>
      <c r="J1182" s="219"/>
      <c r="K1182" s="219"/>
      <c r="L1182" s="221"/>
    </row>
    <row r="1183" spans="1:12" ht="14.4">
      <c r="A1183" s="59"/>
      <c r="D1183" s="60" t="s">
        <v>2248</v>
      </c>
      <c r="E1183" s="60" t="s">
        <v>4</v>
      </c>
      <c r="G1183" s="68">
        <v>94.1</v>
      </c>
      <c r="L1183" s="69"/>
    </row>
    <row r="1184" spans="1:75" ht="13.5" customHeight="1">
      <c r="A1184" s="1" t="s">
        <v>2257</v>
      </c>
      <c r="B1184" s="2" t="s">
        <v>116</v>
      </c>
      <c r="C1184" s="2" t="s">
        <v>2258</v>
      </c>
      <c r="D1184" s="147" t="s">
        <v>2259</v>
      </c>
      <c r="E1184" s="148"/>
      <c r="F1184" s="2" t="s">
        <v>729</v>
      </c>
      <c r="G1184" s="55">
        <f>'Stavební rozpočet-vyplnit'!G1184</f>
        <v>94.1</v>
      </c>
      <c r="H1184" s="55">
        <f>'Stavební rozpočet-vyplnit'!H1184</f>
        <v>0</v>
      </c>
      <c r="I1184" s="55">
        <f>G1184*H1184</f>
        <v>0</v>
      </c>
      <c r="J1184" s="55">
        <f>'Stavební rozpočet-vyplnit'!J1184</f>
        <v>0.0004</v>
      </c>
      <c r="K1184" s="55">
        <f>G1184*J1184</f>
        <v>0.03764</v>
      </c>
      <c r="L1184" s="57" t="s">
        <v>785</v>
      </c>
      <c r="Z1184" s="55">
        <f>IF(AQ1184="5",BJ1184,0)</f>
        <v>0</v>
      </c>
      <c r="AB1184" s="55">
        <f>IF(AQ1184="1",BH1184,0)</f>
        <v>0</v>
      </c>
      <c r="AC1184" s="55">
        <f>IF(AQ1184="1",BI1184,0)</f>
        <v>0</v>
      </c>
      <c r="AD1184" s="55">
        <f>IF(AQ1184="7",BH1184,0)</f>
        <v>0</v>
      </c>
      <c r="AE1184" s="55">
        <f>IF(AQ1184="7",BI1184,0)</f>
        <v>0</v>
      </c>
      <c r="AF1184" s="55">
        <f>IF(AQ1184="2",BH1184,0)</f>
        <v>0</v>
      </c>
      <c r="AG1184" s="55">
        <f>IF(AQ1184="2",BI1184,0)</f>
        <v>0</v>
      </c>
      <c r="AH1184" s="55">
        <f>IF(AQ1184="0",BJ1184,0)</f>
        <v>0</v>
      </c>
      <c r="AI1184" s="34" t="s">
        <v>116</v>
      </c>
      <c r="AJ1184" s="55">
        <f>IF(AN1184=0,I1184,0)</f>
        <v>0</v>
      </c>
      <c r="AK1184" s="55">
        <f>IF(AN1184=12,I1184,0)</f>
        <v>0</v>
      </c>
      <c r="AL1184" s="55">
        <f>IF(AN1184=21,I1184,0)</f>
        <v>0</v>
      </c>
      <c r="AN1184" s="55">
        <v>21</v>
      </c>
      <c r="AO1184" s="55">
        <f>H1184*0.999972752</f>
        <v>0</v>
      </c>
      <c r="AP1184" s="55">
        <f>H1184*(1-0.999972752)</f>
        <v>0</v>
      </c>
      <c r="AQ1184" s="58" t="s">
        <v>125</v>
      </c>
      <c r="AV1184" s="55">
        <f>AW1184+AX1184</f>
        <v>0</v>
      </c>
      <c r="AW1184" s="55">
        <f>G1184*AO1184</f>
        <v>0</v>
      </c>
      <c r="AX1184" s="55">
        <f>G1184*AP1184</f>
        <v>0</v>
      </c>
      <c r="AY1184" s="58" t="s">
        <v>2246</v>
      </c>
      <c r="AZ1184" s="58" t="s">
        <v>2247</v>
      </c>
      <c r="BA1184" s="34" t="s">
        <v>128</v>
      </c>
      <c r="BB1184" s="67">
        <v>100024</v>
      </c>
      <c r="BC1184" s="55">
        <f>AW1184+AX1184</f>
        <v>0</v>
      </c>
      <c r="BD1184" s="55">
        <f>H1184/(100-BE1184)*100</f>
        <v>0</v>
      </c>
      <c r="BE1184" s="55">
        <v>0</v>
      </c>
      <c r="BF1184" s="55">
        <f>K1184</f>
        <v>0.03764</v>
      </c>
      <c r="BH1184" s="55">
        <f>G1184*AO1184</f>
        <v>0</v>
      </c>
      <c r="BI1184" s="55">
        <f>G1184*AP1184</f>
        <v>0</v>
      </c>
      <c r="BJ1184" s="55">
        <f>G1184*H1184</f>
        <v>0</v>
      </c>
      <c r="BK1184" s="55"/>
      <c r="BL1184" s="55">
        <v>781</v>
      </c>
      <c r="BW1184" s="55">
        <v>21</v>
      </c>
    </row>
    <row r="1185" spans="1:12" ht="13.5" customHeight="1">
      <c r="A1185" s="59"/>
      <c r="D1185" s="218" t="s">
        <v>2260</v>
      </c>
      <c r="E1185" s="219"/>
      <c r="F1185" s="219"/>
      <c r="G1185" s="219"/>
      <c r="H1185" s="219"/>
      <c r="I1185" s="219"/>
      <c r="J1185" s="219"/>
      <c r="K1185" s="219"/>
      <c r="L1185" s="221"/>
    </row>
    <row r="1186" spans="1:12" ht="14.4">
      <c r="A1186" s="59"/>
      <c r="D1186" s="60" t="s">
        <v>2248</v>
      </c>
      <c r="E1186" s="60" t="s">
        <v>4</v>
      </c>
      <c r="G1186" s="68">
        <v>94.1</v>
      </c>
      <c r="L1186" s="69"/>
    </row>
    <row r="1187" spans="1:75" ht="13.5" customHeight="1">
      <c r="A1187" s="61" t="s">
        <v>2261</v>
      </c>
      <c r="B1187" s="62" t="s">
        <v>116</v>
      </c>
      <c r="C1187" s="62" t="s">
        <v>2262</v>
      </c>
      <c r="D1187" s="224" t="s">
        <v>2263</v>
      </c>
      <c r="E1187" s="225"/>
      <c r="F1187" s="62" t="s">
        <v>729</v>
      </c>
      <c r="G1187" s="63">
        <f>'Stavební rozpočet-vyplnit'!G1187</f>
        <v>103.51</v>
      </c>
      <c r="H1187" s="63">
        <f>'Stavební rozpočet-vyplnit'!H1187</f>
        <v>0</v>
      </c>
      <c r="I1187" s="63">
        <f>G1187*H1187</f>
        <v>0</v>
      </c>
      <c r="J1187" s="63">
        <f>'Stavební rozpočet-vyplnit'!J1187</f>
        <v>0.01943</v>
      </c>
      <c r="K1187" s="63">
        <f>G1187*J1187</f>
        <v>2.0111993</v>
      </c>
      <c r="L1187" s="65" t="s">
        <v>785</v>
      </c>
      <c r="Z1187" s="55">
        <f>IF(AQ1187="5",BJ1187,0)</f>
        <v>0</v>
      </c>
      <c r="AB1187" s="55">
        <f>IF(AQ1187="1",BH1187,0)</f>
        <v>0</v>
      </c>
      <c r="AC1187" s="55">
        <f>IF(AQ1187="1",BI1187,0)</f>
        <v>0</v>
      </c>
      <c r="AD1187" s="55">
        <f>IF(AQ1187="7",BH1187,0)</f>
        <v>0</v>
      </c>
      <c r="AE1187" s="55">
        <f>IF(AQ1187="7",BI1187,0)</f>
        <v>0</v>
      </c>
      <c r="AF1187" s="55">
        <f>IF(AQ1187="2",BH1187,0)</f>
        <v>0</v>
      </c>
      <c r="AG1187" s="55">
        <f>IF(AQ1187="2",BI1187,0)</f>
        <v>0</v>
      </c>
      <c r="AH1187" s="55">
        <f>IF(AQ1187="0",BJ1187,0)</f>
        <v>0</v>
      </c>
      <c r="AI1187" s="34" t="s">
        <v>116</v>
      </c>
      <c r="AJ1187" s="63">
        <f>IF(AN1187=0,I1187,0)</f>
        <v>0</v>
      </c>
      <c r="AK1187" s="63">
        <f>IF(AN1187=12,I1187,0)</f>
        <v>0</v>
      </c>
      <c r="AL1187" s="63">
        <f>IF(AN1187=21,I1187,0)</f>
        <v>0</v>
      </c>
      <c r="AN1187" s="55">
        <v>21</v>
      </c>
      <c r="AO1187" s="55">
        <f>H1187*1</f>
        <v>0</v>
      </c>
      <c r="AP1187" s="55">
        <f>H1187*(1-1)</f>
        <v>0</v>
      </c>
      <c r="AQ1187" s="66" t="s">
        <v>125</v>
      </c>
      <c r="AV1187" s="55">
        <f>AW1187+AX1187</f>
        <v>0</v>
      </c>
      <c r="AW1187" s="55">
        <f>G1187*AO1187</f>
        <v>0</v>
      </c>
      <c r="AX1187" s="55">
        <f>G1187*AP1187</f>
        <v>0</v>
      </c>
      <c r="AY1187" s="58" t="s">
        <v>2246</v>
      </c>
      <c r="AZ1187" s="58" t="s">
        <v>2247</v>
      </c>
      <c r="BA1187" s="34" t="s">
        <v>128</v>
      </c>
      <c r="BC1187" s="55">
        <f>AW1187+AX1187</f>
        <v>0</v>
      </c>
      <c r="BD1187" s="55">
        <f>H1187/(100-BE1187)*100</f>
        <v>0</v>
      </c>
      <c r="BE1187" s="55">
        <v>0</v>
      </c>
      <c r="BF1187" s="55">
        <f>K1187</f>
        <v>2.0111993</v>
      </c>
      <c r="BH1187" s="63">
        <f>G1187*AO1187</f>
        <v>0</v>
      </c>
      <c r="BI1187" s="63">
        <f>G1187*AP1187</f>
        <v>0</v>
      </c>
      <c r="BJ1187" s="63">
        <f>G1187*H1187</f>
        <v>0</v>
      </c>
      <c r="BK1187" s="63"/>
      <c r="BL1187" s="55">
        <v>781</v>
      </c>
      <c r="BW1187" s="55">
        <v>21</v>
      </c>
    </row>
    <row r="1188" spans="1:12" ht="14.4">
      <c r="A1188" s="59"/>
      <c r="D1188" s="60" t="s">
        <v>2248</v>
      </c>
      <c r="E1188" s="60" t="s">
        <v>2264</v>
      </c>
      <c r="G1188" s="68">
        <v>94.1</v>
      </c>
      <c r="L1188" s="69"/>
    </row>
    <row r="1189" spans="1:12" ht="14.4">
      <c r="A1189" s="59"/>
      <c r="D1189" s="60" t="s">
        <v>2265</v>
      </c>
      <c r="E1189" s="60" t="s">
        <v>4</v>
      </c>
      <c r="G1189" s="68">
        <v>9.41</v>
      </c>
      <c r="L1189" s="69"/>
    </row>
    <row r="1190" spans="1:75" ht="13.5" customHeight="1">
      <c r="A1190" s="1" t="s">
        <v>2266</v>
      </c>
      <c r="B1190" s="2" t="s">
        <v>116</v>
      </c>
      <c r="C1190" s="2" t="s">
        <v>2267</v>
      </c>
      <c r="D1190" s="147" t="s">
        <v>2268</v>
      </c>
      <c r="E1190" s="148"/>
      <c r="F1190" s="2" t="s">
        <v>939</v>
      </c>
      <c r="G1190" s="55">
        <f>'Stavební rozpočet-vyplnit'!G1190</f>
        <v>2.54</v>
      </c>
      <c r="H1190" s="55">
        <f>'Stavební rozpočet-vyplnit'!H1190</f>
        <v>0</v>
      </c>
      <c r="I1190" s="55">
        <f>G1190*H1190</f>
        <v>0</v>
      </c>
      <c r="J1190" s="55">
        <f>'Stavební rozpočet-vyplnit'!J1190</f>
        <v>0</v>
      </c>
      <c r="K1190" s="55">
        <f>G1190*J1190</f>
        <v>0</v>
      </c>
      <c r="L1190" s="57" t="s">
        <v>785</v>
      </c>
      <c r="Z1190" s="55">
        <f>IF(AQ1190="5",BJ1190,0)</f>
        <v>0</v>
      </c>
      <c r="AB1190" s="55">
        <f>IF(AQ1190="1",BH1190,0)</f>
        <v>0</v>
      </c>
      <c r="AC1190" s="55">
        <f>IF(AQ1190="1",BI1190,0)</f>
        <v>0</v>
      </c>
      <c r="AD1190" s="55">
        <f>IF(AQ1190="7",BH1190,0)</f>
        <v>0</v>
      </c>
      <c r="AE1190" s="55">
        <f>IF(AQ1190="7",BI1190,0)</f>
        <v>0</v>
      </c>
      <c r="AF1190" s="55">
        <f>IF(AQ1190="2",BH1190,0)</f>
        <v>0</v>
      </c>
      <c r="AG1190" s="55">
        <f>IF(AQ1190="2",BI1190,0)</f>
        <v>0</v>
      </c>
      <c r="AH1190" s="55">
        <f>IF(AQ1190="0",BJ1190,0)</f>
        <v>0</v>
      </c>
      <c r="AI1190" s="34" t="s">
        <v>116</v>
      </c>
      <c r="AJ1190" s="55">
        <f>IF(AN1190=0,I1190,0)</f>
        <v>0</v>
      </c>
      <c r="AK1190" s="55">
        <f>IF(AN1190=12,I1190,0)</f>
        <v>0</v>
      </c>
      <c r="AL1190" s="55">
        <f>IF(AN1190=21,I1190,0)</f>
        <v>0</v>
      </c>
      <c r="AN1190" s="55">
        <v>21</v>
      </c>
      <c r="AO1190" s="55">
        <f>H1190*0</f>
        <v>0</v>
      </c>
      <c r="AP1190" s="55">
        <f>H1190*(1-0)</f>
        <v>0</v>
      </c>
      <c r="AQ1190" s="58" t="s">
        <v>139</v>
      </c>
      <c r="AV1190" s="55">
        <f>AW1190+AX1190</f>
        <v>0</v>
      </c>
      <c r="AW1190" s="55">
        <f>G1190*AO1190</f>
        <v>0</v>
      </c>
      <c r="AX1190" s="55">
        <f>G1190*AP1190</f>
        <v>0</v>
      </c>
      <c r="AY1190" s="58" t="s">
        <v>2246</v>
      </c>
      <c r="AZ1190" s="58" t="s">
        <v>2247</v>
      </c>
      <c r="BA1190" s="34" t="s">
        <v>128</v>
      </c>
      <c r="BC1190" s="55">
        <f>AW1190+AX1190</f>
        <v>0</v>
      </c>
      <c r="BD1190" s="55">
        <f>H1190/(100-BE1190)*100</f>
        <v>0</v>
      </c>
      <c r="BE1190" s="55">
        <v>0</v>
      </c>
      <c r="BF1190" s="55">
        <f>K1190</f>
        <v>0</v>
      </c>
      <c r="BH1190" s="55">
        <f>G1190*AO1190</f>
        <v>0</v>
      </c>
      <c r="BI1190" s="55">
        <f>G1190*AP1190</f>
        <v>0</v>
      </c>
      <c r="BJ1190" s="55">
        <f>G1190*H1190</f>
        <v>0</v>
      </c>
      <c r="BK1190" s="55"/>
      <c r="BL1190" s="55">
        <v>781</v>
      </c>
      <c r="BW1190" s="55">
        <v>21</v>
      </c>
    </row>
    <row r="1191" spans="1:12" ht="14.4">
      <c r="A1191" s="59"/>
      <c r="D1191" s="60" t="s">
        <v>2269</v>
      </c>
      <c r="E1191" s="60" t="s">
        <v>4</v>
      </c>
      <c r="G1191" s="68">
        <v>2.54</v>
      </c>
      <c r="L1191" s="69"/>
    </row>
    <row r="1192" spans="1:47" ht="14.4">
      <c r="A1192" s="50" t="s">
        <v>4</v>
      </c>
      <c r="B1192" s="51" t="s">
        <v>116</v>
      </c>
      <c r="C1192" s="51" t="s">
        <v>2270</v>
      </c>
      <c r="D1192" s="222" t="s">
        <v>2271</v>
      </c>
      <c r="E1192" s="223"/>
      <c r="F1192" s="52" t="s">
        <v>79</v>
      </c>
      <c r="G1192" s="52" t="s">
        <v>79</v>
      </c>
      <c r="H1192" s="52" t="s">
        <v>79</v>
      </c>
      <c r="I1192" s="27">
        <f>SUM(I1193:I1201)</f>
        <v>0</v>
      </c>
      <c r="J1192" s="34" t="s">
        <v>4</v>
      </c>
      <c r="K1192" s="27">
        <f>SUM(K1193:K1201)</f>
        <v>0.666632</v>
      </c>
      <c r="L1192" s="54" t="s">
        <v>4</v>
      </c>
      <c r="AI1192" s="34" t="s">
        <v>116</v>
      </c>
      <c r="AS1192" s="27">
        <f>SUM(AJ1193:AJ1201)</f>
        <v>0</v>
      </c>
      <c r="AT1192" s="27">
        <f>SUM(AK1193:AK1201)</f>
        <v>0</v>
      </c>
      <c r="AU1192" s="27">
        <f>SUM(AL1193:AL1201)</f>
        <v>0</v>
      </c>
    </row>
    <row r="1193" spans="1:75" ht="13.5" customHeight="1">
      <c r="A1193" s="1" t="s">
        <v>2272</v>
      </c>
      <c r="B1193" s="2" t="s">
        <v>116</v>
      </c>
      <c r="C1193" s="2" t="s">
        <v>2273</v>
      </c>
      <c r="D1193" s="147" t="s">
        <v>2274</v>
      </c>
      <c r="E1193" s="148"/>
      <c r="F1193" s="2" t="s">
        <v>729</v>
      </c>
      <c r="G1193" s="55">
        <f>'Stavební rozpočet-vyplnit'!G1193</f>
        <v>4011</v>
      </c>
      <c r="H1193" s="55">
        <f>'Stavební rozpočet-vyplnit'!H1193</f>
        <v>0</v>
      </c>
      <c r="I1193" s="55">
        <f>G1193*H1193</f>
        <v>0</v>
      </c>
      <c r="J1193" s="55">
        <f>'Stavební rozpočet-vyplnit'!J1193</f>
        <v>0.00016</v>
      </c>
      <c r="K1193" s="55">
        <f>G1193*J1193</f>
        <v>0.64176</v>
      </c>
      <c r="L1193" s="57" t="s">
        <v>785</v>
      </c>
      <c r="Z1193" s="55">
        <f>IF(AQ1193="5",BJ1193,0)</f>
        <v>0</v>
      </c>
      <c r="AB1193" s="55">
        <f>IF(AQ1193="1",BH1193,0)</f>
        <v>0</v>
      </c>
      <c r="AC1193" s="55">
        <f>IF(AQ1193="1",BI1193,0)</f>
        <v>0</v>
      </c>
      <c r="AD1193" s="55">
        <f>IF(AQ1193="7",BH1193,0)</f>
        <v>0</v>
      </c>
      <c r="AE1193" s="55">
        <f>IF(AQ1193="7",BI1193,0)</f>
        <v>0</v>
      </c>
      <c r="AF1193" s="55">
        <f>IF(AQ1193="2",BH1193,0)</f>
        <v>0</v>
      </c>
      <c r="AG1193" s="55">
        <f>IF(AQ1193="2",BI1193,0)</f>
        <v>0</v>
      </c>
      <c r="AH1193" s="55">
        <f>IF(AQ1193="0",BJ1193,0)</f>
        <v>0</v>
      </c>
      <c r="AI1193" s="34" t="s">
        <v>116</v>
      </c>
      <c r="AJ1193" s="55">
        <f>IF(AN1193=0,I1193,0)</f>
        <v>0</v>
      </c>
      <c r="AK1193" s="55">
        <f>IF(AN1193=12,I1193,0)</f>
        <v>0</v>
      </c>
      <c r="AL1193" s="55">
        <f>IF(AN1193=21,I1193,0)</f>
        <v>0</v>
      </c>
      <c r="AN1193" s="55">
        <v>21</v>
      </c>
      <c r="AO1193" s="55">
        <f>H1193*0.111507461</f>
        <v>0</v>
      </c>
      <c r="AP1193" s="55">
        <f>H1193*(1-0.111507461)</f>
        <v>0</v>
      </c>
      <c r="AQ1193" s="58" t="s">
        <v>125</v>
      </c>
      <c r="AV1193" s="55">
        <f>AW1193+AX1193</f>
        <v>0</v>
      </c>
      <c r="AW1193" s="55">
        <f>G1193*AO1193</f>
        <v>0</v>
      </c>
      <c r="AX1193" s="55">
        <f>G1193*AP1193</f>
        <v>0</v>
      </c>
      <c r="AY1193" s="58" t="s">
        <v>2275</v>
      </c>
      <c r="AZ1193" s="58" t="s">
        <v>2247</v>
      </c>
      <c r="BA1193" s="34" t="s">
        <v>128</v>
      </c>
      <c r="BB1193" s="67">
        <v>100029</v>
      </c>
      <c r="BC1193" s="55">
        <f>AW1193+AX1193</f>
        <v>0</v>
      </c>
      <c r="BD1193" s="55">
        <f>H1193/(100-BE1193)*100</f>
        <v>0</v>
      </c>
      <c r="BE1193" s="55">
        <v>0</v>
      </c>
      <c r="BF1193" s="55">
        <f>K1193</f>
        <v>0.64176</v>
      </c>
      <c r="BH1193" s="55">
        <f>G1193*AO1193</f>
        <v>0</v>
      </c>
      <c r="BI1193" s="55">
        <f>G1193*AP1193</f>
        <v>0</v>
      </c>
      <c r="BJ1193" s="55">
        <f>G1193*H1193</f>
        <v>0</v>
      </c>
      <c r="BK1193" s="55"/>
      <c r="BL1193" s="55">
        <v>783</v>
      </c>
      <c r="BW1193" s="55">
        <v>21</v>
      </c>
    </row>
    <row r="1194" spans="1:12" ht="14.4">
      <c r="A1194" s="59"/>
      <c r="D1194" s="60" t="s">
        <v>2276</v>
      </c>
      <c r="E1194" s="60" t="s">
        <v>4</v>
      </c>
      <c r="G1194" s="68">
        <v>4011</v>
      </c>
      <c r="L1194" s="69"/>
    </row>
    <row r="1195" spans="1:75" ht="13.5" customHeight="1">
      <c r="A1195" s="1" t="s">
        <v>2277</v>
      </c>
      <c r="B1195" s="2" t="s">
        <v>116</v>
      </c>
      <c r="C1195" s="2" t="s">
        <v>2278</v>
      </c>
      <c r="D1195" s="147" t="s">
        <v>2279</v>
      </c>
      <c r="E1195" s="148"/>
      <c r="F1195" s="2" t="s">
        <v>729</v>
      </c>
      <c r="G1195" s="55">
        <f>'Stavební rozpočet-vyplnit'!G1195</f>
        <v>29.6</v>
      </c>
      <c r="H1195" s="55">
        <f>'Stavební rozpočet-vyplnit'!H1195</f>
        <v>0</v>
      </c>
      <c r="I1195" s="55">
        <f>G1195*H1195</f>
        <v>0</v>
      </c>
      <c r="J1195" s="55">
        <f>'Stavební rozpočet-vyplnit'!J1195</f>
        <v>8E-05</v>
      </c>
      <c r="K1195" s="55">
        <f>G1195*J1195</f>
        <v>0.0023680000000000003</v>
      </c>
      <c r="L1195" s="57" t="s">
        <v>785</v>
      </c>
      <c r="Z1195" s="55">
        <f>IF(AQ1195="5",BJ1195,0)</f>
        <v>0</v>
      </c>
      <c r="AB1195" s="55">
        <f>IF(AQ1195="1",BH1195,0)</f>
        <v>0</v>
      </c>
      <c r="AC1195" s="55">
        <f>IF(AQ1195="1",BI1195,0)</f>
        <v>0</v>
      </c>
      <c r="AD1195" s="55">
        <f>IF(AQ1195="7",BH1195,0)</f>
        <v>0</v>
      </c>
      <c r="AE1195" s="55">
        <f>IF(AQ1195="7",BI1195,0)</f>
        <v>0</v>
      </c>
      <c r="AF1195" s="55">
        <f>IF(AQ1195="2",BH1195,0)</f>
        <v>0</v>
      </c>
      <c r="AG1195" s="55">
        <f>IF(AQ1195="2",BI1195,0)</f>
        <v>0</v>
      </c>
      <c r="AH1195" s="55">
        <f>IF(AQ1195="0",BJ1195,0)</f>
        <v>0</v>
      </c>
      <c r="AI1195" s="34" t="s">
        <v>116</v>
      </c>
      <c r="AJ1195" s="55">
        <f>IF(AN1195=0,I1195,0)</f>
        <v>0</v>
      </c>
      <c r="AK1195" s="55">
        <f>IF(AN1195=12,I1195,0)</f>
        <v>0</v>
      </c>
      <c r="AL1195" s="55">
        <f>IF(AN1195=21,I1195,0)</f>
        <v>0</v>
      </c>
      <c r="AN1195" s="55">
        <v>21</v>
      </c>
      <c r="AO1195" s="55">
        <f>H1195*0.133666962</f>
        <v>0</v>
      </c>
      <c r="AP1195" s="55">
        <f>H1195*(1-0.133666962)</f>
        <v>0</v>
      </c>
      <c r="AQ1195" s="58" t="s">
        <v>125</v>
      </c>
      <c r="AV1195" s="55">
        <f>AW1195+AX1195</f>
        <v>0</v>
      </c>
      <c r="AW1195" s="55">
        <f>G1195*AO1195</f>
        <v>0</v>
      </c>
      <c r="AX1195" s="55">
        <f>G1195*AP1195</f>
        <v>0</v>
      </c>
      <c r="AY1195" s="58" t="s">
        <v>2275</v>
      </c>
      <c r="AZ1195" s="58" t="s">
        <v>2247</v>
      </c>
      <c r="BA1195" s="34" t="s">
        <v>128</v>
      </c>
      <c r="BB1195" s="67">
        <v>100029</v>
      </c>
      <c r="BC1195" s="55">
        <f>AW1195+AX1195</f>
        <v>0</v>
      </c>
      <c r="BD1195" s="55">
        <f>H1195/(100-BE1195)*100</f>
        <v>0</v>
      </c>
      <c r="BE1195" s="55">
        <v>0</v>
      </c>
      <c r="BF1195" s="55">
        <f>K1195</f>
        <v>0.0023680000000000003</v>
      </c>
      <c r="BH1195" s="55">
        <f>G1195*AO1195</f>
        <v>0</v>
      </c>
      <c r="BI1195" s="55">
        <f>G1195*AP1195</f>
        <v>0</v>
      </c>
      <c r="BJ1195" s="55">
        <f>G1195*H1195</f>
        <v>0</v>
      </c>
      <c r="BK1195" s="55"/>
      <c r="BL1195" s="55">
        <v>783</v>
      </c>
      <c r="BW1195" s="55">
        <v>21</v>
      </c>
    </row>
    <row r="1196" spans="1:12" ht="14.4">
      <c r="A1196" s="59"/>
      <c r="D1196" s="60" t="s">
        <v>2280</v>
      </c>
      <c r="E1196" s="60" t="s">
        <v>4</v>
      </c>
      <c r="G1196" s="68">
        <v>29.6</v>
      </c>
      <c r="L1196" s="69"/>
    </row>
    <row r="1197" spans="1:75" ht="13.5" customHeight="1">
      <c r="A1197" s="1" t="s">
        <v>2281</v>
      </c>
      <c r="B1197" s="2" t="s">
        <v>116</v>
      </c>
      <c r="C1197" s="2" t="s">
        <v>2282</v>
      </c>
      <c r="D1197" s="147" t="s">
        <v>2283</v>
      </c>
      <c r="E1197" s="148"/>
      <c r="F1197" s="2" t="s">
        <v>729</v>
      </c>
      <c r="G1197" s="55">
        <f>'Stavební rozpočet-vyplnit'!G1197</f>
        <v>29.6</v>
      </c>
      <c r="H1197" s="55">
        <f>'Stavební rozpočet-vyplnit'!H1197</f>
        <v>0</v>
      </c>
      <c r="I1197" s="55">
        <f>G1197*H1197</f>
        <v>0</v>
      </c>
      <c r="J1197" s="55">
        <f>'Stavební rozpočet-vyplnit'!J1197</f>
        <v>0.00028</v>
      </c>
      <c r="K1197" s="55">
        <f>G1197*J1197</f>
        <v>0.008288</v>
      </c>
      <c r="L1197" s="57" t="s">
        <v>785</v>
      </c>
      <c r="Z1197" s="55">
        <f>IF(AQ1197="5",BJ1197,0)</f>
        <v>0</v>
      </c>
      <c r="AB1197" s="55">
        <f>IF(AQ1197="1",BH1197,0)</f>
        <v>0</v>
      </c>
      <c r="AC1197" s="55">
        <f>IF(AQ1197="1",BI1197,0)</f>
        <v>0</v>
      </c>
      <c r="AD1197" s="55">
        <f>IF(AQ1197="7",BH1197,0)</f>
        <v>0</v>
      </c>
      <c r="AE1197" s="55">
        <f>IF(AQ1197="7",BI1197,0)</f>
        <v>0</v>
      </c>
      <c r="AF1197" s="55">
        <f>IF(AQ1197="2",BH1197,0)</f>
        <v>0</v>
      </c>
      <c r="AG1197" s="55">
        <f>IF(AQ1197="2",BI1197,0)</f>
        <v>0</v>
      </c>
      <c r="AH1197" s="55">
        <f>IF(AQ1197="0",BJ1197,0)</f>
        <v>0</v>
      </c>
      <c r="AI1197" s="34" t="s">
        <v>116</v>
      </c>
      <c r="AJ1197" s="55">
        <f>IF(AN1197=0,I1197,0)</f>
        <v>0</v>
      </c>
      <c r="AK1197" s="55">
        <f>IF(AN1197=12,I1197,0)</f>
        <v>0</v>
      </c>
      <c r="AL1197" s="55">
        <f>IF(AN1197=21,I1197,0)</f>
        <v>0</v>
      </c>
      <c r="AN1197" s="55">
        <v>21</v>
      </c>
      <c r="AO1197" s="55">
        <f>H1197*0.195233415</f>
        <v>0</v>
      </c>
      <c r="AP1197" s="55">
        <f>H1197*(1-0.195233415)</f>
        <v>0</v>
      </c>
      <c r="AQ1197" s="58" t="s">
        <v>125</v>
      </c>
      <c r="AV1197" s="55">
        <f>AW1197+AX1197</f>
        <v>0</v>
      </c>
      <c r="AW1197" s="55">
        <f>G1197*AO1197</f>
        <v>0</v>
      </c>
      <c r="AX1197" s="55">
        <f>G1197*AP1197</f>
        <v>0</v>
      </c>
      <c r="AY1197" s="58" t="s">
        <v>2275</v>
      </c>
      <c r="AZ1197" s="58" t="s">
        <v>2247</v>
      </c>
      <c r="BA1197" s="34" t="s">
        <v>128</v>
      </c>
      <c r="BB1197" s="67">
        <v>100029</v>
      </c>
      <c r="BC1197" s="55">
        <f>AW1197+AX1197</f>
        <v>0</v>
      </c>
      <c r="BD1197" s="55">
        <f>H1197/(100-BE1197)*100</f>
        <v>0</v>
      </c>
      <c r="BE1197" s="55">
        <v>0</v>
      </c>
      <c r="BF1197" s="55">
        <f>K1197</f>
        <v>0.008288</v>
      </c>
      <c r="BH1197" s="55">
        <f>G1197*AO1197</f>
        <v>0</v>
      </c>
      <c r="BI1197" s="55">
        <f>G1197*AP1197</f>
        <v>0</v>
      </c>
      <c r="BJ1197" s="55">
        <f>G1197*H1197</f>
        <v>0</v>
      </c>
      <c r="BK1197" s="55"/>
      <c r="BL1197" s="55">
        <v>783</v>
      </c>
      <c r="BW1197" s="55">
        <v>21</v>
      </c>
    </row>
    <row r="1198" spans="1:12" ht="14.4">
      <c r="A1198" s="59"/>
      <c r="D1198" s="60" t="s">
        <v>2280</v>
      </c>
      <c r="E1198" s="60" t="s">
        <v>4</v>
      </c>
      <c r="G1198" s="68">
        <v>29.6</v>
      </c>
      <c r="L1198" s="69"/>
    </row>
    <row r="1199" spans="1:75" ht="13.5" customHeight="1">
      <c r="A1199" s="1" t="s">
        <v>2284</v>
      </c>
      <c r="B1199" s="2" t="s">
        <v>116</v>
      </c>
      <c r="C1199" s="2" t="s">
        <v>2285</v>
      </c>
      <c r="D1199" s="147" t="s">
        <v>2286</v>
      </c>
      <c r="E1199" s="148"/>
      <c r="F1199" s="2" t="s">
        <v>729</v>
      </c>
      <c r="G1199" s="55">
        <f>'Stavební rozpočet-vyplnit'!G1199</f>
        <v>54.9</v>
      </c>
      <c r="H1199" s="55">
        <f>'Stavební rozpočet-vyplnit'!H1199</f>
        <v>0</v>
      </c>
      <c r="I1199" s="55">
        <f>G1199*H1199</f>
        <v>0</v>
      </c>
      <c r="J1199" s="55">
        <f>'Stavební rozpočet-vyplnit'!J1199</f>
        <v>7E-05</v>
      </c>
      <c r="K1199" s="55">
        <f>G1199*J1199</f>
        <v>0.0038429999999999996</v>
      </c>
      <c r="L1199" s="57" t="s">
        <v>785</v>
      </c>
      <c r="Z1199" s="55">
        <f>IF(AQ1199="5",BJ1199,0)</f>
        <v>0</v>
      </c>
      <c r="AB1199" s="55">
        <f>IF(AQ1199="1",BH1199,0)</f>
        <v>0</v>
      </c>
      <c r="AC1199" s="55">
        <f>IF(AQ1199="1",BI1199,0)</f>
        <v>0</v>
      </c>
      <c r="AD1199" s="55">
        <f>IF(AQ1199="7",BH1199,0)</f>
        <v>0</v>
      </c>
      <c r="AE1199" s="55">
        <f>IF(AQ1199="7",BI1199,0)</f>
        <v>0</v>
      </c>
      <c r="AF1199" s="55">
        <f>IF(AQ1199="2",BH1199,0)</f>
        <v>0</v>
      </c>
      <c r="AG1199" s="55">
        <f>IF(AQ1199="2",BI1199,0)</f>
        <v>0</v>
      </c>
      <c r="AH1199" s="55">
        <f>IF(AQ1199="0",BJ1199,0)</f>
        <v>0</v>
      </c>
      <c r="AI1199" s="34" t="s">
        <v>116</v>
      </c>
      <c r="AJ1199" s="55">
        <f>IF(AN1199=0,I1199,0)</f>
        <v>0</v>
      </c>
      <c r="AK1199" s="55">
        <f>IF(AN1199=12,I1199,0)</f>
        <v>0</v>
      </c>
      <c r="AL1199" s="55">
        <f>IF(AN1199=21,I1199,0)</f>
        <v>0</v>
      </c>
      <c r="AN1199" s="55">
        <v>21</v>
      </c>
      <c r="AO1199" s="55">
        <f>H1199*0.10307561</f>
        <v>0</v>
      </c>
      <c r="AP1199" s="55">
        <f>H1199*(1-0.10307561)</f>
        <v>0</v>
      </c>
      <c r="AQ1199" s="58" t="s">
        <v>125</v>
      </c>
      <c r="AV1199" s="55">
        <f>AW1199+AX1199</f>
        <v>0</v>
      </c>
      <c r="AW1199" s="55">
        <f>G1199*AO1199</f>
        <v>0</v>
      </c>
      <c r="AX1199" s="55">
        <f>G1199*AP1199</f>
        <v>0</v>
      </c>
      <c r="AY1199" s="58" t="s">
        <v>2275</v>
      </c>
      <c r="AZ1199" s="58" t="s">
        <v>2247</v>
      </c>
      <c r="BA1199" s="34" t="s">
        <v>128</v>
      </c>
      <c r="BB1199" s="67">
        <v>100029</v>
      </c>
      <c r="BC1199" s="55">
        <f>AW1199+AX1199</f>
        <v>0</v>
      </c>
      <c r="BD1199" s="55">
        <f>H1199/(100-BE1199)*100</f>
        <v>0</v>
      </c>
      <c r="BE1199" s="55">
        <v>0</v>
      </c>
      <c r="BF1199" s="55">
        <f>K1199</f>
        <v>0.0038429999999999996</v>
      </c>
      <c r="BH1199" s="55">
        <f>G1199*AO1199</f>
        <v>0</v>
      </c>
      <c r="BI1199" s="55">
        <f>G1199*AP1199</f>
        <v>0</v>
      </c>
      <c r="BJ1199" s="55">
        <f>G1199*H1199</f>
        <v>0</v>
      </c>
      <c r="BK1199" s="55"/>
      <c r="BL1199" s="55">
        <v>783</v>
      </c>
      <c r="BW1199" s="55">
        <v>21</v>
      </c>
    </row>
    <row r="1200" spans="1:12" ht="14.4">
      <c r="A1200" s="59"/>
      <c r="D1200" s="60" t="s">
        <v>2287</v>
      </c>
      <c r="E1200" s="60" t="s">
        <v>4</v>
      </c>
      <c r="G1200" s="68">
        <v>54.9</v>
      </c>
      <c r="L1200" s="69"/>
    </row>
    <row r="1201" spans="1:75" ht="13.5" customHeight="1">
      <c r="A1201" s="1" t="s">
        <v>2288</v>
      </c>
      <c r="B1201" s="2" t="s">
        <v>116</v>
      </c>
      <c r="C1201" s="2" t="s">
        <v>2289</v>
      </c>
      <c r="D1201" s="147" t="s">
        <v>2290</v>
      </c>
      <c r="E1201" s="148"/>
      <c r="F1201" s="2" t="s">
        <v>729</v>
      </c>
      <c r="G1201" s="55">
        <f>'Stavební rozpočet-vyplnit'!G1201</f>
        <v>25.3</v>
      </c>
      <c r="H1201" s="55">
        <f>'Stavební rozpočet-vyplnit'!H1201</f>
        <v>0</v>
      </c>
      <c r="I1201" s="55">
        <f>G1201*H1201</f>
        <v>0</v>
      </c>
      <c r="J1201" s="55">
        <f>'Stavební rozpočet-vyplnit'!J1201</f>
        <v>0.00041</v>
      </c>
      <c r="K1201" s="55">
        <f>G1201*J1201</f>
        <v>0.010373</v>
      </c>
      <c r="L1201" s="57" t="s">
        <v>785</v>
      </c>
      <c r="Z1201" s="55">
        <f>IF(AQ1201="5",BJ1201,0)</f>
        <v>0</v>
      </c>
      <c r="AB1201" s="55">
        <f>IF(AQ1201="1",BH1201,0)</f>
        <v>0</v>
      </c>
      <c r="AC1201" s="55">
        <f>IF(AQ1201="1",BI1201,0)</f>
        <v>0</v>
      </c>
      <c r="AD1201" s="55">
        <f>IF(AQ1201="7",BH1201,0)</f>
        <v>0</v>
      </c>
      <c r="AE1201" s="55">
        <f>IF(AQ1201="7",BI1201,0)</f>
        <v>0</v>
      </c>
      <c r="AF1201" s="55">
        <f>IF(AQ1201="2",BH1201,0)</f>
        <v>0</v>
      </c>
      <c r="AG1201" s="55">
        <f>IF(AQ1201="2",BI1201,0)</f>
        <v>0</v>
      </c>
      <c r="AH1201" s="55">
        <f>IF(AQ1201="0",BJ1201,0)</f>
        <v>0</v>
      </c>
      <c r="AI1201" s="34" t="s">
        <v>116</v>
      </c>
      <c r="AJ1201" s="55">
        <f>IF(AN1201=0,I1201,0)</f>
        <v>0</v>
      </c>
      <c r="AK1201" s="55">
        <f>IF(AN1201=12,I1201,0)</f>
        <v>0</v>
      </c>
      <c r="AL1201" s="55">
        <f>IF(AN1201=21,I1201,0)</f>
        <v>0</v>
      </c>
      <c r="AN1201" s="55">
        <v>21</v>
      </c>
      <c r="AO1201" s="55">
        <f>H1201*0.372450573</f>
        <v>0</v>
      </c>
      <c r="AP1201" s="55">
        <f>H1201*(1-0.372450573)</f>
        <v>0</v>
      </c>
      <c r="AQ1201" s="58" t="s">
        <v>125</v>
      </c>
      <c r="AV1201" s="55">
        <f>AW1201+AX1201</f>
        <v>0</v>
      </c>
      <c r="AW1201" s="55">
        <f>G1201*AO1201</f>
        <v>0</v>
      </c>
      <c r="AX1201" s="55">
        <f>G1201*AP1201</f>
        <v>0</v>
      </c>
      <c r="AY1201" s="58" t="s">
        <v>2275</v>
      </c>
      <c r="AZ1201" s="58" t="s">
        <v>2247</v>
      </c>
      <c r="BA1201" s="34" t="s">
        <v>128</v>
      </c>
      <c r="BB1201" s="67">
        <v>100029</v>
      </c>
      <c r="BC1201" s="55">
        <f>AW1201+AX1201</f>
        <v>0</v>
      </c>
      <c r="BD1201" s="55">
        <f>H1201/(100-BE1201)*100</f>
        <v>0</v>
      </c>
      <c r="BE1201" s="55">
        <v>0</v>
      </c>
      <c r="BF1201" s="55">
        <f>K1201</f>
        <v>0.010373</v>
      </c>
      <c r="BH1201" s="55">
        <f>G1201*AO1201</f>
        <v>0</v>
      </c>
      <c r="BI1201" s="55">
        <f>G1201*AP1201</f>
        <v>0</v>
      </c>
      <c r="BJ1201" s="55">
        <f>G1201*H1201</f>
        <v>0</v>
      </c>
      <c r="BK1201" s="55"/>
      <c r="BL1201" s="55">
        <v>783</v>
      </c>
      <c r="BW1201" s="55">
        <v>21</v>
      </c>
    </row>
    <row r="1202" spans="1:12" ht="13.5" customHeight="1">
      <c r="A1202" s="59"/>
      <c r="D1202" s="218" t="s">
        <v>2291</v>
      </c>
      <c r="E1202" s="219"/>
      <c r="F1202" s="219"/>
      <c r="G1202" s="219"/>
      <c r="H1202" s="219"/>
      <c r="I1202" s="219"/>
      <c r="J1202" s="219"/>
      <c r="K1202" s="219"/>
      <c r="L1202" s="221"/>
    </row>
    <row r="1203" spans="1:12" ht="14.4">
      <c r="A1203" s="59"/>
      <c r="D1203" s="60" t="s">
        <v>2292</v>
      </c>
      <c r="E1203" s="60" t="s">
        <v>4</v>
      </c>
      <c r="G1203" s="68">
        <v>25.3</v>
      </c>
      <c r="L1203" s="69"/>
    </row>
    <row r="1204" spans="1:47" ht="14.4">
      <c r="A1204" s="50" t="s">
        <v>4</v>
      </c>
      <c r="B1204" s="51" t="s">
        <v>116</v>
      </c>
      <c r="C1204" s="51" t="s">
        <v>2293</v>
      </c>
      <c r="D1204" s="222" t="s">
        <v>2294</v>
      </c>
      <c r="E1204" s="223"/>
      <c r="F1204" s="52" t="s">
        <v>79</v>
      </c>
      <c r="G1204" s="52" t="s">
        <v>79</v>
      </c>
      <c r="H1204" s="52" t="s">
        <v>79</v>
      </c>
      <c r="I1204" s="27">
        <f>SUM(I1205:I1212)</f>
        <v>0</v>
      </c>
      <c r="J1204" s="34" t="s">
        <v>4</v>
      </c>
      <c r="K1204" s="27">
        <f>SUM(K1205:K1212)</f>
        <v>0.207095</v>
      </c>
      <c r="L1204" s="54" t="s">
        <v>4</v>
      </c>
      <c r="AI1204" s="34" t="s">
        <v>116</v>
      </c>
      <c r="AS1204" s="27">
        <f>SUM(AJ1205:AJ1212)</f>
        <v>0</v>
      </c>
      <c r="AT1204" s="27">
        <f>SUM(AK1205:AK1212)</f>
        <v>0</v>
      </c>
      <c r="AU1204" s="27">
        <f>SUM(AL1205:AL1212)</f>
        <v>0</v>
      </c>
    </row>
    <row r="1205" spans="1:75" ht="13.5" customHeight="1">
      <c r="A1205" s="1" t="s">
        <v>2295</v>
      </c>
      <c r="B1205" s="2" t="s">
        <v>116</v>
      </c>
      <c r="C1205" s="2" t="s">
        <v>2296</v>
      </c>
      <c r="D1205" s="147" t="s">
        <v>2297</v>
      </c>
      <c r="E1205" s="148"/>
      <c r="F1205" s="2" t="s">
        <v>729</v>
      </c>
      <c r="G1205" s="55">
        <f>'Stavební rozpočet-vyplnit'!G1205</f>
        <v>1010.9</v>
      </c>
      <c r="H1205" s="55">
        <f>'Stavební rozpočet-vyplnit'!H1205</f>
        <v>0</v>
      </c>
      <c r="I1205" s="55">
        <f>G1205*H1205</f>
        <v>0</v>
      </c>
      <c r="J1205" s="55">
        <f>'Stavební rozpočet-vyplnit'!J1205</f>
        <v>5E-05</v>
      </c>
      <c r="K1205" s="55">
        <f>G1205*J1205</f>
        <v>0.050545</v>
      </c>
      <c r="L1205" s="57" t="s">
        <v>785</v>
      </c>
      <c r="Z1205" s="55">
        <f>IF(AQ1205="5",BJ1205,0)</f>
        <v>0</v>
      </c>
      <c r="AB1205" s="55">
        <f>IF(AQ1205="1",BH1205,0)</f>
        <v>0</v>
      </c>
      <c r="AC1205" s="55">
        <f>IF(AQ1205="1",BI1205,0)</f>
        <v>0</v>
      </c>
      <c r="AD1205" s="55">
        <f>IF(AQ1205="7",BH1205,0)</f>
        <v>0</v>
      </c>
      <c r="AE1205" s="55">
        <f>IF(AQ1205="7",BI1205,0)</f>
        <v>0</v>
      </c>
      <c r="AF1205" s="55">
        <f>IF(AQ1205="2",BH1205,0)</f>
        <v>0</v>
      </c>
      <c r="AG1205" s="55">
        <f>IF(AQ1205="2",BI1205,0)</f>
        <v>0</v>
      </c>
      <c r="AH1205" s="55">
        <f>IF(AQ1205="0",BJ1205,0)</f>
        <v>0</v>
      </c>
      <c r="AI1205" s="34" t="s">
        <v>116</v>
      </c>
      <c r="AJ1205" s="55">
        <f>IF(AN1205=0,I1205,0)</f>
        <v>0</v>
      </c>
      <c r="AK1205" s="55">
        <f>IF(AN1205=12,I1205,0)</f>
        <v>0</v>
      </c>
      <c r="AL1205" s="55">
        <f>IF(AN1205=21,I1205,0)</f>
        <v>0</v>
      </c>
      <c r="AN1205" s="55">
        <v>21</v>
      </c>
      <c r="AO1205" s="55">
        <f>H1205*0.156682242</f>
        <v>0</v>
      </c>
      <c r="AP1205" s="55">
        <f>H1205*(1-0.156682242)</f>
        <v>0</v>
      </c>
      <c r="AQ1205" s="58" t="s">
        <v>125</v>
      </c>
      <c r="AV1205" s="55">
        <f>AW1205+AX1205</f>
        <v>0</v>
      </c>
      <c r="AW1205" s="55">
        <f>G1205*AO1205</f>
        <v>0</v>
      </c>
      <c r="AX1205" s="55">
        <f>G1205*AP1205</f>
        <v>0</v>
      </c>
      <c r="AY1205" s="58" t="s">
        <v>2298</v>
      </c>
      <c r="AZ1205" s="58" t="s">
        <v>2247</v>
      </c>
      <c r="BA1205" s="34" t="s">
        <v>128</v>
      </c>
      <c r="BB1205" s="67">
        <v>100022</v>
      </c>
      <c r="BC1205" s="55">
        <f>AW1205+AX1205</f>
        <v>0</v>
      </c>
      <c r="BD1205" s="55">
        <f>H1205/(100-BE1205)*100</f>
        <v>0</v>
      </c>
      <c r="BE1205" s="55">
        <v>0</v>
      </c>
      <c r="BF1205" s="55">
        <f>K1205</f>
        <v>0.050545</v>
      </c>
      <c r="BH1205" s="55">
        <f>G1205*AO1205</f>
        <v>0</v>
      </c>
      <c r="BI1205" s="55">
        <f>G1205*AP1205</f>
        <v>0</v>
      </c>
      <c r="BJ1205" s="55">
        <f>G1205*H1205</f>
        <v>0</v>
      </c>
      <c r="BK1205" s="55"/>
      <c r="BL1205" s="55">
        <v>784</v>
      </c>
      <c r="BW1205" s="55">
        <v>21</v>
      </c>
    </row>
    <row r="1206" spans="1:12" ht="14.4">
      <c r="A1206" s="59"/>
      <c r="D1206" s="60" t="s">
        <v>2299</v>
      </c>
      <c r="E1206" s="60" t="s">
        <v>2300</v>
      </c>
      <c r="G1206" s="68">
        <v>8.1</v>
      </c>
      <c r="L1206" s="69"/>
    </row>
    <row r="1207" spans="1:12" ht="14.4">
      <c r="A1207" s="59"/>
      <c r="D1207" s="60" t="s">
        <v>2301</v>
      </c>
      <c r="E1207" s="60" t="s">
        <v>2302</v>
      </c>
      <c r="G1207" s="68">
        <v>639.7</v>
      </c>
      <c r="L1207" s="69"/>
    </row>
    <row r="1208" spans="1:12" ht="14.4">
      <c r="A1208" s="59"/>
      <c r="D1208" s="60" t="s">
        <v>2303</v>
      </c>
      <c r="E1208" s="60" t="s">
        <v>2304</v>
      </c>
      <c r="G1208" s="68">
        <v>363.1</v>
      </c>
      <c r="L1208" s="69"/>
    </row>
    <row r="1209" spans="1:75" ht="13.5" customHeight="1">
      <c r="A1209" s="1" t="s">
        <v>2305</v>
      </c>
      <c r="B1209" s="2" t="s">
        <v>116</v>
      </c>
      <c r="C1209" s="2" t="s">
        <v>2306</v>
      </c>
      <c r="D1209" s="147" t="s">
        <v>2307</v>
      </c>
      <c r="E1209" s="148"/>
      <c r="F1209" s="2" t="s">
        <v>729</v>
      </c>
      <c r="G1209" s="55">
        <f>'Stavební rozpočet-vyplnit'!G1209</f>
        <v>505</v>
      </c>
      <c r="H1209" s="55">
        <f>'Stavební rozpočet-vyplnit'!H1209</f>
        <v>0</v>
      </c>
      <c r="I1209" s="55">
        <f>G1209*H1209</f>
        <v>0</v>
      </c>
      <c r="J1209" s="55">
        <f>'Stavební rozpočet-vyplnit'!J1209</f>
        <v>0.00015</v>
      </c>
      <c r="K1209" s="55">
        <f>G1209*J1209</f>
        <v>0.07575</v>
      </c>
      <c r="L1209" s="57" t="s">
        <v>785</v>
      </c>
      <c r="Z1209" s="55">
        <f>IF(AQ1209="5",BJ1209,0)</f>
        <v>0</v>
      </c>
      <c r="AB1209" s="55">
        <f>IF(AQ1209="1",BH1209,0)</f>
        <v>0</v>
      </c>
      <c r="AC1209" s="55">
        <f>IF(AQ1209="1",BI1209,0)</f>
        <v>0</v>
      </c>
      <c r="AD1209" s="55">
        <f>IF(AQ1209="7",BH1209,0)</f>
        <v>0</v>
      </c>
      <c r="AE1209" s="55">
        <f>IF(AQ1209="7",BI1209,0)</f>
        <v>0</v>
      </c>
      <c r="AF1209" s="55">
        <f>IF(AQ1209="2",BH1209,0)</f>
        <v>0</v>
      </c>
      <c r="AG1209" s="55">
        <f>IF(AQ1209="2",BI1209,0)</f>
        <v>0</v>
      </c>
      <c r="AH1209" s="55">
        <f>IF(AQ1209="0",BJ1209,0)</f>
        <v>0</v>
      </c>
      <c r="AI1209" s="34" t="s">
        <v>116</v>
      </c>
      <c r="AJ1209" s="55">
        <f>IF(AN1209=0,I1209,0)</f>
        <v>0</v>
      </c>
      <c r="AK1209" s="55">
        <f>IF(AN1209=12,I1209,0)</f>
        <v>0</v>
      </c>
      <c r="AL1209" s="55">
        <f>IF(AN1209=21,I1209,0)</f>
        <v>0</v>
      </c>
      <c r="AN1209" s="55">
        <v>21</v>
      </c>
      <c r="AO1209" s="55">
        <f>H1209*0.104361371</f>
        <v>0</v>
      </c>
      <c r="AP1209" s="55">
        <f>H1209*(1-0.104361371)</f>
        <v>0</v>
      </c>
      <c r="AQ1209" s="58" t="s">
        <v>125</v>
      </c>
      <c r="AV1209" s="55">
        <f>AW1209+AX1209</f>
        <v>0</v>
      </c>
      <c r="AW1209" s="55">
        <f>G1209*AO1209</f>
        <v>0</v>
      </c>
      <c r="AX1209" s="55">
        <f>G1209*AP1209</f>
        <v>0</v>
      </c>
      <c r="AY1209" s="58" t="s">
        <v>2298</v>
      </c>
      <c r="AZ1209" s="58" t="s">
        <v>2247</v>
      </c>
      <c r="BA1209" s="34" t="s">
        <v>128</v>
      </c>
      <c r="BB1209" s="67">
        <v>100022</v>
      </c>
      <c r="BC1209" s="55">
        <f>AW1209+AX1209</f>
        <v>0</v>
      </c>
      <c r="BD1209" s="55">
        <f>H1209/(100-BE1209)*100</f>
        <v>0</v>
      </c>
      <c r="BE1209" s="55">
        <v>0</v>
      </c>
      <c r="BF1209" s="55">
        <f>K1209</f>
        <v>0.07575</v>
      </c>
      <c r="BH1209" s="55">
        <f>G1209*AO1209</f>
        <v>0</v>
      </c>
      <c r="BI1209" s="55">
        <f>G1209*AP1209</f>
        <v>0</v>
      </c>
      <c r="BJ1209" s="55">
        <f>G1209*H1209</f>
        <v>0</v>
      </c>
      <c r="BK1209" s="55"/>
      <c r="BL1209" s="55">
        <v>784</v>
      </c>
      <c r="BW1209" s="55">
        <v>21</v>
      </c>
    </row>
    <row r="1210" spans="1:12" ht="13.5" customHeight="1">
      <c r="A1210" s="59"/>
      <c r="D1210" s="218" t="s">
        <v>2308</v>
      </c>
      <c r="E1210" s="219"/>
      <c r="F1210" s="219"/>
      <c r="G1210" s="219"/>
      <c r="H1210" s="219"/>
      <c r="I1210" s="219"/>
      <c r="J1210" s="219"/>
      <c r="K1210" s="219"/>
      <c r="L1210" s="221"/>
    </row>
    <row r="1211" spans="1:12" ht="14.4">
      <c r="A1211" s="59"/>
      <c r="D1211" s="60" t="s">
        <v>2309</v>
      </c>
      <c r="E1211" s="60" t="s">
        <v>4</v>
      </c>
      <c r="G1211" s="68">
        <v>505</v>
      </c>
      <c r="L1211" s="69"/>
    </row>
    <row r="1212" spans="1:75" ht="13.5" customHeight="1">
      <c r="A1212" s="1" t="s">
        <v>2310</v>
      </c>
      <c r="B1212" s="2" t="s">
        <v>116</v>
      </c>
      <c r="C1212" s="2" t="s">
        <v>2311</v>
      </c>
      <c r="D1212" s="147" t="s">
        <v>2312</v>
      </c>
      <c r="E1212" s="148"/>
      <c r="F1212" s="2" t="s">
        <v>729</v>
      </c>
      <c r="G1212" s="55">
        <f>'Stavební rozpočet-vyplnit'!G1212</f>
        <v>505</v>
      </c>
      <c r="H1212" s="55">
        <f>'Stavební rozpočet-vyplnit'!H1212</f>
        <v>0</v>
      </c>
      <c r="I1212" s="55">
        <f>G1212*H1212</f>
        <v>0</v>
      </c>
      <c r="J1212" s="55">
        <f>'Stavební rozpočet-vyplnit'!J1212</f>
        <v>0.00016</v>
      </c>
      <c r="K1212" s="55">
        <f>G1212*J1212</f>
        <v>0.08080000000000001</v>
      </c>
      <c r="L1212" s="57" t="s">
        <v>785</v>
      </c>
      <c r="Z1212" s="55">
        <f>IF(AQ1212="5",BJ1212,0)</f>
        <v>0</v>
      </c>
      <c r="AB1212" s="55">
        <f>IF(AQ1212="1",BH1212,0)</f>
        <v>0</v>
      </c>
      <c r="AC1212" s="55">
        <f>IF(AQ1212="1",BI1212,0)</f>
        <v>0</v>
      </c>
      <c r="AD1212" s="55">
        <f>IF(AQ1212="7",BH1212,0)</f>
        <v>0</v>
      </c>
      <c r="AE1212" s="55">
        <f>IF(AQ1212="7",BI1212,0)</f>
        <v>0</v>
      </c>
      <c r="AF1212" s="55">
        <f>IF(AQ1212="2",BH1212,0)</f>
        <v>0</v>
      </c>
      <c r="AG1212" s="55">
        <f>IF(AQ1212="2",BI1212,0)</f>
        <v>0</v>
      </c>
      <c r="AH1212" s="55">
        <f>IF(AQ1212="0",BJ1212,0)</f>
        <v>0</v>
      </c>
      <c r="AI1212" s="34" t="s">
        <v>116</v>
      </c>
      <c r="AJ1212" s="55">
        <f>IF(AN1212=0,I1212,0)</f>
        <v>0</v>
      </c>
      <c r="AK1212" s="55">
        <f>IF(AN1212=12,I1212,0)</f>
        <v>0</v>
      </c>
      <c r="AL1212" s="55">
        <f>IF(AN1212=21,I1212,0)</f>
        <v>0</v>
      </c>
      <c r="AN1212" s="55">
        <v>21</v>
      </c>
      <c r="AO1212" s="55">
        <f>H1212*0.1265625</f>
        <v>0</v>
      </c>
      <c r="AP1212" s="55">
        <f>H1212*(1-0.1265625)</f>
        <v>0</v>
      </c>
      <c r="AQ1212" s="58" t="s">
        <v>125</v>
      </c>
      <c r="AV1212" s="55">
        <f>AW1212+AX1212</f>
        <v>0</v>
      </c>
      <c r="AW1212" s="55">
        <f>G1212*AO1212</f>
        <v>0</v>
      </c>
      <c r="AX1212" s="55">
        <f>G1212*AP1212</f>
        <v>0</v>
      </c>
      <c r="AY1212" s="58" t="s">
        <v>2298</v>
      </c>
      <c r="AZ1212" s="58" t="s">
        <v>2247</v>
      </c>
      <c r="BA1212" s="34" t="s">
        <v>128</v>
      </c>
      <c r="BB1212" s="67">
        <v>100022</v>
      </c>
      <c r="BC1212" s="55">
        <f>AW1212+AX1212</f>
        <v>0</v>
      </c>
      <c r="BD1212" s="55">
        <f>H1212/(100-BE1212)*100</f>
        <v>0</v>
      </c>
      <c r="BE1212" s="55">
        <v>0</v>
      </c>
      <c r="BF1212" s="55">
        <f>K1212</f>
        <v>0.08080000000000001</v>
      </c>
      <c r="BH1212" s="55">
        <f>G1212*AO1212</f>
        <v>0</v>
      </c>
      <c r="BI1212" s="55">
        <f>G1212*AP1212</f>
        <v>0</v>
      </c>
      <c r="BJ1212" s="55">
        <f>G1212*H1212</f>
        <v>0</v>
      </c>
      <c r="BK1212" s="55"/>
      <c r="BL1212" s="55">
        <v>784</v>
      </c>
      <c r="BW1212" s="55">
        <v>21</v>
      </c>
    </row>
    <row r="1213" spans="1:12" ht="13.5" customHeight="1">
      <c r="A1213" s="59"/>
      <c r="D1213" s="218" t="s">
        <v>2313</v>
      </c>
      <c r="E1213" s="219"/>
      <c r="F1213" s="219"/>
      <c r="G1213" s="219"/>
      <c r="H1213" s="219"/>
      <c r="I1213" s="219"/>
      <c r="J1213" s="219"/>
      <c r="K1213" s="219"/>
      <c r="L1213" s="221"/>
    </row>
    <row r="1214" spans="1:12" ht="14.4">
      <c r="A1214" s="59"/>
      <c r="D1214" s="60" t="s">
        <v>2309</v>
      </c>
      <c r="E1214" s="60" t="s">
        <v>4</v>
      </c>
      <c r="G1214" s="68">
        <v>505</v>
      </c>
      <c r="L1214" s="69"/>
    </row>
    <row r="1215" spans="1:47" ht="14.4">
      <c r="A1215" s="50" t="s">
        <v>4</v>
      </c>
      <c r="B1215" s="51" t="s">
        <v>116</v>
      </c>
      <c r="C1215" s="51" t="s">
        <v>2314</v>
      </c>
      <c r="D1215" s="222" t="s">
        <v>2315</v>
      </c>
      <c r="E1215" s="223"/>
      <c r="F1215" s="52" t="s">
        <v>79</v>
      </c>
      <c r="G1215" s="52" t="s">
        <v>79</v>
      </c>
      <c r="H1215" s="52" t="s">
        <v>79</v>
      </c>
      <c r="I1215" s="27">
        <f>SUM(I1216:I1220)</f>
        <v>0</v>
      </c>
      <c r="J1215" s="34" t="s">
        <v>4</v>
      </c>
      <c r="K1215" s="27">
        <f>SUM(K1216:K1220)</f>
        <v>0.0996</v>
      </c>
      <c r="L1215" s="54" t="s">
        <v>4</v>
      </c>
      <c r="AI1215" s="34" t="s">
        <v>116</v>
      </c>
      <c r="AS1215" s="27">
        <f>SUM(AJ1216:AJ1220)</f>
        <v>0</v>
      </c>
      <c r="AT1215" s="27">
        <f>SUM(AK1216:AK1220)</f>
        <v>0</v>
      </c>
      <c r="AU1215" s="27">
        <f>SUM(AL1216:AL1220)</f>
        <v>0</v>
      </c>
    </row>
    <row r="1216" spans="1:75" ht="13.5" customHeight="1">
      <c r="A1216" s="1" t="s">
        <v>2316</v>
      </c>
      <c r="B1216" s="2" t="s">
        <v>116</v>
      </c>
      <c r="C1216" s="2" t="s">
        <v>2317</v>
      </c>
      <c r="D1216" s="147" t="s">
        <v>2318</v>
      </c>
      <c r="E1216" s="148"/>
      <c r="F1216" s="2" t="s">
        <v>2319</v>
      </c>
      <c r="G1216" s="55">
        <f>'Stavební rozpočet-vyplnit'!G1216</f>
        <v>1</v>
      </c>
      <c r="H1216" s="55">
        <f>'Stavební rozpočet-vyplnit'!H1216</f>
        <v>0</v>
      </c>
      <c r="I1216" s="55">
        <f>G1216*H1216</f>
        <v>0</v>
      </c>
      <c r="J1216" s="55">
        <f>'Stavební rozpočet-vyplnit'!J1216</f>
        <v>0</v>
      </c>
      <c r="K1216" s="55">
        <f>G1216*J1216</f>
        <v>0</v>
      </c>
      <c r="L1216" s="57" t="s">
        <v>124</v>
      </c>
      <c r="Z1216" s="55">
        <f>IF(AQ1216="5",BJ1216,0)</f>
        <v>0</v>
      </c>
      <c r="AB1216" s="55">
        <f>IF(AQ1216="1",BH1216,0)</f>
        <v>0</v>
      </c>
      <c r="AC1216" s="55">
        <f>IF(AQ1216="1",BI1216,0)</f>
        <v>0</v>
      </c>
      <c r="AD1216" s="55">
        <f>IF(AQ1216="7",BH1216,0)</f>
        <v>0</v>
      </c>
      <c r="AE1216" s="55">
        <f>IF(AQ1216="7",BI1216,0)</f>
        <v>0</v>
      </c>
      <c r="AF1216" s="55">
        <f>IF(AQ1216="2",BH1216,0)</f>
        <v>0</v>
      </c>
      <c r="AG1216" s="55">
        <f>IF(AQ1216="2",BI1216,0)</f>
        <v>0</v>
      </c>
      <c r="AH1216" s="55">
        <f>IF(AQ1216="0",BJ1216,0)</f>
        <v>0</v>
      </c>
      <c r="AI1216" s="34" t="s">
        <v>116</v>
      </c>
      <c r="AJ1216" s="55">
        <f>IF(AN1216=0,I1216,0)</f>
        <v>0</v>
      </c>
      <c r="AK1216" s="55">
        <f>IF(AN1216=12,I1216,0)</f>
        <v>0</v>
      </c>
      <c r="AL1216" s="55">
        <f>IF(AN1216=21,I1216,0)</f>
        <v>0</v>
      </c>
      <c r="AN1216" s="55">
        <v>21</v>
      </c>
      <c r="AO1216" s="55">
        <f>H1216*0</f>
        <v>0</v>
      </c>
      <c r="AP1216" s="55">
        <f>H1216*(1-0)</f>
        <v>0</v>
      </c>
      <c r="AQ1216" s="58" t="s">
        <v>125</v>
      </c>
      <c r="AV1216" s="55">
        <f>AW1216+AX1216</f>
        <v>0</v>
      </c>
      <c r="AW1216" s="55">
        <f>G1216*AO1216</f>
        <v>0</v>
      </c>
      <c r="AX1216" s="55">
        <f>G1216*AP1216</f>
        <v>0</v>
      </c>
      <c r="AY1216" s="58" t="s">
        <v>2320</v>
      </c>
      <c r="AZ1216" s="58" t="s">
        <v>2321</v>
      </c>
      <c r="BA1216" s="34" t="s">
        <v>128</v>
      </c>
      <c r="BB1216" s="67">
        <v>100030</v>
      </c>
      <c r="BC1216" s="55">
        <f>AW1216+AX1216</f>
        <v>0</v>
      </c>
      <c r="BD1216" s="55">
        <f>H1216/(100-BE1216)*100</f>
        <v>0</v>
      </c>
      <c r="BE1216" s="55">
        <v>0</v>
      </c>
      <c r="BF1216" s="55">
        <f>K1216</f>
        <v>0</v>
      </c>
      <c r="BH1216" s="55">
        <f>G1216*AO1216</f>
        <v>0</v>
      </c>
      <c r="BI1216" s="55">
        <f>G1216*AP1216</f>
        <v>0</v>
      </c>
      <c r="BJ1216" s="55">
        <f>G1216*H1216</f>
        <v>0</v>
      </c>
      <c r="BK1216" s="55"/>
      <c r="BL1216" s="55"/>
      <c r="BW1216" s="55">
        <v>21</v>
      </c>
    </row>
    <row r="1217" spans="1:12" ht="13.5" customHeight="1">
      <c r="A1217" s="59"/>
      <c r="D1217" s="218" t="s">
        <v>2322</v>
      </c>
      <c r="E1217" s="219"/>
      <c r="F1217" s="219"/>
      <c r="G1217" s="219"/>
      <c r="H1217" s="219"/>
      <c r="I1217" s="219"/>
      <c r="J1217" s="219"/>
      <c r="K1217" s="219"/>
      <c r="L1217" s="221"/>
    </row>
    <row r="1218" spans="1:75" ht="13.5" customHeight="1">
      <c r="A1218" s="61" t="s">
        <v>2323</v>
      </c>
      <c r="B1218" s="62" t="s">
        <v>116</v>
      </c>
      <c r="C1218" s="62" t="s">
        <v>2324</v>
      </c>
      <c r="D1218" s="224" t="s">
        <v>2325</v>
      </c>
      <c r="E1218" s="225"/>
      <c r="F1218" s="62" t="s">
        <v>374</v>
      </c>
      <c r="G1218" s="63">
        <f>'Stavební rozpočet-vyplnit'!G1218</f>
        <v>6</v>
      </c>
      <c r="H1218" s="63">
        <f>'Stavební rozpočet-vyplnit'!H1218</f>
        <v>0</v>
      </c>
      <c r="I1218" s="63">
        <f>G1218*H1218</f>
        <v>0</v>
      </c>
      <c r="J1218" s="63">
        <f>'Stavební rozpočet-vyplnit'!J1218</f>
        <v>0.0166</v>
      </c>
      <c r="K1218" s="63">
        <f>G1218*J1218</f>
        <v>0.0996</v>
      </c>
      <c r="L1218" s="65" t="s">
        <v>785</v>
      </c>
      <c r="Z1218" s="55">
        <f>IF(AQ1218="5",BJ1218,0)</f>
        <v>0</v>
      </c>
      <c r="AB1218" s="55">
        <f>IF(AQ1218="1",BH1218,0)</f>
        <v>0</v>
      </c>
      <c r="AC1218" s="55">
        <f>IF(AQ1218="1",BI1218,0)</f>
        <v>0</v>
      </c>
      <c r="AD1218" s="55">
        <f>IF(AQ1218="7",BH1218,0)</f>
        <v>0</v>
      </c>
      <c r="AE1218" s="55">
        <f>IF(AQ1218="7",BI1218,0)</f>
        <v>0</v>
      </c>
      <c r="AF1218" s="55">
        <f>IF(AQ1218="2",BH1218,0)</f>
        <v>0</v>
      </c>
      <c r="AG1218" s="55">
        <f>IF(AQ1218="2",BI1218,0)</f>
        <v>0</v>
      </c>
      <c r="AH1218" s="55">
        <f>IF(AQ1218="0",BJ1218,0)</f>
        <v>0</v>
      </c>
      <c r="AI1218" s="34" t="s">
        <v>116</v>
      </c>
      <c r="AJ1218" s="63">
        <f>IF(AN1218=0,I1218,0)</f>
        <v>0</v>
      </c>
      <c r="AK1218" s="63">
        <f>IF(AN1218=12,I1218,0)</f>
        <v>0</v>
      </c>
      <c r="AL1218" s="63">
        <f>IF(AN1218=21,I1218,0)</f>
        <v>0</v>
      </c>
      <c r="AN1218" s="55">
        <v>21</v>
      </c>
      <c r="AO1218" s="55">
        <f>H1218*1</f>
        <v>0</v>
      </c>
      <c r="AP1218" s="55">
        <f>H1218*(1-1)</f>
        <v>0</v>
      </c>
      <c r="AQ1218" s="66" t="s">
        <v>125</v>
      </c>
      <c r="AV1218" s="55">
        <f>AW1218+AX1218</f>
        <v>0</v>
      </c>
      <c r="AW1218" s="55">
        <f>G1218*AO1218</f>
        <v>0</v>
      </c>
      <c r="AX1218" s="55">
        <f>G1218*AP1218</f>
        <v>0</v>
      </c>
      <c r="AY1218" s="58" t="s">
        <v>2320</v>
      </c>
      <c r="AZ1218" s="58" t="s">
        <v>2321</v>
      </c>
      <c r="BA1218" s="34" t="s">
        <v>128</v>
      </c>
      <c r="BC1218" s="55">
        <f>AW1218+AX1218</f>
        <v>0</v>
      </c>
      <c r="BD1218" s="55">
        <f>H1218/(100-BE1218)*100</f>
        <v>0</v>
      </c>
      <c r="BE1218" s="55">
        <v>0</v>
      </c>
      <c r="BF1218" s="55">
        <f>K1218</f>
        <v>0.0996</v>
      </c>
      <c r="BH1218" s="63">
        <f>G1218*AO1218</f>
        <v>0</v>
      </c>
      <c r="BI1218" s="63">
        <f>G1218*AP1218</f>
        <v>0</v>
      </c>
      <c r="BJ1218" s="63">
        <f>G1218*H1218</f>
        <v>0</v>
      </c>
      <c r="BK1218" s="63"/>
      <c r="BL1218" s="55"/>
      <c r="BW1218" s="55">
        <v>21</v>
      </c>
    </row>
    <row r="1219" spans="1:12" ht="14.4">
      <c r="A1219" s="59"/>
      <c r="D1219" s="60" t="s">
        <v>142</v>
      </c>
      <c r="E1219" s="60" t="s">
        <v>4</v>
      </c>
      <c r="G1219" s="68">
        <v>6</v>
      </c>
      <c r="L1219" s="69"/>
    </row>
    <row r="1220" spans="1:75" ht="13.5" customHeight="1">
      <c r="A1220" s="61" t="s">
        <v>2326</v>
      </c>
      <c r="B1220" s="62" t="s">
        <v>116</v>
      </c>
      <c r="C1220" s="62" t="s">
        <v>2327</v>
      </c>
      <c r="D1220" s="224" t="s">
        <v>2328</v>
      </c>
      <c r="E1220" s="225"/>
      <c r="F1220" s="62" t="s">
        <v>2319</v>
      </c>
      <c r="G1220" s="63">
        <f>'Stavební rozpočet-vyplnit'!G1220</f>
        <v>1</v>
      </c>
      <c r="H1220" s="63">
        <f>'Stavební rozpočet-vyplnit'!H1220</f>
        <v>0</v>
      </c>
      <c r="I1220" s="63">
        <f>G1220*H1220</f>
        <v>0</v>
      </c>
      <c r="J1220" s="63">
        <f>'Stavební rozpočet-vyplnit'!J1220</f>
        <v>0</v>
      </c>
      <c r="K1220" s="63">
        <f>G1220*J1220</f>
        <v>0</v>
      </c>
      <c r="L1220" s="65" t="s">
        <v>124</v>
      </c>
      <c r="Z1220" s="55">
        <f>IF(AQ1220="5",BJ1220,0)</f>
        <v>0</v>
      </c>
      <c r="AB1220" s="55">
        <f>IF(AQ1220="1",BH1220,0)</f>
        <v>0</v>
      </c>
      <c r="AC1220" s="55">
        <f>IF(AQ1220="1",BI1220,0)</f>
        <v>0</v>
      </c>
      <c r="AD1220" s="55">
        <f>IF(AQ1220="7",BH1220,0)</f>
        <v>0</v>
      </c>
      <c r="AE1220" s="55">
        <f>IF(AQ1220="7",BI1220,0)</f>
        <v>0</v>
      </c>
      <c r="AF1220" s="55">
        <f>IF(AQ1220="2",BH1220,0)</f>
        <v>0</v>
      </c>
      <c r="AG1220" s="55">
        <f>IF(AQ1220="2",BI1220,0)</f>
        <v>0</v>
      </c>
      <c r="AH1220" s="55">
        <f>IF(AQ1220="0",BJ1220,0)</f>
        <v>0</v>
      </c>
      <c r="AI1220" s="34" t="s">
        <v>116</v>
      </c>
      <c r="AJ1220" s="55">
        <f>IF(AN1220=0,I1220,0)</f>
        <v>0</v>
      </c>
      <c r="AK1220" s="55">
        <f>IF(AN1220=12,I1220,0)</f>
        <v>0</v>
      </c>
      <c r="AL1220" s="55">
        <f>IF(AN1220=21,I1220,0)</f>
        <v>0</v>
      </c>
      <c r="AN1220" s="55">
        <v>21</v>
      </c>
      <c r="AO1220" s="55">
        <f>H1220*1</f>
        <v>0</v>
      </c>
      <c r="AP1220" s="55">
        <f>H1220*(1-1)</f>
        <v>0</v>
      </c>
      <c r="AQ1220" s="58" t="s">
        <v>125</v>
      </c>
      <c r="AV1220" s="55">
        <f>AW1220+AX1220</f>
        <v>0</v>
      </c>
      <c r="AW1220" s="55">
        <f>G1220*AO1220</f>
        <v>0</v>
      </c>
      <c r="AX1220" s="55">
        <f>G1220*AP1220</f>
        <v>0</v>
      </c>
      <c r="AY1220" s="58" t="s">
        <v>2320</v>
      </c>
      <c r="AZ1220" s="58" t="s">
        <v>2321</v>
      </c>
      <c r="BA1220" s="34" t="s">
        <v>128</v>
      </c>
      <c r="BC1220" s="55">
        <f>AW1220+AX1220</f>
        <v>0</v>
      </c>
      <c r="BD1220" s="55">
        <f>H1220/(100-BE1220)*100</f>
        <v>0</v>
      </c>
      <c r="BE1220" s="55">
        <v>0</v>
      </c>
      <c r="BF1220" s="55">
        <f>K1220</f>
        <v>0</v>
      </c>
      <c r="BH1220" s="55">
        <f>G1220*AO1220</f>
        <v>0</v>
      </c>
      <c r="BI1220" s="55">
        <f>G1220*AP1220</f>
        <v>0</v>
      </c>
      <c r="BJ1220" s="55">
        <f>G1220*H1220</f>
        <v>0</v>
      </c>
      <c r="BK1220" s="55"/>
      <c r="BL1220" s="55"/>
      <c r="BW1220" s="55">
        <v>21</v>
      </c>
    </row>
    <row r="1221" spans="1:12" ht="14.4">
      <c r="A1221" s="70"/>
      <c r="B1221" s="71"/>
      <c r="C1221" s="71"/>
      <c r="D1221" s="72" t="s">
        <v>120</v>
      </c>
      <c r="E1221" s="72" t="s">
        <v>4</v>
      </c>
      <c r="F1221" s="71"/>
      <c r="G1221" s="73">
        <v>1</v>
      </c>
      <c r="H1221" s="71"/>
      <c r="I1221" s="71"/>
      <c r="J1221" s="71"/>
      <c r="K1221" s="71"/>
      <c r="L1221" s="75"/>
    </row>
    <row r="1222" spans="1:47" ht="14.4">
      <c r="A1222" s="50" t="s">
        <v>4</v>
      </c>
      <c r="B1222" s="51" t="s">
        <v>116</v>
      </c>
      <c r="C1222" s="51" t="s">
        <v>2329</v>
      </c>
      <c r="D1222" s="222" t="s">
        <v>2330</v>
      </c>
      <c r="E1222" s="223"/>
      <c r="F1222" s="52" t="s">
        <v>79</v>
      </c>
      <c r="G1222" s="52" t="s">
        <v>79</v>
      </c>
      <c r="H1222" s="52" t="s">
        <v>79</v>
      </c>
      <c r="I1222" s="27">
        <f>SUM(I1223:I1226)</f>
        <v>0</v>
      </c>
      <c r="J1222" s="34" t="s">
        <v>4</v>
      </c>
      <c r="K1222" s="27">
        <f>SUM(K1223:K1226)</f>
        <v>2.5</v>
      </c>
      <c r="L1222" s="54" t="s">
        <v>4</v>
      </c>
      <c r="AI1222" s="34" t="s">
        <v>116</v>
      </c>
      <c r="AS1222" s="27">
        <f>SUM(AJ1223:AJ1226)</f>
        <v>0</v>
      </c>
      <c r="AT1222" s="27">
        <f>SUM(AK1223:AK1226)</f>
        <v>0</v>
      </c>
      <c r="AU1222" s="27">
        <f>SUM(AL1223:AL1226)</f>
        <v>0</v>
      </c>
    </row>
    <row r="1223" spans="1:75" ht="13.5" customHeight="1">
      <c r="A1223" s="1" t="s">
        <v>2331</v>
      </c>
      <c r="B1223" s="2" t="s">
        <v>116</v>
      </c>
      <c r="C1223" s="2" t="s">
        <v>2332</v>
      </c>
      <c r="D1223" s="147" t="s">
        <v>2333</v>
      </c>
      <c r="E1223" s="148"/>
      <c r="F1223" s="2" t="s">
        <v>1791</v>
      </c>
      <c r="G1223" s="55">
        <f>'Stavební rozpočet-vyplnit'!G1223</f>
        <v>48</v>
      </c>
      <c r="H1223" s="55">
        <f>'Stavební rozpočet-vyplnit'!H1223</f>
        <v>0</v>
      </c>
      <c r="I1223" s="55">
        <f>G1223*H1223</f>
        <v>0</v>
      </c>
      <c r="J1223" s="55">
        <f>'Stavební rozpočet-vyplnit'!J1223</f>
        <v>0</v>
      </c>
      <c r="K1223" s="55">
        <f>G1223*J1223</f>
        <v>0</v>
      </c>
      <c r="L1223" s="57" t="s">
        <v>785</v>
      </c>
      <c r="Z1223" s="55">
        <f>IF(AQ1223="5",BJ1223,0)</f>
        <v>0</v>
      </c>
      <c r="AB1223" s="55">
        <f>IF(AQ1223="1",BH1223,0)</f>
        <v>0</v>
      </c>
      <c r="AC1223" s="55">
        <f>IF(AQ1223="1",BI1223,0)</f>
        <v>0</v>
      </c>
      <c r="AD1223" s="55">
        <f>IF(AQ1223="7",BH1223,0)</f>
        <v>0</v>
      </c>
      <c r="AE1223" s="55">
        <f>IF(AQ1223="7",BI1223,0)</f>
        <v>0</v>
      </c>
      <c r="AF1223" s="55">
        <f>IF(AQ1223="2",BH1223,0)</f>
        <v>0</v>
      </c>
      <c r="AG1223" s="55">
        <f>IF(AQ1223="2",BI1223,0)</f>
        <v>0</v>
      </c>
      <c r="AH1223" s="55">
        <f>IF(AQ1223="0",BJ1223,0)</f>
        <v>0</v>
      </c>
      <c r="AI1223" s="34" t="s">
        <v>116</v>
      </c>
      <c r="AJ1223" s="55">
        <f>IF(AN1223=0,I1223,0)</f>
        <v>0</v>
      </c>
      <c r="AK1223" s="55">
        <f>IF(AN1223=12,I1223,0)</f>
        <v>0</v>
      </c>
      <c r="AL1223" s="55">
        <f>IF(AN1223=21,I1223,0)</f>
        <v>0</v>
      </c>
      <c r="AN1223" s="55">
        <v>21</v>
      </c>
      <c r="AO1223" s="55">
        <f>H1223*0</f>
        <v>0</v>
      </c>
      <c r="AP1223" s="55">
        <f>H1223*(1-0)</f>
        <v>0</v>
      </c>
      <c r="AQ1223" s="58" t="s">
        <v>125</v>
      </c>
      <c r="AV1223" s="55">
        <f>AW1223+AX1223</f>
        <v>0</v>
      </c>
      <c r="AW1223" s="55">
        <f>G1223*AO1223</f>
        <v>0</v>
      </c>
      <c r="AX1223" s="55">
        <f>G1223*AP1223</f>
        <v>0</v>
      </c>
      <c r="AY1223" s="58" t="s">
        <v>2334</v>
      </c>
      <c r="AZ1223" s="58" t="s">
        <v>127</v>
      </c>
      <c r="BA1223" s="34" t="s">
        <v>128</v>
      </c>
      <c r="BC1223" s="55">
        <f>AW1223+AX1223</f>
        <v>0</v>
      </c>
      <c r="BD1223" s="55">
        <f>H1223/(100-BE1223)*100</f>
        <v>0</v>
      </c>
      <c r="BE1223" s="55">
        <v>0</v>
      </c>
      <c r="BF1223" s="55">
        <f>K1223</f>
        <v>0</v>
      </c>
      <c r="BH1223" s="55">
        <f>G1223*AO1223</f>
        <v>0</v>
      </c>
      <c r="BI1223" s="55">
        <f>G1223*AP1223</f>
        <v>0</v>
      </c>
      <c r="BJ1223" s="55">
        <f>G1223*H1223</f>
        <v>0</v>
      </c>
      <c r="BK1223" s="55"/>
      <c r="BL1223" s="55"/>
      <c r="BW1223" s="55">
        <v>21</v>
      </c>
    </row>
    <row r="1224" spans="1:12" ht="27" customHeight="1">
      <c r="A1224" s="59"/>
      <c r="D1224" s="218" t="s">
        <v>2335</v>
      </c>
      <c r="E1224" s="219"/>
      <c r="F1224" s="219"/>
      <c r="G1224" s="219"/>
      <c r="H1224" s="219"/>
      <c r="I1224" s="219"/>
      <c r="J1224" s="219"/>
      <c r="K1224" s="219"/>
      <c r="L1224" s="221"/>
    </row>
    <row r="1225" spans="1:12" ht="14.4">
      <c r="A1225" s="59"/>
      <c r="D1225" s="60" t="s">
        <v>273</v>
      </c>
      <c r="E1225" s="60" t="s">
        <v>4</v>
      </c>
      <c r="G1225" s="68">
        <v>48</v>
      </c>
      <c r="L1225" s="69"/>
    </row>
    <row r="1226" spans="1:75" ht="27" customHeight="1">
      <c r="A1226" s="61" t="s">
        <v>2336</v>
      </c>
      <c r="B1226" s="62" t="s">
        <v>116</v>
      </c>
      <c r="C1226" s="62" t="s">
        <v>2337</v>
      </c>
      <c r="D1226" s="224" t="s">
        <v>2338</v>
      </c>
      <c r="E1226" s="225"/>
      <c r="F1226" s="62" t="s">
        <v>993</v>
      </c>
      <c r="G1226" s="63">
        <f>'Stavební rozpočet-vyplnit'!G1226</f>
        <v>1</v>
      </c>
      <c r="H1226" s="63">
        <f>'Stavební rozpočet-vyplnit'!H1226</f>
        <v>0</v>
      </c>
      <c r="I1226" s="63">
        <f>G1226*H1226</f>
        <v>0</v>
      </c>
      <c r="J1226" s="63">
        <f>'Stavební rozpočet-vyplnit'!J1226</f>
        <v>2.5</v>
      </c>
      <c r="K1226" s="63">
        <f>G1226*J1226</f>
        <v>2.5</v>
      </c>
      <c r="L1226" s="65" t="s">
        <v>124</v>
      </c>
      <c r="Z1226" s="55">
        <f>IF(AQ1226="5",BJ1226,0)</f>
        <v>0</v>
      </c>
      <c r="AB1226" s="55">
        <f>IF(AQ1226="1",BH1226,0)</f>
        <v>0</v>
      </c>
      <c r="AC1226" s="55">
        <f>IF(AQ1226="1",BI1226,0)</f>
        <v>0</v>
      </c>
      <c r="AD1226" s="55">
        <f>IF(AQ1226="7",BH1226,0)</f>
        <v>0</v>
      </c>
      <c r="AE1226" s="55">
        <f>IF(AQ1226="7",BI1226,0)</f>
        <v>0</v>
      </c>
      <c r="AF1226" s="55">
        <f>IF(AQ1226="2",BH1226,0)</f>
        <v>0</v>
      </c>
      <c r="AG1226" s="55">
        <f>IF(AQ1226="2",BI1226,0)</f>
        <v>0</v>
      </c>
      <c r="AH1226" s="55">
        <f>IF(AQ1226="0",BJ1226,0)</f>
        <v>0</v>
      </c>
      <c r="AI1226" s="34" t="s">
        <v>116</v>
      </c>
      <c r="AJ1226" s="63">
        <f>IF(AN1226=0,I1226,0)</f>
        <v>0</v>
      </c>
      <c r="AK1226" s="63">
        <f>IF(AN1226=12,I1226,0)</f>
        <v>0</v>
      </c>
      <c r="AL1226" s="63">
        <f>IF(AN1226=21,I1226,0)</f>
        <v>0</v>
      </c>
      <c r="AN1226" s="55">
        <v>21</v>
      </c>
      <c r="AO1226" s="55">
        <f>H1226*1</f>
        <v>0</v>
      </c>
      <c r="AP1226" s="55">
        <f>H1226*(1-1)</f>
        <v>0</v>
      </c>
      <c r="AQ1226" s="66" t="s">
        <v>125</v>
      </c>
      <c r="AV1226" s="55">
        <f>AW1226+AX1226</f>
        <v>0</v>
      </c>
      <c r="AW1226" s="55">
        <f>G1226*AO1226</f>
        <v>0</v>
      </c>
      <c r="AX1226" s="55">
        <f>G1226*AP1226</f>
        <v>0</v>
      </c>
      <c r="AY1226" s="58" t="s">
        <v>2334</v>
      </c>
      <c r="AZ1226" s="58" t="s">
        <v>127</v>
      </c>
      <c r="BA1226" s="34" t="s">
        <v>128</v>
      </c>
      <c r="BC1226" s="55">
        <f>AW1226+AX1226</f>
        <v>0</v>
      </c>
      <c r="BD1226" s="55">
        <f>H1226/(100-BE1226)*100</f>
        <v>0</v>
      </c>
      <c r="BE1226" s="55">
        <v>0</v>
      </c>
      <c r="BF1226" s="55">
        <f>K1226</f>
        <v>2.5</v>
      </c>
      <c r="BH1226" s="63">
        <f>G1226*AO1226</f>
        <v>0</v>
      </c>
      <c r="BI1226" s="63">
        <f>G1226*AP1226</f>
        <v>0</v>
      </c>
      <c r="BJ1226" s="63">
        <f>G1226*H1226</f>
        <v>0</v>
      </c>
      <c r="BK1226" s="63"/>
      <c r="BL1226" s="55"/>
      <c r="BW1226" s="55">
        <v>21</v>
      </c>
    </row>
    <row r="1227" spans="1:12" ht="14.4">
      <c r="A1227" s="59"/>
      <c r="D1227" s="60" t="s">
        <v>120</v>
      </c>
      <c r="E1227" s="60" t="s">
        <v>4</v>
      </c>
      <c r="G1227" s="68">
        <v>1</v>
      </c>
      <c r="L1227" s="69"/>
    </row>
    <row r="1228" spans="1:47" ht="14.4">
      <c r="A1228" s="50" t="s">
        <v>4</v>
      </c>
      <c r="B1228" s="51" t="s">
        <v>116</v>
      </c>
      <c r="C1228" s="51" t="s">
        <v>422</v>
      </c>
      <c r="D1228" s="222" t="s">
        <v>2339</v>
      </c>
      <c r="E1228" s="223"/>
      <c r="F1228" s="52" t="s">
        <v>79</v>
      </c>
      <c r="G1228" s="52" t="s">
        <v>79</v>
      </c>
      <c r="H1228" s="52" t="s">
        <v>79</v>
      </c>
      <c r="I1228" s="27">
        <f>SUM(I1229:I1241)</f>
        <v>0</v>
      </c>
      <c r="J1228" s="34" t="s">
        <v>4</v>
      </c>
      <c r="K1228" s="27">
        <f>SUM(K1229:K1241)</f>
        <v>12.8376818</v>
      </c>
      <c r="L1228" s="54" t="s">
        <v>4</v>
      </c>
      <c r="AI1228" s="34" t="s">
        <v>116</v>
      </c>
      <c r="AS1228" s="27">
        <f>SUM(AJ1229:AJ1241)</f>
        <v>0</v>
      </c>
      <c r="AT1228" s="27">
        <f>SUM(AK1229:AK1241)</f>
        <v>0</v>
      </c>
      <c r="AU1228" s="27">
        <f>SUM(AL1229:AL1241)</f>
        <v>0</v>
      </c>
    </row>
    <row r="1229" spans="1:75" ht="13.5" customHeight="1">
      <c r="A1229" s="1" t="s">
        <v>2340</v>
      </c>
      <c r="B1229" s="2" t="s">
        <v>116</v>
      </c>
      <c r="C1229" s="2" t="s">
        <v>2341</v>
      </c>
      <c r="D1229" s="147" t="s">
        <v>2342</v>
      </c>
      <c r="E1229" s="148"/>
      <c r="F1229" s="2" t="s">
        <v>729</v>
      </c>
      <c r="G1229" s="55">
        <f>'Stavební rozpočet-vyplnit'!G1229</f>
        <v>489.35</v>
      </c>
      <c r="H1229" s="55">
        <f>'Stavební rozpočet-vyplnit'!H1229</f>
        <v>0</v>
      </c>
      <c r="I1229" s="55">
        <f>G1229*H1229</f>
        <v>0</v>
      </c>
      <c r="J1229" s="55">
        <f>'Stavební rozpočet-vyplnit'!J1229</f>
        <v>0.01838</v>
      </c>
      <c r="K1229" s="55">
        <f>G1229*J1229</f>
        <v>8.994253</v>
      </c>
      <c r="L1229" s="57" t="s">
        <v>785</v>
      </c>
      <c r="Z1229" s="55">
        <f>IF(AQ1229="5",BJ1229,0)</f>
        <v>0</v>
      </c>
      <c r="AB1229" s="55">
        <f>IF(AQ1229="1",BH1229,0)</f>
        <v>0</v>
      </c>
      <c r="AC1229" s="55">
        <f>IF(AQ1229="1",BI1229,0)</f>
        <v>0</v>
      </c>
      <c r="AD1229" s="55">
        <f>IF(AQ1229="7",BH1229,0)</f>
        <v>0</v>
      </c>
      <c r="AE1229" s="55">
        <f>IF(AQ1229="7",BI1229,0)</f>
        <v>0</v>
      </c>
      <c r="AF1229" s="55">
        <f>IF(AQ1229="2",BH1229,0)</f>
        <v>0</v>
      </c>
      <c r="AG1229" s="55">
        <f>IF(AQ1229="2",BI1229,0)</f>
        <v>0</v>
      </c>
      <c r="AH1229" s="55">
        <f>IF(AQ1229="0",BJ1229,0)</f>
        <v>0</v>
      </c>
      <c r="AI1229" s="34" t="s">
        <v>116</v>
      </c>
      <c r="AJ1229" s="55">
        <f>IF(AN1229=0,I1229,0)</f>
        <v>0</v>
      </c>
      <c r="AK1229" s="55">
        <f>IF(AN1229=12,I1229,0)</f>
        <v>0</v>
      </c>
      <c r="AL1229" s="55">
        <f>IF(AN1229=21,I1229,0)</f>
        <v>0</v>
      </c>
      <c r="AN1229" s="55">
        <v>21</v>
      </c>
      <c r="AO1229" s="55">
        <f>H1229*0.00011274</f>
        <v>0</v>
      </c>
      <c r="AP1229" s="55">
        <f>H1229*(1-0.00011274)</f>
        <v>0</v>
      </c>
      <c r="AQ1229" s="58" t="s">
        <v>120</v>
      </c>
      <c r="AV1229" s="55">
        <f>AW1229+AX1229</f>
        <v>0</v>
      </c>
      <c r="AW1229" s="55">
        <f>G1229*AO1229</f>
        <v>0</v>
      </c>
      <c r="AX1229" s="55">
        <f>G1229*AP1229</f>
        <v>0</v>
      </c>
      <c r="AY1229" s="58" t="s">
        <v>2343</v>
      </c>
      <c r="AZ1229" s="58" t="s">
        <v>2344</v>
      </c>
      <c r="BA1229" s="34" t="s">
        <v>128</v>
      </c>
      <c r="BB1229" s="67">
        <v>100019</v>
      </c>
      <c r="BC1229" s="55">
        <f>AW1229+AX1229</f>
        <v>0</v>
      </c>
      <c r="BD1229" s="55">
        <f>H1229/(100-BE1229)*100</f>
        <v>0</v>
      </c>
      <c r="BE1229" s="55">
        <v>0</v>
      </c>
      <c r="BF1229" s="55">
        <f>K1229</f>
        <v>8.994253</v>
      </c>
      <c r="BH1229" s="55">
        <f>G1229*AO1229</f>
        <v>0</v>
      </c>
      <c r="BI1229" s="55">
        <f>G1229*AP1229</f>
        <v>0</v>
      </c>
      <c r="BJ1229" s="55">
        <f>G1229*H1229</f>
        <v>0</v>
      </c>
      <c r="BK1229" s="55"/>
      <c r="BL1229" s="55">
        <v>94</v>
      </c>
      <c r="BW1229" s="55">
        <v>21</v>
      </c>
    </row>
    <row r="1230" spans="1:12" ht="14.4">
      <c r="A1230" s="59"/>
      <c r="D1230" s="60" t="s">
        <v>2345</v>
      </c>
      <c r="E1230" s="60" t="s">
        <v>4</v>
      </c>
      <c r="G1230" s="68">
        <v>416.5</v>
      </c>
      <c r="L1230" s="69"/>
    </row>
    <row r="1231" spans="1:12" ht="14.4">
      <c r="A1231" s="59"/>
      <c r="D1231" s="60" t="s">
        <v>2346</v>
      </c>
      <c r="E1231" s="60" t="s">
        <v>4</v>
      </c>
      <c r="G1231" s="68">
        <v>72.85</v>
      </c>
      <c r="L1231" s="69"/>
    </row>
    <row r="1232" spans="1:75" ht="13.5" customHeight="1">
      <c r="A1232" s="1" t="s">
        <v>2347</v>
      </c>
      <c r="B1232" s="2" t="s">
        <v>116</v>
      </c>
      <c r="C1232" s="2" t="s">
        <v>2348</v>
      </c>
      <c r="D1232" s="147" t="s">
        <v>2349</v>
      </c>
      <c r="E1232" s="148"/>
      <c r="F1232" s="2" t="s">
        <v>729</v>
      </c>
      <c r="G1232" s="55">
        <f>'Stavební rozpočet-vyplnit'!G1232</f>
        <v>2936.1</v>
      </c>
      <c r="H1232" s="55">
        <f>'Stavební rozpočet-vyplnit'!H1232</f>
        <v>0</v>
      </c>
      <c r="I1232" s="55">
        <f>G1232*H1232</f>
        <v>0</v>
      </c>
      <c r="J1232" s="55">
        <f>'Stavební rozpočet-vyplnit'!J1232</f>
        <v>0.00095</v>
      </c>
      <c r="K1232" s="55">
        <f>G1232*J1232</f>
        <v>2.789295</v>
      </c>
      <c r="L1232" s="57" t="s">
        <v>785</v>
      </c>
      <c r="Z1232" s="55">
        <f>IF(AQ1232="5",BJ1232,0)</f>
        <v>0</v>
      </c>
      <c r="AB1232" s="55">
        <f>IF(AQ1232="1",BH1232,0)</f>
        <v>0</v>
      </c>
      <c r="AC1232" s="55">
        <f>IF(AQ1232="1",BI1232,0)</f>
        <v>0</v>
      </c>
      <c r="AD1232" s="55">
        <f>IF(AQ1232="7",BH1232,0)</f>
        <v>0</v>
      </c>
      <c r="AE1232" s="55">
        <f>IF(AQ1232="7",BI1232,0)</f>
        <v>0</v>
      </c>
      <c r="AF1232" s="55">
        <f>IF(AQ1232="2",BH1232,0)</f>
        <v>0</v>
      </c>
      <c r="AG1232" s="55">
        <f>IF(AQ1232="2",BI1232,0)</f>
        <v>0</v>
      </c>
      <c r="AH1232" s="55">
        <f>IF(AQ1232="0",BJ1232,0)</f>
        <v>0</v>
      </c>
      <c r="AI1232" s="34" t="s">
        <v>116</v>
      </c>
      <c r="AJ1232" s="55">
        <f>IF(AN1232=0,I1232,0)</f>
        <v>0</v>
      </c>
      <c r="AK1232" s="55">
        <f>IF(AN1232=12,I1232,0)</f>
        <v>0</v>
      </c>
      <c r="AL1232" s="55">
        <f>IF(AN1232=21,I1232,0)</f>
        <v>0</v>
      </c>
      <c r="AN1232" s="55">
        <v>21</v>
      </c>
      <c r="AO1232" s="55">
        <f>H1232*0.934712075</f>
        <v>0</v>
      </c>
      <c r="AP1232" s="55">
        <f>H1232*(1-0.934712075)</f>
        <v>0</v>
      </c>
      <c r="AQ1232" s="58" t="s">
        <v>120</v>
      </c>
      <c r="AV1232" s="55">
        <f>AW1232+AX1232</f>
        <v>0</v>
      </c>
      <c r="AW1232" s="55">
        <f>G1232*AO1232</f>
        <v>0</v>
      </c>
      <c r="AX1232" s="55">
        <f>G1232*AP1232</f>
        <v>0</v>
      </c>
      <c r="AY1232" s="58" t="s">
        <v>2343</v>
      </c>
      <c r="AZ1232" s="58" t="s">
        <v>2344</v>
      </c>
      <c r="BA1232" s="34" t="s">
        <v>128</v>
      </c>
      <c r="BB1232" s="67">
        <v>100019</v>
      </c>
      <c r="BC1232" s="55">
        <f>AW1232+AX1232</f>
        <v>0</v>
      </c>
      <c r="BD1232" s="55">
        <f>H1232/(100-BE1232)*100</f>
        <v>0</v>
      </c>
      <c r="BE1232" s="55">
        <v>0</v>
      </c>
      <c r="BF1232" s="55">
        <f>K1232</f>
        <v>2.789295</v>
      </c>
      <c r="BH1232" s="55">
        <f>G1232*AO1232</f>
        <v>0</v>
      </c>
      <c r="BI1232" s="55">
        <f>G1232*AP1232</f>
        <v>0</v>
      </c>
      <c r="BJ1232" s="55">
        <f>G1232*H1232</f>
        <v>0</v>
      </c>
      <c r="BK1232" s="55"/>
      <c r="BL1232" s="55">
        <v>94</v>
      </c>
      <c r="BW1232" s="55">
        <v>21</v>
      </c>
    </row>
    <row r="1233" spans="1:12" ht="13.5" customHeight="1">
      <c r="A1233" s="59"/>
      <c r="D1233" s="218" t="s">
        <v>2350</v>
      </c>
      <c r="E1233" s="219"/>
      <c r="F1233" s="219"/>
      <c r="G1233" s="219"/>
      <c r="H1233" s="219"/>
      <c r="I1233" s="219"/>
      <c r="J1233" s="219"/>
      <c r="K1233" s="219"/>
      <c r="L1233" s="221"/>
    </row>
    <row r="1234" spans="1:12" ht="14.4">
      <c r="A1234" s="59"/>
      <c r="D1234" s="60" t="s">
        <v>2351</v>
      </c>
      <c r="E1234" s="60" t="s">
        <v>4</v>
      </c>
      <c r="G1234" s="68">
        <v>2936.1</v>
      </c>
      <c r="L1234" s="69"/>
    </row>
    <row r="1235" spans="1:75" ht="13.5" customHeight="1">
      <c r="A1235" s="1" t="s">
        <v>2352</v>
      </c>
      <c r="B1235" s="2" t="s">
        <v>116</v>
      </c>
      <c r="C1235" s="2" t="s">
        <v>2353</v>
      </c>
      <c r="D1235" s="147" t="s">
        <v>2354</v>
      </c>
      <c r="E1235" s="148"/>
      <c r="F1235" s="2" t="s">
        <v>729</v>
      </c>
      <c r="G1235" s="55">
        <f>'Stavební rozpočet-vyplnit'!G1235</f>
        <v>489.35</v>
      </c>
      <c r="H1235" s="55">
        <f>'Stavební rozpočet-vyplnit'!H1235</f>
        <v>0</v>
      </c>
      <c r="I1235" s="55">
        <f>G1235*H1235</f>
        <v>0</v>
      </c>
      <c r="J1235" s="55">
        <f>'Stavební rozpočet-vyplnit'!J1235</f>
        <v>0</v>
      </c>
      <c r="K1235" s="55">
        <f>G1235*J1235</f>
        <v>0</v>
      </c>
      <c r="L1235" s="57" t="s">
        <v>785</v>
      </c>
      <c r="Z1235" s="55">
        <f>IF(AQ1235="5",BJ1235,0)</f>
        <v>0</v>
      </c>
      <c r="AB1235" s="55">
        <f>IF(AQ1235="1",BH1235,0)</f>
        <v>0</v>
      </c>
      <c r="AC1235" s="55">
        <f>IF(AQ1235="1",BI1235,0)</f>
        <v>0</v>
      </c>
      <c r="AD1235" s="55">
        <f>IF(AQ1235="7",BH1235,0)</f>
        <v>0</v>
      </c>
      <c r="AE1235" s="55">
        <f>IF(AQ1235="7",BI1235,0)</f>
        <v>0</v>
      </c>
      <c r="AF1235" s="55">
        <f>IF(AQ1235="2",BH1235,0)</f>
        <v>0</v>
      </c>
      <c r="AG1235" s="55">
        <f>IF(AQ1235="2",BI1235,0)</f>
        <v>0</v>
      </c>
      <c r="AH1235" s="55">
        <f>IF(AQ1235="0",BJ1235,0)</f>
        <v>0</v>
      </c>
      <c r="AI1235" s="34" t="s">
        <v>116</v>
      </c>
      <c r="AJ1235" s="55">
        <f>IF(AN1235=0,I1235,0)</f>
        <v>0</v>
      </c>
      <c r="AK1235" s="55">
        <f>IF(AN1235=12,I1235,0)</f>
        <v>0</v>
      </c>
      <c r="AL1235" s="55">
        <f>IF(AN1235=21,I1235,0)</f>
        <v>0</v>
      </c>
      <c r="AN1235" s="55">
        <v>21</v>
      </c>
      <c r="AO1235" s="55">
        <f>H1235*0</f>
        <v>0</v>
      </c>
      <c r="AP1235" s="55">
        <f>H1235*(1-0)</f>
        <v>0</v>
      </c>
      <c r="AQ1235" s="58" t="s">
        <v>120</v>
      </c>
      <c r="AV1235" s="55">
        <f>AW1235+AX1235</f>
        <v>0</v>
      </c>
      <c r="AW1235" s="55">
        <f>G1235*AO1235</f>
        <v>0</v>
      </c>
      <c r="AX1235" s="55">
        <f>G1235*AP1235</f>
        <v>0</v>
      </c>
      <c r="AY1235" s="58" t="s">
        <v>2343</v>
      </c>
      <c r="AZ1235" s="58" t="s">
        <v>2344</v>
      </c>
      <c r="BA1235" s="34" t="s">
        <v>128</v>
      </c>
      <c r="BB1235" s="67">
        <v>100019</v>
      </c>
      <c r="BC1235" s="55">
        <f>AW1235+AX1235</f>
        <v>0</v>
      </c>
      <c r="BD1235" s="55">
        <f>H1235/(100-BE1235)*100</f>
        <v>0</v>
      </c>
      <c r="BE1235" s="55">
        <v>0</v>
      </c>
      <c r="BF1235" s="55">
        <f>K1235</f>
        <v>0</v>
      </c>
      <c r="BH1235" s="55">
        <f>G1235*AO1235</f>
        <v>0</v>
      </c>
      <c r="BI1235" s="55">
        <f>G1235*AP1235</f>
        <v>0</v>
      </c>
      <c r="BJ1235" s="55">
        <f>G1235*H1235</f>
        <v>0</v>
      </c>
      <c r="BK1235" s="55"/>
      <c r="BL1235" s="55">
        <v>94</v>
      </c>
      <c r="BW1235" s="55">
        <v>21</v>
      </c>
    </row>
    <row r="1236" spans="1:12" ht="14.4">
      <c r="A1236" s="59"/>
      <c r="D1236" s="60" t="s">
        <v>2355</v>
      </c>
      <c r="E1236" s="60" t="s">
        <v>4</v>
      </c>
      <c r="G1236" s="68">
        <v>489.35</v>
      </c>
      <c r="L1236" s="69"/>
    </row>
    <row r="1237" spans="1:75" ht="13.5" customHeight="1">
      <c r="A1237" s="1" t="s">
        <v>2356</v>
      </c>
      <c r="B1237" s="2" t="s">
        <v>116</v>
      </c>
      <c r="C1237" s="2" t="s">
        <v>2357</v>
      </c>
      <c r="D1237" s="147" t="s">
        <v>2358</v>
      </c>
      <c r="E1237" s="148"/>
      <c r="F1237" s="2" t="s">
        <v>729</v>
      </c>
      <c r="G1237" s="55">
        <f>'Stavební rozpočet-vyplnit'!G1237</f>
        <v>600</v>
      </c>
      <c r="H1237" s="55">
        <f>'Stavební rozpočet-vyplnit'!H1237</f>
        <v>0</v>
      </c>
      <c r="I1237" s="55">
        <f>G1237*H1237</f>
        <v>0</v>
      </c>
      <c r="J1237" s="55">
        <f>'Stavební rozpočet-vyplnit'!J1237</f>
        <v>0.00121</v>
      </c>
      <c r="K1237" s="55">
        <f>G1237*J1237</f>
        <v>0.726</v>
      </c>
      <c r="L1237" s="57" t="s">
        <v>785</v>
      </c>
      <c r="Z1237" s="55">
        <f>IF(AQ1237="5",BJ1237,0)</f>
        <v>0</v>
      </c>
      <c r="AB1237" s="55">
        <f>IF(AQ1237="1",BH1237,0)</f>
        <v>0</v>
      </c>
      <c r="AC1237" s="55">
        <f>IF(AQ1237="1",BI1237,0)</f>
        <v>0</v>
      </c>
      <c r="AD1237" s="55">
        <f>IF(AQ1237="7",BH1237,0)</f>
        <v>0</v>
      </c>
      <c r="AE1237" s="55">
        <f>IF(AQ1237="7",BI1237,0)</f>
        <v>0</v>
      </c>
      <c r="AF1237" s="55">
        <f>IF(AQ1237="2",BH1237,0)</f>
        <v>0</v>
      </c>
      <c r="AG1237" s="55">
        <f>IF(AQ1237="2",BI1237,0)</f>
        <v>0</v>
      </c>
      <c r="AH1237" s="55">
        <f>IF(AQ1237="0",BJ1237,0)</f>
        <v>0</v>
      </c>
      <c r="AI1237" s="34" t="s">
        <v>116</v>
      </c>
      <c r="AJ1237" s="55">
        <f>IF(AN1237=0,I1237,0)</f>
        <v>0</v>
      </c>
      <c r="AK1237" s="55">
        <f>IF(AN1237=12,I1237,0)</f>
        <v>0</v>
      </c>
      <c r="AL1237" s="55">
        <f>IF(AN1237=21,I1237,0)</f>
        <v>0</v>
      </c>
      <c r="AN1237" s="55">
        <v>21</v>
      </c>
      <c r="AO1237" s="55">
        <f>H1237*0.368637643</f>
        <v>0</v>
      </c>
      <c r="AP1237" s="55">
        <f>H1237*(1-0.368637643)</f>
        <v>0</v>
      </c>
      <c r="AQ1237" s="58" t="s">
        <v>120</v>
      </c>
      <c r="AV1237" s="55">
        <f>AW1237+AX1237</f>
        <v>0</v>
      </c>
      <c r="AW1237" s="55">
        <f>G1237*AO1237</f>
        <v>0</v>
      </c>
      <c r="AX1237" s="55">
        <f>G1237*AP1237</f>
        <v>0</v>
      </c>
      <c r="AY1237" s="58" t="s">
        <v>2343</v>
      </c>
      <c r="AZ1237" s="58" t="s">
        <v>2344</v>
      </c>
      <c r="BA1237" s="34" t="s">
        <v>128</v>
      </c>
      <c r="BB1237" s="67">
        <v>100019</v>
      </c>
      <c r="BC1237" s="55">
        <f>AW1237+AX1237</f>
        <v>0</v>
      </c>
      <c r="BD1237" s="55">
        <f>H1237/(100-BE1237)*100</f>
        <v>0</v>
      </c>
      <c r="BE1237" s="55">
        <v>0</v>
      </c>
      <c r="BF1237" s="55">
        <f>K1237</f>
        <v>0.726</v>
      </c>
      <c r="BH1237" s="55">
        <f>G1237*AO1237</f>
        <v>0</v>
      </c>
      <c r="BI1237" s="55">
        <f>G1237*AP1237</f>
        <v>0</v>
      </c>
      <c r="BJ1237" s="55">
        <f>G1237*H1237</f>
        <v>0</v>
      </c>
      <c r="BK1237" s="55"/>
      <c r="BL1237" s="55">
        <v>94</v>
      </c>
      <c r="BW1237" s="55">
        <v>21</v>
      </c>
    </row>
    <row r="1238" spans="1:12" ht="14.4">
      <c r="A1238" s="59"/>
      <c r="D1238" s="60" t="s">
        <v>2359</v>
      </c>
      <c r="E1238" s="60" t="s">
        <v>4</v>
      </c>
      <c r="G1238" s="68">
        <v>600</v>
      </c>
      <c r="L1238" s="69"/>
    </row>
    <row r="1239" spans="1:75" ht="13.5" customHeight="1">
      <c r="A1239" s="1" t="s">
        <v>2360</v>
      </c>
      <c r="B1239" s="2" t="s">
        <v>116</v>
      </c>
      <c r="C1239" s="2" t="s">
        <v>2361</v>
      </c>
      <c r="D1239" s="147" t="s">
        <v>2362</v>
      </c>
      <c r="E1239" s="148"/>
      <c r="F1239" s="2" t="s">
        <v>729</v>
      </c>
      <c r="G1239" s="55">
        <f>'Stavební rozpočet-vyplnit'!G1239</f>
        <v>200</v>
      </c>
      <c r="H1239" s="55">
        <f>'Stavební rozpočet-vyplnit'!H1239</f>
        <v>0</v>
      </c>
      <c r="I1239" s="55">
        <f>G1239*H1239</f>
        <v>0</v>
      </c>
      <c r="J1239" s="55">
        <f>'Stavební rozpočet-vyplnit'!J1239</f>
        <v>0.00158</v>
      </c>
      <c r="K1239" s="55">
        <f>G1239*J1239</f>
        <v>0.316</v>
      </c>
      <c r="L1239" s="57" t="s">
        <v>785</v>
      </c>
      <c r="Z1239" s="55">
        <f>IF(AQ1239="5",BJ1239,0)</f>
        <v>0</v>
      </c>
      <c r="AB1239" s="55">
        <f>IF(AQ1239="1",BH1239,0)</f>
        <v>0</v>
      </c>
      <c r="AC1239" s="55">
        <f>IF(AQ1239="1",BI1239,0)</f>
        <v>0</v>
      </c>
      <c r="AD1239" s="55">
        <f>IF(AQ1239="7",BH1239,0)</f>
        <v>0</v>
      </c>
      <c r="AE1239" s="55">
        <f>IF(AQ1239="7",BI1239,0)</f>
        <v>0</v>
      </c>
      <c r="AF1239" s="55">
        <f>IF(AQ1239="2",BH1239,0)</f>
        <v>0</v>
      </c>
      <c r="AG1239" s="55">
        <f>IF(AQ1239="2",BI1239,0)</f>
        <v>0</v>
      </c>
      <c r="AH1239" s="55">
        <f>IF(AQ1239="0",BJ1239,0)</f>
        <v>0</v>
      </c>
      <c r="AI1239" s="34" t="s">
        <v>116</v>
      </c>
      <c r="AJ1239" s="55">
        <f>IF(AN1239=0,I1239,0)</f>
        <v>0</v>
      </c>
      <c r="AK1239" s="55">
        <f>IF(AN1239=12,I1239,0)</f>
        <v>0</v>
      </c>
      <c r="AL1239" s="55">
        <f>IF(AN1239=21,I1239,0)</f>
        <v>0</v>
      </c>
      <c r="AN1239" s="55">
        <v>21</v>
      </c>
      <c r="AO1239" s="55">
        <f>H1239*0.407753936</f>
        <v>0</v>
      </c>
      <c r="AP1239" s="55">
        <f>H1239*(1-0.407753936)</f>
        <v>0</v>
      </c>
      <c r="AQ1239" s="58" t="s">
        <v>120</v>
      </c>
      <c r="AV1239" s="55">
        <f>AW1239+AX1239</f>
        <v>0</v>
      </c>
      <c r="AW1239" s="55">
        <f>G1239*AO1239</f>
        <v>0</v>
      </c>
      <c r="AX1239" s="55">
        <f>G1239*AP1239</f>
        <v>0</v>
      </c>
      <c r="AY1239" s="58" t="s">
        <v>2343</v>
      </c>
      <c r="AZ1239" s="58" t="s">
        <v>2344</v>
      </c>
      <c r="BA1239" s="34" t="s">
        <v>128</v>
      </c>
      <c r="BB1239" s="67">
        <v>100019</v>
      </c>
      <c r="BC1239" s="55">
        <f>AW1239+AX1239</f>
        <v>0</v>
      </c>
      <c r="BD1239" s="55">
        <f>H1239/(100-BE1239)*100</f>
        <v>0</v>
      </c>
      <c r="BE1239" s="55">
        <v>0</v>
      </c>
      <c r="BF1239" s="55">
        <f>K1239</f>
        <v>0.316</v>
      </c>
      <c r="BH1239" s="55">
        <f>G1239*AO1239</f>
        <v>0</v>
      </c>
      <c r="BI1239" s="55">
        <f>G1239*AP1239</f>
        <v>0</v>
      </c>
      <c r="BJ1239" s="55">
        <f>G1239*H1239</f>
        <v>0</v>
      </c>
      <c r="BK1239" s="55"/>
      <c r="BL1239" s="55">
        <v>94</v>
      </c>
      <c r="BW1239" s="55">
        <v>21</v>
      </c>
    </row>
    <row r="1240" spans="1:12" ht="14.4">
      <c r="A1240" s="59"/>
      <c r="D1240" s="60" t="s">
        <v>756</v>
      </c>
      <c r="E1240" s="60" t="s">
        <v>4</v>
      </c>
      <c r="G1240" s="68">
        <v>200</v>
      </c>
      <c r="L1240" s="69"/>
    </row>
    <row r="1241" spans="1:75" ht="13.5" customHeight="1">
      <c r="A1241" s="1" t="s">
        <v>2363</v>
      </c>
      <c r="B1241" s="2" t="s">
        <v>116</v>
      </c>
      <c r="C1241" s="2" t="s">
        <v>2364</v>
      </c>
      <c r="D1241" s="147" t="s">
        <v>2365</v>
      </c>
      <c r="E1241" s="148"/>
      <c r="F1241" s="2" t="s">
        <v>729</v>
      </c>
      <c r="G1241" s="55">
        <f>'Stavební rozpočet-vyplnit'!G1241</f>
        <v>5.67</v>
      </c>
      <c r="H1241" s="55">
        <f>'Stavební rozpočet-vyplnit'!H1241</f>
        <v>0</v>
      </c>
      <c r="I1241" s="55">
        <f>G1241*H1241</f>
        <v>0</v>
      </c>
      <c r="J1241" s="55">
        <f>'Stavební rozpočet-vyplnit'!J1241</f>
        <v>0.00214</v>
      </c>
      <c r="K1241" s="55">
        <f>G1241*J1241</f>
        <v>0.0121338</v>
      </c>
      <c r="L1241" s="57" t="s">
        <v>785</v>
      </c>
      <c r="Z1241" s="55">
        <f>IF(AQ1241="5",BJ1241,0)</f>
        <v>0</v>
      </c>
      <c r="AB1241" s="55">
        <f>IF(AQ1241="1",BH1241,0)</f>
        <v>0</v>
      </c>
      <c r="AC1241" s="55">
        <f>IF(AQ1241="1",BI1241,0)</f>
        <v>0</v>
      </c>
      <c r="AD1241" s="55">
        <f>IF(AQ1241="7",BH1241,0)</f>
        <v>0</v>
      </c>
      <c r="AE1241" s="55">
        <f>IF(AQ1241="7",BI1241,0)</f>
        <v>0</v>
      </c>
      <c r="AF1241" s="55">
        <f>IF(AQ1241="2",BH1241,0)</f>
        <v>0</v>
      </c>
      <c r="AG1241" s="55">
        <f>IF(AQ1241="2",BI1241,0)</f>
        <v>0</v>
      </c>
      <c r="AH1241" s="55">
        <f>IF(AQ1241="0",BJ1241,0)</f>
        <v>0</v>
      </c>
      <c r="AI1241" s="34" t="s">
        <v>116</v>
      </c>
      <c r="AJ1241" s="55">
        <f>IF(AN1241=0,I1241,0)</f>
        <v>0</v>
      </c>
      <c r="AK1241" s="55">
        <f>IF(AN1241=12,I1241,0)</f>
        <v>0</v>
      </c>
      <c r="AL1241" s="55">
        <f>IF(AN1241=21,I1241,0)</f>
        <v>0</v>
      </c>
      <c r="AN1241" s="55">
        <v>21</v>
      </c>
      <c r="AO1241" s="55">
        <f>H1241*0.307534271</f>
        <v>0</v>
      </c>
      <c r="AP1241" s="55">
        <f>H1241*(1-0.307534271)</f>
        <v>0</v>
      </c>
      <c r="AQ1241" s="58" t="s">
        <v>120</v>
      </c>
      <c r="AV1241" s="55">
        <f>AW1241+AX1241</f>
        <v>0</v>
      </c>
      <c r="AW1241" s="55">
        <f>G1241*AO1241</f>
        <v>0</v>
      </c>
      <c r="AX1241" s="55">
        <f>G1241*AP1241</f>
        <v>0</v>
      </c>
      <c r="AY1241" s="58" t="s">
        <v>2343</v>
      </c>
      <c r="AZ1241" s="58" t="s">
        <v>2344</v>
      </c>
      <c r="BA1241" s="34" t="s">
        <v>128</v>
      </c>
      <c r="BB1241" s="67">
        <v>100019</v>
      </c>
      <c r="BC1241" s="55">
        <f>AW1241+AX1241</f>
        <v>0</v>
      </c>
      <c r="BD1241" s="55">
        <f>H1241/(100-BE1241)*100</f>
        <v>0</v>
      </c>
      <c r="BE1241" s="55">
        <v>0</v>
      </c>
      <c r="BF1241" s="55">
        <f>K1241</f>
        <v>0.0121338</v>
      </c>
      <c r="BH1241" s="55">
        <f>G1241*AO1241</f>
        <v>0</v>
      </c>
      <c r="BI1241" s="55">
        <f>G1241*AP1241</f>
        <v>0</v>
      </c>
      <c r="BJ1241" s="55">
        <f>G1241*H1241</f>
        <v>0</v>
      </c>
      <c r="BK1241" s="55"/>
      <c r="BL1241" s="55">
        <v>94</v>
      </c>
      <c r="BW1241" s="55">
        <v>21</v>
      </c>
    </row>
    <row r="1242" spans="1:12" ht="14.4">
      <c r="A1242" s="59"/>
      <c r="D1242" s="60" t="s">
        <v>2366</v>
      </c>
      <c r="E1242" s="60" t="s">
        <v>4</v>
      </c>
      <c r="G1242" s="68">
        <v>5.67</v>
      </c>
      <c r="L1242" s="69"/>
    </row>
    <row r="1243" spans="1:47" ht="14.4">
      <c r="A1243" s="50" t="s">
        <v>4</v>
      </c>
      <c r="B1243" s="51" t="s">
        <v>116</v>
      </c>
      <c r="C1243" s="51" t="s">
        <v>425</v>
      </c>
      <c r="D1243" s="222" t="s">
        <v>2367</v>
      </c>
      <c r="E1243" s="223"/>
      <c r="F1243" s="52" t="s">
        <v>79</v>
      </c>
      <c r="G1243" s="52" t="s">
        <v>79</v>
      </c>
      <c r="H1243" s="52" t="s">
        <v>79</v>
      </c>
      <c r="I1243" s="27">
        <f>SUM(I1244:I1274)</f>
        <v>0</v>
      </c>
      <c r="J1243" s="34" t="s">
        <v>4</v>
      </c>
      <c r="K1243" s="27">
        <f>SUM(K1244:K1274)</f>
        <v>0.027648000000000006</v>
      </c>
      <c r="L1243" s="54" t="s">
        <v>4</v>
      </c>
      <c r="AI1243" s="34" t="s">
        <v>116</v>
      </c>
      <c r="AS1243" s="27">
        <f>SUM(AJ1244:AJ1274)</f>
        <v>0</v>
      </c>
      <c r="AT1243" s="27">
        <f>SUM(AK1244:AK1274)</f>
        <v>0</v>
      </c>
      <c r="AU1243" s="27">
        <f>SUM(AL1244:AL1274)</f>
        <v>0</v>
      </c>
    </row>
    <row r="1244" spans="1:75" ht="13.5" customHeight="1">
      <c r="A1244" s="1" t="s">
        <v>2368</v>
      </c>
      <c r="B1244" s="2" t="s">
        <v>116</v>
      </c>
      <c r="C1244" s="2" t="s">
        <v>2369</v>
      </c>
      <c r="D1244" s="147" t="s">
        <v>2370</v>
      </c>
      <c r="E1244" s="148"/>
      <c r="F1244" s="2" t="s">
        <v>729</v>
      </c>
      <c r="G1244" s="55">
        <f>'Stavební rozpočet-vyplnit'!G1244</f>
        <v>367.7</v>
      </c>
      <c r="H1244" s="55">
        <f>'Stavební rozpočet-vyplnit'!H1244</f>
        <v>0</v>
      </c>
      <c r="I1244" s="55">
        <f>G1244*H1244</f>
        <v>0</v>
      </c>
      <c r="J1244" s="55">
        <f>'Stavební rozpočet-vyplnit'!J1244</f>
        <v>0</v>
      </c>
      <c r="K1244" s="55">
        <f>G1244*J1244</f>
        <v>0</v>
      </c>
      <c r="L1244" s="57" t="s">
        <v>785</v>
      </c>
      <c r="Z1244" s="55">
        <f>IF(AQ1244="5",BJ1244,0)</f>
        <v>0</v>
      </c>
      <c r="AB1244" s="55">
        <f>IF(AQ1244="1",BH1244,0)</f>
        <v>0</v>
      </c>
      <c r="AC1244" s="55">
        <f>IF(AQ1244="1",BI1244,0)</f>
        <v>0</v>
      </c>
      <c r="AD1244" s="55">
        <f>IF(AQ1244="7",BH1244,0)</f>
        <v>0</v>
      </c>
      <c r="AE1244" s="55">
        <f>IF(AQ1244="7",BI1244,0)</f>
        <v>0</v>
      </c>
      <c r="AF1244" s="55">
        <f>IF(AQ1244="2",BH1244,0)</f>
        <v>0</v>
      </c>
      <c r="AG1244" s="55">
        <f>IF(AQ1244="2",BI1244,0)</f>
        <v>0</v>
      </c>
      <c r="AH1244" s="55">
        <f>IF(AQ1244="0",BJ1244,0)</f>
        <v>0</v>
      </c>
      <c r="AI1244" s="34" t="s">
        <v>116</v>
      </c>
      <c r="AJ1244" s="55">
        <f>IF(AN1244=0,I1244,0)</f>
        <v>0</v>
      </c>
      <c r="AK1244" s="55">
        <f>IF(AN1244=12,I1244,0)</f>
        <v>0</v>
      </c>
      <c r="AL1244" s="55">
        <f>IF(AN1244=21,I1244,0)</f>
        <v>0</v>
      </c>
      <c r="AN1244" s="55">
        <v>21</v>
      </c>
      <c r="AO1244" s="55">
        <f>H1244*0</f>
        <v>0</v>
      </c>
      <c r="AP1244" s="55">
        <f>H1244*(1-0)</f>
        <v>0</v>
      </c>
      <c r="AQ1244" s="58" t="s">
        <v>120</v>
      </c>
      <c r="AV1244" s="55">
        <f>AW1244+AX1244</f>
        <v>0</v>
      </c>
      <c r="AW1244" s="55">
        <f>G1244*AO1244</f>
        <v>0</v>
      </c>
      <c r="AX1244" s="55">
        <f>G1244*AP1244</f>
        <v>0</v>
      </c>
      <c r="AY1244" s="58" t="s">
        <v>2371</v>
      </c>
      <c r="AZ1244" s="58" t="s">
        <v>2344</v>
      </c>
      <c r="BA1244" s="34" t="s">
        <v>128</v>
      </c>
      <c r="BB1244" s="67">
        <v>100023</v>
      </c>
      <c r="BC1244" s="55">
        <f>AW1244+AX1244</f>
        <v>0</v>
      </c>
      <c r="BD1244" s="55">
        <f>H1244/(100-BE1244)*100</f>
        <v>0</v>
      </c>
      <c r="BE1244" s="55">
        <v>0</v>
      </c>
      <c r="BF1244" s="55">
        <f>K1244</f>
        <v>0</v>
      </c>
      <c r="BH1244" s="55">
        <f>G1244*AO1244</f>
        <v>0</v>
      </c>
      <c r="BI1244" s="55">
        <f>G1244*AP1244</f>
        <v>0</v>
      </c>
      <c r="BJ1244" s="55">
        <f>G1244*H1244</f>
        <v>0</v>
      </c>
      <c r="BK1244" s="55"/>
      <c r="BL1244" s="55">
        <v>95</v>
      </c>
      <c r="BW1244" s="55">
        <v>21</v>
      </c>
    </row>
    <row r="1245" spans="1:12" ht="13.5" customHeight="1">
      <c r="A1245" s="59"/>
      <c r="D1245" s="218" t="s">
        <v>2372</v>
      </c>
      <c r="E1245" s="219"/>
      <c r="F1245" s="219"/>
      <c r="G1245" s="219"/>
      <c r="H1245" s="219"/>
      <c r="I1245" s="219"/>
      <c r="J1245" s="219"/>
      <c r="K1245" s="219"/>
      <c r="L1245" s="221"/>
    </row>
    <row r="1246" spans="1:12" ht="14.4">
      <c r="A1246" s="59"/>
      <c r="D1246" s="60" t="s">
        <v>1098</v>
      </c>
      <c r="E1246" s="60" t="s">
        <v>4</v>
      </c>
      <c r="G1246" s="68">
        <v>367.7</v>
      </c>
      <c r="L1246" s="69"/>
    </row>
    <row r="1247" spans="1:75" ht="13.5" customHeight="1">
      <c r="A1247" s="1" t="s">
        <v>2373</v>
      </c>
      <c r="B1247" s="2" t="s">
        <v>116</v>
      </c>
      <c r="C1247" s="2" t="s">
        <v>2374</v>
      </c>
      <c r="D1247" s="147" t="s">
        <v>2375</v>
      </c>
      <c r="E1247" s="148"/>
      <c r="F1247" s="2" t="s">
        <v>729</v>
      </c>
      <c r="G1247" s="55">
        <f>'Stavební rozpočet-vyplnit'!G1247</f>
        <v>638.2</v>
      </c>
      <c r="H1247" s="55">
        <f>'Stavební rozpočet-vyplnit'!H1247</f>
        <v>0</v>
      </c>
      <c r="I1247" s="55">
        <f>G1247*H1247</f>
        <v>0</v>
      </c>
      <c r="J1247" s="55">
        <f>'Stavební rozpočet-vyplnit'!J1247</f>
        <v>4E-05</v>
      </c>
      <c r="K1247" s="55">
        <f>G1247*J1247</f>
        <v>0.025528000000000006</v>
      </c>
      <c r="L1247" s="57" t="s">
        <v>785</v>
      </c>
      <c r="Z1247" s="55">
        <f>IF(AQ1247="5",BJ1247,0)</f>
        <v>0</v>
      </c>
      <c r="AB1247" s="55">
        <f>IF(AQ1247="1",BH1247,0)</f>
        <v>0</v>
      </c>
      <c r="AC1247" s="55">
        <f>IF(AQ1247="1",BI1247,0)</f>
        <v>0</v>
      </c>
      <c r="AD1247" s="55">
        <f>IF(AQ1247="7",BH1247,0)</f>
        <v>0</v>
      </c>
      <c r="AE1247" s="55">
        <f>IF(AQ1247="7",BI1247,0)</f>
        <v>0</v>
      </c>
      <c r="AF1247" s="55">
        <f>IF(AQ1247="2",BH1247,0)</f>
        <v>0</v>
      </c>
      <c r="AG1247" s="55">
        <f>IF(AQ1247="2",BI1247,0)</f>
        <v>0</v>
      </c>
      <c r="AH1247" s="55">
        <f>IF(AQ1247="0",BJ1247,0)</f>
        <v>0</v>
      </c>
      <c r="AI1247" s="34" t="s">
        <v>116</v>
      </c>
      <c r="AJ1247" s="55">
        <f>IF(AN1247=0,I1247,0)</f>
        <v>0</v>
      </c>
      <c r="AK1247" s="55">
        <f>IF(AN1247=12,I1247,0)</f>
        <v>0</v>
      </c>
      <c r="AL1247" s="55">
        <f>IF(AN1247=21,I1247,0)</f>
        <v>0</v>
      </c>
      <c r="AN1247" s="55">
        <v>21</v>
      </c>
      <c r="AO1247" s="55">
        <f>H1247*0.013885894</f>
        <v>0</v>
      </c>
      <c r="AP1247" s="55">
        <f>H1247*(1-0.013885894)</f>
        <v>0</v>
      </c>
      <c r="AQ1247" s="58" t="s">
        <v>120</v>
      </c>
      <c r="AV1247" s="55">
        <f>AW1247+AX1247</f>
        <v>0</v>
      </c>
      <c r="AW1247" s="55">
        <f>G1247*AO1247</f>
        <v>0</v>
      </c>
      <c r="AX1247" s="55">
        <f>G1247*AP1247</f>
        <v>0</v>
      </c>
      <c r="AY1247" s="58" t="s">
        <v>2371</v>
      </c>
      <c r="AZ1247" s="58" t="s">
        <v>2344</v>
      </c>
      <c r="BA1247" s="34" t="s">
        <v>128</v>
      </c>
      <c r="BB1247" s="67">
        <v>100023</v>
      </c>
      <c r="BC1247" s="55">
        <f>AW1247+AX1247</f>
        <v>0</v>
      </c>
      <c r="BD1247" s="55">
        <f>H1247/(100-BE1247)*100</f>
        <v>0</v>
      </c>
      <c r="BE1247" s="55">
        <v>0</v>
      </c>
      <c r="BF1247" s="55">
        <f>K1247</f>
        <v>0.025528000000000006</v>
      </c>
      <c r="BH1247" s="55">
        <f>G1247*AO1247</f>
        <v>0</v>
      </c>
      <c r="BI1247" s="55">
        <f>G1247*AP1247</f>
        <v>0</v>
      </c>
      <c r="BJ1247" s="55">
        <f>G1247*H1247</f>
        <v>0</v>
      </c>
      <c r="BK1247" s="55"/>
      <c r="BL1247" s="55">
        <v>95</v>
      </c>
      <c r="BW1247" s="55">
        <v>21</v>
      </c>
    </row>
    <row r="1248" spans="1:12" ht="14.4">
      <c r="A1248" s="59"/>
      <c r="D1248" s="60" t="s">
        <v>2376</v>
      </c>
      <c r="E1248" s="60" t="s">
        <v>4</v>
      </c>
      <c r="G1248" s="68">
        <v>638.2</v>
      </c>
      <c r="L1248" s="69"/>
    </row>
    <row r="1249" spans="1:75" ht="27" customHeight="1">
      <c r="A1249" s="1" t="s">
        <v>2377</v>
      </c>
      <c r="B1249" s="2" t="s">
        <v>116</v>
      </c>
      <c r="C1249" s="2" t="s">
        <v>2378</v>
      </c>
      <c r="D1249" s="147" t="s">
        <v>2379</v>
      </c>
      <c r="E1249" s="148"/>
      <c r="F1249" s="2" t="s">
        <v>1791</v>
      </c>
      <c r="G1249" s="55">
        <f>'Stavební rozpočet-vyplnit'!G1249</f>
        <v>100</v>
      </c>
      <c r="H1249" s="55">
        <f>'Stavební rozpočet-vyplnit'!H1249</f>
        <v>0</v>
      </c>
      <c r="I1249" s="55">
        <f>G1249*H1249</f>
        <v>0</v>
      </c>
      <c r="J1249" s="55">
        <f>'Stavební rozpočet-vyplnit'!J1249</f>
        <v>0</v>
      </c>
      <c r="K1249" s="55">
        <f>G1249*J1249</f>
        <v>0</v>
      </c>
      <c r="L1249" s="57" t="s">
        <v>785</v>
      </c>
      <c r="Z1249" s="55">
        <f>IF(AQ1249="5",BJ1249,0)</f>
        <v>0</v>
      </c>
      <c r="AB1249" s="55">
        <f>IF(AQ1249="1",BH1249,0)</f>
        <v>0</v>
      </c>
      <c r="AC1249" s="55">
        <f>IF(AQ1249="1",BI1249,0)</f>
        <v>0</v>
      </c>
      <c r="AD1249" s="55">
        <f>IF(AQ1249="7",BH1249,0)</f>
        <v>0</v>
      </c>
      <c r="AE1249" s="55">
        <f>IF(AQ1249="7",BI1249,0)</f>
        <v>0</v>
      </c>
      <c r="AF1249" s="55">
        <f>IF(AQ1249="2",BH1249,0)</f>
        <v>0</v>
      </c>
      <c r="AG1249" s="55">
        <f>IF(AQ1249="2",BI1249,0)</f>
        <v>0</v>
      </c>
      <c r="AH1249" s="55">
        <f>IF(AQ1249="0",BJ1249,0)</f>
        <v>0</v>
      </c>
      <c r="AI1249" s="34" t="s">
        <v>116</v>
      </c>
      <c r="AJ1249" s="55">
        <f>IF(AN1249=0,I1249,0)</f>
        <v>0</v>
      </c>
      <c r="AK1249" s="55">
        <f>IF(AN1249=12,I1249,0)</f>
        <v>0</v>
      </c>
      <c r="AL1249" s="55">
        <f>IF(AN1249=21,I1249,0)</f>
        <v>0</v>
      </c>
      <c r="AN1249" s="55">
        <v>21</v>
      </c>
      <c r="AO1249" s="55">
        <f>H1249*0</f>
        <v>0</v>
      </c>
      <c r="AP1249" s="55">
        <f>H1249*(1-0)</f>
        <v>0</v>
      </c>
      <c r="AQ1249" s="58" t="s">
        <v>120</v>
      </c>
      <c r="AV1249" s="55">
        <f>AW1249+AX1249</f>
        <v>0</v>
      </c>
      <c r="AW1249" s="55">
        <f>G1249*AO1249</f>
        <v>0</v>
      </c>
      <c r="AX1249" s="55">
        <f>G1249*AP1249</f>
        <v>0</v>
      </c>
      <c r="AY1249" s="58" t="s">
        <v>2371</v>
      </c>
      <c r="AZ1249" s="58" t="s">
        <v>2344</v>
      </c>
      <c r="BA1249" s="34" t="s">
        <v>128</v>
      </c>
      <c r="BB1249" s="67">
        <v>100023</v>
      </c>
      <c r="BC1249" s="55">
        <f>AW1249+AX1249</f>
        <v>0</v>
      </c>
      <c r="BD1249" s="55">
        <f>H1249/(100-BE1249)*100</f>
        <v>0</v>
      </c>
      <c r="BE1249" s="55">
        <v>0</v>
      </c>
      <c r="BF1249" s="55">
        <f>K1249</f>
        <v>0</v>
      </c>
      <c r="BH1249" s="55">
        <f>G1249*AO1249</f>
        <v>0</v>
      </c>
      <c r="BI1249" s="55">
        <f>G1249*AP1249</f>
        <v>0</v>
      </c>
      <c r="BJ1249" s="55">
        <f>G1249*H1249</f>
        <v>0</v>
      </c>
      <c r="BK1249" s="55"/>
      <c r="BL1249" s="55">
        <v>95</v>
      </c>
      <c r="BW1249" s="55">
        <v>21</v>
      </c>
    </row>
    <row r="1250" spans="1:12" ht="14.4">
      <c r="A1250" s="59"/>
      <c r="D1250" s="60" t="s">
        <v>444</v>
      </c>
      <c r="E1250" s="60" t="s">
        <v>4</v>
      </c>
      <c r="G1250" s="68">
        <v>100</v>
      </c>
      <c r="L1250" s="69"/>
    </row>
    <row r="1251" spans="1:75" ht="13.5" customHeight="1">
      <c r="A1251" s="1" t="s">
        <v>2380</v>
      </c>
      <c r="B1251" s="2" t="s">
        <v>116</v>
      </c>
      <c r="C1251" s="2" t="s">
        <v>2381</v>
      </c>
      <c r="D1251" s="147" t="s">
        <v>2382</v>
      </c>
      <c r="E1251" s="148"/>
      <c r="F1251" s="2" t="s">
        <v>374</v>
      </c>
      <c r="G1251" s="55">
        <f>'Stavební rozpočet-vyplnit'!G1251</f>
        <v>32</v>
      </c>
      <c r="H1251" s="55">
        <f>'Stavební rozpočet-vyplnit'!H1251</f>
        <v>0</v>
      </c>
      <c r="I1251" s="55">
        <f>G1251*H1251</f>
        <v>0</v>
      </c>
      <c r="J1251" s="55">
        <f>'Stavební rozpočet-vyplnit'!J1251</f>
        <v>0</v>
      </c>
      <c r="K1251" s="55">
        <f>G1251*J1251</f>
        <v>0</v>
      </c>
      <c r="L1251" s="57" t="s">
        <v>785</v>
      </c>
      <c r="Z1251" s="55">
        <f>IF(AQ1251="5",BJ1251,0)</f>
        <v>0</v>
      </c>
      <c r="AB1251" s="55">
        <f>IF(AQ1251="1",BH1251,0)</f>
        <v>0</v>
      </c>
      <c r="AC1251" s="55">
        <f>IF(AQ1251="1",BI1251,0)</f>
        <v>0</v>
      </c>
      <c r="AD1251" s="55">
        <f>IF(AQ1251="7",BH1251,0)</f>
        <v>0</v>
      </c>
      <c r="AE1251" s="55">
        <f>IF(AQ1251="7",BI1251,0)</f>
        <v>0</v>
      </c>
      <c r="AF1251" s="55">
        <f>IF(AQ1251="2",BH1251,0)</f>
        <v>0</v>
      </c>
      <c r="AG1251" s="55">
        <f>IF(AQ1251="2",BI1251,0)</f>
        <v>0</v>
      </c>
      <c r="AH1251" s="55">
        <f>IF(AQ1251="0",BJ1251,0)</f>
        <v>0</v>
      </c>
      <c r="AI1251" s="34" t="s">
        <v>116</v>
      </c>
      <c r="AJ1251" s="55">
        <f>IF(AN1251=0,I1251,0)</f>
        <v>0</v>
      </c>
      <c r="AK1251" s="55">
        <f>IF(AN1251=12,I1251,0)</f>
        <v>0</v>
      </c>
      <c r="AL1251" s="55">
        <f>IF(AN1251=21,I1251,0)</f>
        <v>0</v>
      </c>
      <c r="AN1251" s="55">
        <v>21</v>
      </c>
      <c r="AO1251" s="55">
        <f>H1251*0.454064007</f>
        <v>0</v>
      </c>
      <c r="AP1251" s="55">
        <f>H1251*(1-0.454064007)</f>
        <v>0</v>
      </c>
      <c r="AQ1251" s="58" t="s">
        <v>120</v>
      </c>
      <c r="AV1251" s="55">
        <f>AW1251+AX1251</f>
        <v>0</v>
      </c>
      <c r="AW1251" s="55">
        <f>G1251*AO1251</f>
        <v>0</v>
      </c>
      <c r="AX1251" s="55">
        <f>G1251*AP1251</f>
        <v>0</v>
      </c>
      <c r="AY1251" s="58" t="s">
        <v>2371</v>
      </c>
      <c r="AZ1251" s="58" t="s">
        <v>2344</v>
      </c>
      <c r="BA1251" s="34" t="s">
        <v>128</v>
      </c>
      <c r="BB1251" s="67">
        <v>100023</v>
      </c>
      <c r="BC1251" s="55">
        <f>AW1251+AX1251</f>
        <v>0</v>
      </c>
      <c r="BD1251" s="55">
        <f>H1251/(100-BE1251)*100</f>
        <v>0</v>
      </c>
      <c r="BE1251" s="55">
        <v>0</v>
      </c>
      <c r="BF1251" s="55">
        <f>K1251</f>
        <v>0</v>
      </c>
      <c r="BH1251" s="55">
        <f>G1251*AO1251</f>
        <v>0</v>
      </c>
      <c r="BI1251" s="55">
        <f>G1251*AP1251</f>
        <v>0</v>
      </c>
      <c r="BJ1251" s="55">
        <f>G1251*H1251</f>
        <v>0</v>
      </c>
      <c r="BK1251" s="55"/>
      <c r="BL1251" s="55">
        <v>95</v>
      </c>
      <c r="BW1251" s="55">
        <v>21</v>
      </c>
    </row>
    <row r="1252" spans="1:12" ht="14.4">
      <c r="A1252" s="59"/>
      <c r="D1252" s="60" t="s">
        <v>2383</v>
      </c>
      <c r="E1252" s="60" t="s">
        <v>2384</v>
      </c>
      <c r="G1252" s="68">
        <v>32</v>
      </c>
      <c r="L1252" s="69"/>
    </row>
    <row r="1253" spans="1:75" ht="13.5" customHeight="1">
      <c r="A1253" s="1" t="s">
        <v>2385</v>
      </c>
      <c r="B1253" s="2" t="s">
        <v>116</v>
      </c>
      <c r="C1253" s="2" t="s">
        <v>2386</v>
      </c>
      <c r="D1253" s="147" t="s">
        <v>2387</v>
      </c>
      <c r="E1253" s="148"/>
      <c r="F1253" s="2" t="s">
        <v>374</v>
      </c>
      <c r="G1253" s="55">
        <f>'Stavební rozpočet-vyplnit'!G1253</f>
        <v>72</v>
      </c>
      <c r="H1253" s="55">
        <f>'Stavební rozpočet-vyplnit'!H1253</f>
        <v>0</v>
      </c>
      <c r="I1253" s="55">
        <f>G1253*H1253</f>
        <v>0</v>
      </c>
      <c r="J1253" s="55">
        <f>'Stavební rozpočet-vyplnit'!J1253</f>
        <v>0</v>
      </c>
      <c r="K1253" s="55">
        <f>G1253*J1253</f>
        <v>0</v>
      </c>
      <c r="L1253" s="57" t="s">
        <v>124</v>
      </c>
      <c r="Z1253" s="55">
        <f>IF(AQ1253="5",BJ1253,0)</f>
        <v>0</v>
      </c>
      <c r="AB1253" s="55">
        <f>IF(AQ1253="1",BH1253,0)</f>
        <v>0</v>
      </c>
      <c r="AC1253" s="55">
        <f>IF(AQ1253="1",BI1253,0)</f>
        <v>0</v>
      </c>
      <c r="AD1253" s="55">
        <f>IF(AQ1253="7",BH1253,0)</f>
        <v>0</v>
      </c>
      <c r="AE1253" s="55">
        <f>IF(AQ1253="7",BI1253,0)</f>
        <v>0</v>
      </c>
      <c r="AF1253" s="55">
        <f>IF(AQ1253="2",BH1253,0)</f>
        <v>0</v>
      </c>
      <c r="AG1253" s="55">
        <f>IF(AQ1253="2",BI1253,0)</f>
        <v>0</v>
      </c>
      <c r="AH1253" s="55">
        <f>IF(AQ1253="0",BJ1253,0)</f>
        <v>0</v>
      </c>
      <c r="AI1253" s="34" t="s">
        <v>116</v>
      </c>
      <c r="AJ1253" s="55">
        <f>IF(AN1253=0,I1253,0)</f>
        <v>0</v>
      </c>
      <c r="AK1253" s="55">
        <f>IF(AN1253=12,I1253,0)</f>
        <v>0</v>
      </c>
      <c r="AL1253" s="55">
        <f>IF(AN1253=21,I1253,0)</f>
        <v>0</v>
      </c>
      <c r="AN1253" s="55">
        <v>21</v>
      </c>
      <c r="AO1253" s="55">
        <f>H1253*0.542120141</f>
        <v>0</v>
      </c>
      <c r="AP1253" s="55">
        <f>H1253*(1-0.542120141)</f>
        <v>0</v>
      </c>
      <c r="AQ1253" s="58" t="s">
        <v>120</v>
      </c>
      <c r="AV1253" s="55">
        <f>AW1253+AX1253</f>
        <v>0</v>
      </c>
      <c r="AW1253" s="55">
        <f>G1253*AO1253</f>
        <v>0</v>
      </c>
      <c r="AX1253" s="55">
        <f>G1253*AP1253</f>
        <v>0</v>
      </c>
      <c r="AY1253" s="58" t="s">
        <v>2371</v>
      </c>
      <c r="AZ1253" s="58" t="s">
        <v>2344</v>
      </c>
      <c r="BA1253" s="34" t="s">
        <v>128</v>
      </c>
      <c r="BB1253" s="67">
        <v>100023</v>
      </c>
      <c r="BC1253" s="55">
        <f>AW1253+AX1253</f>
        <v>0</v>
      </c>
      <c r="BD1253" s="55">
        <f>H1253/(100-BE1253)*100</f>
        <v>0</v>
      </c>
      <c r="BE1253" s="55">
        <v>0</v>
      </c>
      <c r="BF1253" s="55">
        <f>K1253</f>
        <v>0</v>
      </c>
      <c r="BH1253" s="55">
        <f>G1253*AO1253</f>
        <v>0</v>
      </c>
      <c r="BI1253" s="55">
        <f>G1253*AP1253</f>
        <v>0</v>
      </c>
      <c r="BJ1253" s="55">
        <f>G1253*H1253</f>
        <v>0</v>
      </c>
      <c r="BK1253" s="55"/>
      <c r="BL1253" s="55">
        <v>95</v>
      </c>
      <c r="BW1253" s="55">
        <v>21</v>
      </c>
    </row>
    <row r="1254" spans="1:12" ht="13.5" customHeight="1">
      <c r="A1254" s="59"/>
      <c r="D1254" s="218" t="s">
        <v>2388</v>
      </c>
      <c r="E1254" s="219"/>
      <c r="F1254" s="219"/>
      <c r="G1254" s="219"/>
      <c r="H1254" s="219"/>
      <c r="I1254" s="219"/>
      <c r="J1254" s="219"/>
      <c r="K1254" s="219"/>
      <c r="L1254" s="221"/>
    </row>
    <row r="1255" spans="1:12" ht="14.4">
      <c r="A1255" s="59"/>
      <c r="D1255" s="60" t="s">
        <v>346</v>
      </c>
      <c r="E1255" s="60" t="s">
        <v>2389</v>
      </c>
      <c r="G1255" s="68">
        <v>72</v>
      </c>
      <c r="L1255" s="69"/>
    </row>
    <row r="1256" spans="1:75" ht="13.5" customHeight="1">
      <c r="A1256" s="1" t="s">
        <v>2390</v>
      </c>
      <c r="B1256" s="2" t="s">
        <v>116</v>
      </c>
      <c r="C1256" s="2" t="s">
        <v>2391</v>
      </c>
      <c r="D1256" s="147" t="s">
        <v>2392</v>
      </c>
      <c r="E1256" s="148"/>
      <c r="F1256" s="2" t="s">
        <v>374</v>
      </c>
      <c r="G1256" s="55">
        <f>'Stavební rozpočet-vyplnit'!G1256</f>
        <v>18</v>
      </c>
      <c r="H1256" s="55">
        <f>'Stavební rozpočet-vyplnit'!H1256</f>
        <v>0</v>
      </c>
      <c r="I1256" s="55">
        <f>G1256*H1256</f>
        <v>0</v>
      </c>
      <c r="J1256" s="55">
        <f>'Stavební rozpočet-vyplnit'!J1256</f>
        <v>0</v>
      </c>
      <c r="K1256" s="55">
        <f>G1256*J1256</f>
        <v>0</v>
      </c>
      <c r="L1256" s="57" t="s">
        <v>124</v>
      </c>
      <c r="Z1256" s="55">
        <f>IF(AQ1256="5",BJ1256,0)</f>
        <v>0</v>
      </c>
      <c r="AB1256" s="55">
        <f>IF(AQ1256="1",BH1256,0)</f>
        <v>0</v>
      </c>
      <c r="AC1256" s="55">
        <f>IF(AQ1256="1",BI1256,0)</f>
        <v>0</v>
      </c>
      <c r="AD1256" s="55">
        <f>IF(AQ1256="7",BH1256,0)</f>
        <v>0</v>
      </c>
      <c r="AE1256" s="55">
        <f>IF(AQ1256="7",BI1256,0)</f>
        <v>0</v>
      </c>
      <c r="AF1256" s="55">
        <f>IF(AQ1256="2",BH1256,0)</f>
        <v>0</v>
      </c>
      <c r="AG1256" s="55">
        <f>IF(AQ1256="2",BI1256,0)</f>
        <v>0</v>
      </c>
      <c r="AH1256" s="55">
        <f>IF(AQ1256="0",BJ1256,0)</f>
        <v>0</v>
      </c>
      <c r="AI1256" s="34" t="s">
        <v>116</v>
      </c>
      <c r="AJ1256" s="55">
        <f>IF(AN1256=0,I1256,0)</f>
        <v>0</v>
      </c>
      <c r="AK1256" s="55">
        <f>IF(AN1256=12,I1256,0)</f>
        <v>0</v>
      </c>
      <c r="AL1256" s="55">
        <f>IF(AN1256=21,I1256,0)</f>
        <v>0</v>
      </c>
      <c r="AN1256" s="55">
        <v>21</v>
      </c>
      <c r="AO1256" s="55">
        <f>H1256*0.541134021</f>
        <v>0</v>
      </c>
      <c r="AP1256" s="55">
        <f>H1256*(1-0.541134021)</f>
        <v>0</v>
      </c>
      <c r="AQ1256" s="58" t="s">
        <v>120</v>
      </c>
      <c r="AV1256" s="55">
        <f>AW1256+AX1256</f>
        <v>0</v>
      </c>
      <c r="AW1256" s="55">
        <f>G1256*AO1256</f>
        <v>0</v>
      </c>
      <c r="AX1256" s="55">
        <f>G1256*AP1256</f>
        <v>0</v>
      </c>
      <c r="AY1256" s="58" t="s">
        <v>2371</v>
      </c>
      <c r="AZ1256" s="58" t="s">
        <v>2344</v>
      </c>
      <c r="BA1256" s="34" t="s">
        <v>128</v>
      </c>
      <c r="BB1256" s="67">
        <v>100023</v>
      </c>
      <c r="BC1256" s="55">
        <f>AW1256+AX1256</f>
        <v>0</v>
      </c>
      <c r="BD1256" s="55">
        <f>H1256/(100-BE1256)*100</f>
        <v>0</v>
      </c>
      <c r="BE1256" s="55">
        <v>0</v>
      </c>
      <c r="BF1256" s="55">
        <f>K1256</f>
        <v>0</v>
      </c>
      <c r="BH1256" s="55">
        <f>G1256*AO1256</f>
        <v>0</v>
      </c>
      <c r="BI1256" s="55">
        <f>G1256*AP1256</f>
        <v>0</v>
      </c>
      <c r="BJ1256" s="55">
        <f>G1256*H1256</f>
        <v>0</v>
      </c>
      <c r="BK1256" s="55"/>
      <c r="BL1256" s="55">
        <v>95</v>
      </c>
      <c r="BW1256" s="55">
        <v>21</v>
      </c>
    </row>
    <row r="1257" spans="1:12" ht="13.5" customHeight="1">
      <c r="A1257" s="59"/>
      <c r="D1257" s="218" t="s">
        <v>2388</v>
      </c>
      <c r="E1257" s="219"/>
      <c r="F1257" s="219"/>
      <c r="G1257" s="219"/>
      <c r="H1257" s="219"/>
      <c r="I1257" s="219"/>
      <c r="J1257" s="219"/>
      <c r="K1257" s="219"/>
      <c r="L1257" s="221"/>
    </row>
    <row r="1258" spans="1:12" ht="14.4">
      <c r="A1258" s="59"/>
      <c r="D1258" s="60" t="s">
        <v>178</v>
      </c>
      <c r="E1258" s="60" t="s">
        <v>2393</v>
      </c>
      <c r="G1258" s="68">
        <v>18</v>
      </c>
      <c r="L1258" s="69"/>
    </row>
    <row r="1259" spans="1:75" ht="13.5" customHeight="1">
      <c r="A1259" s="1" t="s">
        <v>2394</v>
      </c>
      <c r="B1259" s="2" t="s">
        <v>116</v>
      </c>
      <c r="C1259" s="2" t="s">
        <v>2395</v>
      </c>
      <c r="D1259" s="147" t="s">
        <v>2396</v>
      </c>
      <c r="E1259" s="148"/>
      <c r="F1259" s="2" t="s">
        <v>374</v>
      </c>
      <c r="G1259" s="55">
        <f>'Stavební rozpočet-vyplnit'!G1259</f>
        <v>224</v>
      </c>
      <c r="H1259" s="55">
        <f>'Stavební rozpočet-vyplnit'!H1259</f>
        <v>0</v>
      </c>
      <c r="I1259" s="55">
        <f>G1259*H1259</f>
        <v>0</v>
      </c>
      <c r="J1259" s="55">
        <f>'Stavební rozpočet-vyplnit'!J1259</f>
        <v>0</v>
      </c>
      <c r="K1259" s="55">
        <f>G1259*J1259</f>
        <v>0</v>
      </c>
      <c r="L1259" s="57" t="s">
        <v>124</v>
      </c>
      <c r="Z1259" s="55">
        <f>IF(AQ1259="5",BJ1259,0)</f>
        <v>0</v>
      </c>
      <c r="AB1259" s="55">
        <f>IF(AQ1259="1",BH1259,0)</f>
        <v>0</v>
      </c>
      <c r="AC1259" s="55">
        <f>IF(AQ1259="1",BI1259,0)</f>
        <v>0</v>
      </c>
      <c r="AD1259" s="55">
        <f>IF(AQ1259="7",BH1259,0)</f>
        <v>0</v>
      </c>
      <c r="AE1259" s="55">
        <f>IF(AQ1259="7",BI1259,0)</f>
        <v>0</v>
      </c>
      <c r="AF1259" s="55">
        <f>IF(AQ1259="2",BH1259,0)</f>
        <v>0</v>
      </c>
      <c r="AG1259" s="55">
        <f>IF(AQ1259="2",BI1259,0)</f>
        <v>0</v>
      </c>
      <c r="AH1259" s="55">
        <f>IF(AQ1259="0",BJ1259,0)</f>
        <v>0</v>
      </c>
      <c r="AI1259" s="34" t="s">
        <v>116</v>
      </c>
      <c r="AJ1259" s="55">
        <f>IF(AN1259=0,I1259,0)</f>
        <v>0</v>
      </c>
      <c r="AK1259" s="55">
        <f>IF(AN1259=12,I1259,0)</f>
        <v>0</v>
      </c>
      <c r="AL1259" s="55">
        <f>IF(AN1259=21,I1259,0)</f>
        <v>0</v>
      </c>
      <c r="AN1259" s="55">
        <v>21</v>
      </c>
      <c r="AO1259" s="55">
        <f>H1259*0.547430928</f>
        <v>0</v>
      </c>
      <c r="AP1259" s="55">
        <f>H1259*(1-0.547430928)</f>
        <v>0</v>
      </c>
      <c r="AQ1259" s="58" t="s">
        <v>120</v>
      </c>
      <c r="AV1259" s="55">
        <f>AW1259+AX1259</f>
        <v>0</v>
      </c>
      <c r="AW1259" s="55">
        <f>G1259*AO1259</f>
        <v>0</v>
      </c>
      <c r="AX1259" s="55">
        <f>G1259*AP1259</f>
        <v>0</v>
      </c>
      <c r="AY1259" s="58" t="s">
        <v>2371</v>
      </c>
      <c r="AZ1259" s="58" t="s">
        <v>2344</v>
      </c>
      <c r="BA1259" s="34" t="s">
        <v>128</v>
      </c>
      <c r="BB1259" s="67">
        <v>100023</v>
      </c>
      <c r="BC1259" s="55">
        <f>AW1259+AX1259</f>
        <v>0</v>
      </c>
      <c r="BD1259" s="55">
        <f>H1259/(100-BE1259)*100</f>
        <v>0</v>
      </c>
      <c r="BE1259" s="55">
        <v>0</v>
      </c>
      <c r="BF1259" s="55">
        <f>K1259</f>
        <v>0</v>
      </c>
      <c r="BH1259" s="55">
        <f>G1259*AO1259</f>
        <v>0</v>
      </c>
      <c r="BI1259" s="55">
        <f>G1259*AP1259</f>
        <v>0</v>
      </c>
      <c r="BJ1259" s="55">
        <f>G1259*H1259</f>
        <v>0</v>
      </c>
      <c r="BK1259" s="55"/>
      <c r="BL1259" s="55">
        <v>95</v>
      </c>
      <c r="BW1259" s="55">
        <v>21</v>
      </c>
    </row>
    <row r="1260" spans="1:12" ht="13.5" customHeight="1">
      <c r="A1260" s="59"/>
      <c r="D1260" s="218" t="s">
        <v>2397</v>
      </c>
      <c r="E1260" s="219"/>
      <c r="F1260" s="219"/>
      <c r="G1260" s="219"/>
      <c r="H1260" s="219"/>
      <c r="I1260" s="219"/>
      <c r="J1260" s="219"/>
      <c r="K1260" s="219"/>
      <c r="L1260" s="221"/>
    </row>
    <row r="1261" spans="1:12" ht="14.4">
      <c r="A1261" s="59"/>
      <c r="D1261" s="60" t="s">
        <v>2398</v>
      </c>
      <c r="E1261" s="60" t="s">
        <v>2399</v>
      </c>
      <c r="G1261" s="68">
        <v>224</v>
      </c>
      <c r="L1261" s="69"/>
    </row>
    <row r="1262" spans="1:75" ht="13.5" customHeight="1">
      <c r="A1262" s="1" t="s">
        <v>2400</v>
      </c>
      <c r="B1262" s="2" t="s">
        <v>116</v>
      </c>
      <c r="C1262" s="2" t="s">
        <v>2401</v>
      </c>
      <c r="D1262" s="147" t="s">
        <v>2402</v>
      </c>
      <c r="E1262" s="148"/>
      <c r="F1262" s="2" t="s">
        <v>374</v>
      </c>
      <c r="G1262" s="55">
        <f>'Stavební rozpočet-vyplnit'!G1262</f>
        <v>58</v>
      </c>
      <c r="H1262" s="55">
        <f>'Stavební rozpočet-vyplnit'!H1262</f>
        <v>0</v>
      </c>
      <c r="I1262" s="55">
        <f>G1262*H1262</f>
        <v>0</v>
      </c>
      <c r="J1262" s="55">
        <f>'Stavební rozpočet-vyplnit'!J1262</f>
        <v>0</v>
      </c>
      <c r="K1262" s="55">
        <f>G1262*J1262</f>
        <v>0</v>
      </c>
      <c r="L1262" s="57" t="s">
        <v>124</v>
      </c>
      <c r="Z1262" s="55">
        <f>IF(AQ1262="5",BJ1262,0)</f>
        <v>0</v>
      </c>
      <c r="AB1262" s="55">
        <f>IF(AQ1262="1",BH1262,0)</f>
        <v>0</v>
      </c>
      <c r="AC1262" s="55">
        <f>IF(AQ1262="1",BI1262,0)</f>
        <v>0</v>
      </c>
      <c r="AD1262" s="55">
        <f>IF(AQ1262="7",BH1262,0)</f>
        <v>0</v>
      </c>
      <c r="AE1262" s="55">
        <f>IF(AQ1262="7",BI1262,0)</f>
        <v>0</v>
      </c>
      <c r="AF1262" s="55">
        <f>IF(AQ1262="2",BH1262,0)</f>
        <v>0</v>
      </c>
      <c r="AG1262" s="55">
        <f>IF(AQ1262="2",BI1262,0)</f>
        <v>0</v>
      </c>
      <c r="AH1262" s="55">
        <f>IF(AQ1262="0",BJ1262,0)</f>
        <v>0</v>
      </c>
      <c r="AI1262" s="34" t="s">
        <v>116</v>
      </c>
      <c r="AJ1262" s="55">
        <f>IF(AN1262=0,I1262,0)</f>
        <v>0</v>
      </c>
      <c r="AK1262" s="55">
        <f>IF(AN1262=12,I1262,0)</f>
        <v>0</v>
      </c>
      <c r="AL1262" s="55">
        <f>IF(AN1262=21,I1262,0)</f>
        <v>0</v>
      </c>
      <c r="AN1262" s="55">
        <v>21</v>
      </c>
      <c r="AO1262" s="55">
        <f>H1262*0.646746032</f>
        <v>0</v>
      </c>
      <c r="AP1262" s="55">
        <f>H1262*(1-0.646746032)</f>
        <v>0</v>
      </c>
      <c r="AQ1262" s="58" t="s">
        <v>120</v>
      </c>
      <c r="AV1262" s="55">
        <f>AW1262+AX1262</f>
        <v>0</v>
      </c>
      <c r="AW1262" s="55">
        <f>G1262*AO1262</f>
        <v>0</v>
      </c>
      <c r="AX1262" s="55">
        <f>G1262*AP1262</f>
        <v>0</v>
      </c>
      <c r="AY1262" s="58" t="s">
        <v>2371</v>
      </c>
      <c r="AZ1262" s="58" t="s">
        <v>2344</v>
      </c>
      <c r="BA1262" s="34" t="s">
        <v>128</v>
      </c>
      <c r="BB1262" s="67">
        <v>100023</v>
      </c>
      <c r="BC1262" s="55">
        <f>AW1262+AX1262</f>
        <v>0</v>
      </c>
      <c r="BD1262" s="55">
        <f>H1262/(100-BE1262)*100</f>
        <v>0</v>
      </c>
      <c r="BE1262" s="55">
        <v>0</v>
      </c>
      <c r="BF1262" s="55">
        <f>K1262</f>
        <v>0</v>
      </c>
      <c r="BH1262" s="55">
        <f>G1262*AO1262</f>
        <v>0</v>
      </c>
      <c r="BI1262" s="55">
        <f>G1262*AP1262</f>
        <v>0</v>
      </c>
      <c r="BJ1262" s="55">
        <f>G1262*H1262</f>
        <v>0</v>
      </c>
      <c r="BK1262" s="55"/>
      <c r="BL1262" s="55">
        <v>95</v>
      </c>
      <c r="BW1262" s="55">
        <v>21</v>
      </c>
    </row>
    <row r="1263" spans="1:12" ht="13.5" customHeight="1">
      <c r="A1263" s="59"/>
      <c r="D1263" s="218" t="s">
        <v>2403</v>
      </c>
      <c r="E1263" s="219"/>
      <c r="F1263" s="219"/>
      <c r="G1263" s="219"/>
      <c r="H1263" s="219"/>
      <c r="I1263" s="219"/>
      <c r="J1263" s="219"/>
      <c r="K1263" s="219"/>
      <c r="L1263" s="221"/>
    </row>
    <row r="1264" spans="1:12" ht="14.4">
      <c r="A1264" s="59"/>
      <c r="D1264" s="60" t="s">
        <v>304</v>
      </c>
      <c r="E1264" s="60" t="s">
        <v>2404</v>
      </c>
      <c r="G1264" s="68">
        <v>58</v>
      </c>
      <c r="L1264" s="69"/>
    </row>
    <row r="1265" spans="1:75" ht="13.5" customHeight="1">
      <c r="A1265" s="1" t="s">
        <v>2405</v>
      </c>
      <c r="B1265" s="2" t="s">
        <v>116</v>
      </c>
      <c r="C1265" s="2" t="s">
        <v>2406</v>
      </c>
      <c r="D1265" s="147" t="s">
        <v>2407</v>
      </c>
      <c r="E1265" s="148"/>
      <c r="F1265" s="2" t="s">
        <v>374</v>
      </c>
      <c r="G1265" s="55">
        <f>'Stavební rozpočet-vyplnit'!G1265</f>
        <v>10</v>
      </c>
      <c r="H1265" s="55">
        <f>'Stavební rozpočet-vyplnit'!H1265</f>
        <v>0</v>
      </c>
      <c r="I1265" s="55">
        <f>G1265*H1265</f>
        <v>0</v>
      </c>
      <c r="J1265" s="55">
        <f>'Stavební rozpočet-vyplnit'!J1265</f>
        <v>0</v>
      </c>
      <c r="K1265" s="55">
        <f>G1265*J1265</f>
        <v>0</v>
      </c>
      <c r="L1265" s="57" t="s">
        <v>124</v>
      </c>
      <c r="Z1265" s="55">
        <f>IF(AQ1265="5",BJ1265,0)</f>
        <v>0</v>
      </c>
      <c r="AB1265" s="55">
        <f>IF(AQ1265="1",BH1265,0)</f>
        <v>0</v>
      </c>
      <c r="AC1265" s="55">
        <f>IF(AQ1265="1",BI1265,0)</f>
        <v>0</v>
      </c>
      <c r="AD1265" s="55">
        <f>IF(AQ1265="7",BH1265,0)</f>
        <v>0</v>
      </c>
      <c r="AE1265" s="55">
        <f>IF(AQ1265="7",BI1265,0)</f>
        <v>0</v>
      </c>
      <c r="AF1265" s="55">
        <f>IF(AQ1265="2",BH1265,0)</f>
        <v>0</v>
      </c>
      <c r="AG1265" s="55">
        <f>IF(AQ1265="2",BI1265,0)</f>
        <v>0</v>
      </c>
      <c r="AH1265" s="55">
        <f>IF(AQ1265="0",BJ1265,0)</f>
        <v>0</v>
      </c>
      <c r="AI1265" s="34" t="s">
        <v>116</v>
      </c>
      <c r="AJ1265" s="55">
        <f>IF(AN1265=0,I1265,0)</f>
        <v>0</v>
      </c>
      <c r="AK1265" s="55">
        <f>IF(AN1265=12,I1265,0)</f>
        <v>0</v>
      </c>
      <c r="AL1265" s="55">
        <f>IF(AN1265=21,I1265,0)</f>
        <v>0</v>
      </c>
      <c r="AN1265" s="55">
        <v>21</v>
      </c>
      <c r="AO1265" s="55">
        <f>H1265*0</f>
        <v>0</v>
      </c>
      <c r="AP1265" s="55">
        <f>H1265*(1-0)</f>
        <v>0</v>
      </c>
      <c r="AQ1265" s="58" t="s">
        <v>120</v>
      </c>
      <c r="AV1265" s="55">
        <f>AW1265+AX1265</f>
        <v>0</v>
      </c>
      <c r="AW1265" s="55">
        <f>G1265*AO1265</f>
        <v>0</v>
      </c>
      <c r="AX1265" s="55">
        <f>G1265*AP1265</f>
        <v>0</v>
      </c>
      <c r="AY1265" s="58" t="s">
        <v>2371</v>
      </c>
      <c r="AZ1265" s="58" t="s">
        <v>2344</v>
      </c>
      <c r="BA1265" s="34" t="s">
        <v>128</v>
      </c>
      <c r="BB1265" s="67">
        <v>100023</v>
      </c>
      <c r="BC1265" s="55">
        <f>AW1265+AX1265</f>
        <v>0</v>
      </c>
      <c r="BD1265" s="55">
        <f>H1265/(100-BE1265)*100</f>
        <v>0</v>
      </c>
      <c r="BE1265" s="55">
        <v>0</v>
      </c>
      <c r="BF1265" s="55">
        <f>K1265</f>
        <v>0</v>
      </c>
      <c r="BH1265" s="55">
        <f>G1265*AO1265</f>
        <v>0</v>
      </c>
      <c r="BI1265" s="55">
        <f>G1265*AP1265</f>
        <v>0</v>
      </c>
      <c r="BJ1265" s="55">
        <f>G1265*H1265</f>
        <v>0</v>
      </c>
      <c r="BK1265" s="55"/>
      <c r="BL1265" s="55">
        <v>95</v>
      </c>
      <c r="BW1265" s="55">
        <v>21</v>
      </c>
    </row>
    <row r="1266" spans="1:12" ht="13.5" customHeight="1">
      <c r="A1266" s="59"/>
      <c r="D1266" s="218" t="s">
        <v>2408</v>
      </c>
      <c r="E1266" s="219"/>
      <c r="F1266" s="219"/>
      <c r="G1266" s="219"/>
      <c r="H1266" s="219"/>
      <c r="I1266" s="219"/>
      <c r="J1266" s="219"/>
      <c r="K1266" s="219"/>
      <c r="L1266" s="221"/>
    </row>
    <row r="1267" spans="1:12" ht="14.4">
      <c r="A1267" s="59"/>
      <c r="D1267" s="60" t="s">
        <v>153</v>
      </c>
      <c r="E1267" s="60" t="s">
        <v>1709</v>
      </c>
      <c r="G1267" s="68">
        <v>10</v>
      </c>
      <c r="L1267" s="69"/>
    </row>
    <row r="1268" spans="1:75" ht="13.5" customHeight="1">
      <c r="A1268" s="1" t="s">
        <v>2409</v>
      </c>
      <c r="B1268" s="2" t="s">
        <v>116</v>
      </c>
      <c r="C1268" s="2" t="s">
        <v>2410</v>
      </c>
      <c r="D1268" s="147" t="s">
        <v>2411</v>
      </c>
      <c r="E1268" s="148"/>
      <c r="F1268" s="2" t="s">
        <v>374</v>
      </c>
      <c r="G1268" s="55">
        <f>'Stavební rozpočet-vyplnit'!G1268</f>
        <v>1</v>
      </c>
      <c r="H1268" s="55">
        <f>'Stavební rozpočet-vyplnit'!H1268</f>
        <v>0</v>
      </c>
      <c r="I1268" s="55">
        <f>G1268*H1268</f>
        <v>0</v>
      </c>
      <c r="J1268" s="55">
        <f>'Stavební rozpočet-vyplnit'!J1268</f>
        <v>4E-05</v>
      </c>
      <c r="K1268" s="55">
        <f>G1268*J1268</f>
        <v>4E-05</v>
      </c>
      <c r="L1268" s="57" t="s">
        <v>785</v>
      </c>
      <c r="Z1268" s="55">
        <f>IF(AQ1268="5",BJ1268,0)</f>
        <v>0</v>
      </c>
      <c r="AB1268" s="55">
        <f>IF(AQ1268="1",BH1268,0)</f>
        <v>0</v>
      </c>
      <c r="AC1268" s="55">
        <f>IF(AQ1268="1",BI1268,0)</f>
        <v>0</v>
      </c>
      <c r="AD1268" s="55">
        <f>IF(AQ1268="7",BH1268,0)</f>
        <v>0</v>
      </c>
      <c r="AE1268" s="55">
        <f>IF(AQ1268="7",BI1268,0)</f>
        <v>0</v>
      </c>
      <c r="AF1268" s="55">
        <f>IF(AQ1268="2",BH1268,0)</f>
        <v>0</v>
      </c>
      <c r="AG1268" s="55">
        <f>IF(AQ1268="2",BI1268,0)</f>
        <v>0</v>
      </c>
      <c r="AH1268" s="55">
        <f>IF(AQ1268="0",BJ1268,0)</f>
        <v>0</v>
      </c>
      <c r="AI1268" s="34" t="s">
        <v>116</v>
      </c>
      <c r="AJ1268" s="55">
        <f>IF(AN1268=0,I1268,0)</f>
        <v>0</v>
      </c>
      <c r="AK1268" s="55">
        <f>IF(AN1268=12,I1268,0)</f>
        <v>0</v>
      </c>
      <c r="AL1268" s="55">
        <f>IF(AN1268=21,I1268,0)</f>
        <v>0</v>
      </c>
      <c r="AN1268" s="55">
        <v>21</v>
      </c>
      <c r="AO1268" s="55">
        <f>H1268*0.184818482</f>
        <v>0</v>
      </c>
      <c r="AP1268" s="55">
        <f>H1268*(1-0.184818482)</f>
        <v>0</v>
      </c>
      <c r="AQ1268" s="58" t="s">
        <v>120</v>
      </c>
      <c r="AV1268" s="55">
        <f>AW1268+AX1268</f>
        <v>0</v>
      </c>
      <c r="AW1268" s="55">
        <f>G1268*AO1268</f>
        <v>0</v>
      </c>
      <c r="AX1268" s="55">
        <f>G1268*AP1268</f>
        <v>0</v>
      </c>
      <c r="AY1268" s="58" t="s">
        <v>2371</v>
      </c>
      <c r="AZ1268" s="58" t="s">
        <v>2344</v>
      </c>
      <c r="BA1268" s="34" t="s">
        <v>128</v>
      </c>
      <c r="BB1268" s="67">
        <v>100023</v>
      </c>
      <c r="BC1268" s="55">
        <f>AW1268+AX1268</f>
        <v>0</v>
      </c>
      <c r="BD1268" s="55">
        <f>H1268/(100-BE1268)*100</f>
        <v>0</v>
      </c>
      <c r="BE1268" s="55">
        <v>0</v>
      </c>
      <c r="BF1268" s="55">
        <f>K1268</f>
        <v>4E-05</v>
      </c>
      <c r="BH1268" s="55">
        <f>G1268*AO1268</f>
        <v>0</v>
      </c>
      <c r="BI1268" s="55">
        <f>G1268*AP1268</f>
        <v>0</v>
      </c>
      <c r="BJ1268" s="55">
        <f>G1268*H1268</f>
        <v>0</v>
      </c>
      <c r="BK1268" s="55"/>
      <c r="BL1268" s="55">
        <v>95</v>
      </c>
      <c r="BW1268" s="55">
        <v>21</v>
      </c>
    </row>
    <row r="1269" spans="1:12" ht="14.4">
      <c r="A1269" s="59"/>
      <c r="D1269" s="60" t="s">
        <v>120</v>
      </c>
      <c r="E1269" s="60" t="s">
        <v>4</v>
      </c>
      <c r="G1269" s="68">
        <v>1</v>
      </c>
      <c r="L1269" s="69"/>
    </row>
    <row r="1270" spans="1:75" ht="27" customHeight="1">
      <c r="A1270" s="61" t="s">
        <v>2412</v>
      </c>
      <c r="B1270" s="62" t="s">
        <v>116</v>
      </c>
      <c r="C1270" s="62" t="s">
        <v>2413</v>
      </c>
      <c r="D1270" s="224" t="s">
        <v>2414</v>
      </c>
      <c r="E1270" s="225"/>
      <c r="F1270" s="62" t="s">
        <v>374</v>
      </c>
      <c r="G1270" s="63">
        <f>'Stavební rozpočet-vyplnit'!G1270</f>
        <v>1</v>
      </c>
      <c r="H1270" s="63">
        <f>'Stavební rozpočet-vyplnit'!H1270</f>
        <v>0</v>
      </c>
      <c r="I1270" s="63">
        <f>G1270*H1270</f>
        <v>0</v>
      </c>
      <c r="J1270" s="63">
        <f>'Stavební rozpočet-vyplnit'!J1270</f>
        <v>0.001</v>
      </c>
      <c r="K1270" s="63">
        <f>G1270*J1270</f>
        <v>0.001</v>
      </c>
      <c r="L1270" s="65" t="s">
        <v>124</v>
      </c>
      <c r="Z1270" s="55">
        <f>IF(AQ1270="5",BJ1270,0)</f>
        <v>0</v>
      </c>
      <c r="AB1270" s="55">
        <f>IF(AQ1270="1",BH1270,0)</f>
        <v>0</v>
      </c>
      <c r="AC1270" s="55">
        <f>IF(AQ1270="1",BI1270,0)</f>
        <v>0</v>
      </c>
      <c r="AD1270" s="55">
        <f>IF(AQ1270="7",BH1270,0)</f>
        <v>0</v>
      </c>
      <c r="AE1270" s="55">
        <f>IF(AQ1270="7",BI1270,0)</f>
        <v>0</v>
      </c>
      <c r="AF1270" s="55">
        <f>IF(AQ1270="2",BH1270,0)</f>
        <v>0</v>
      </c>
      <c r="AG1270" s="55">
        <f>IF(AQ1270="2",BI1270,0)</f>
        <v>0</v>
      </c>
      <c r="AH1270" s="55">
        <f>IF(AQ1270="0",BJ1270,0)</f>
        <v>0</v>
      </c>
      <c r="AI1270" s="34" t="s">
        <v>116</v>
      </c>
      <c r="AJ1270" s="63">
        <f>IF(AN1270=0,I1270,0)</f>
        <v>0</v>
      </c>
      <c r="AK1270" s="63">
        <f>IF(AN1270=12,I1270,0)</f>
        <v>0</v>
      </c>
      <c r="AL1270" s="63">
        <f>IF(AN1270=21,I1270,0)</f>
        <v>0</v>
      </c>
      <c r="AN1270" s="55">
        <v>21</v>
      </c>
      <c r="AO1270" s="55">
        <f>H1270*1</f>
        <v>0</v>
      </c>
      <c r="AP1270" s="55">
        <f>H1270*(1-1)</f>
        <v>0</v>
      </c>
      <c r="AQ1270" s="66" t="s">
        <v>120</v>
      </c>
      <c r="AV1270" s="55">
        <f>AW1270+AX1270</f>
        <v>0</v>
      </c>
      <c r="AW1270" s="55">
        <f>G1270*AO1270</f>
        <v>0</v>
      </c>
      <c r="AX1270" s="55">
        <f>G1270*AP1270</f>
        <v>0</v>
      </c>
      <c r="AY1270" s="58" t="s">
        <v>2371</v>
      </c>
      <c r="AZ1270" s="58" t="s">
        <v>2344</v>
      </c>
      <c r="BA1270" s="34" t="s">
        <v>128</v>
      </c>
      <c r="BC1270" s="55">
        <f>AW1270+AX1270</f>
        <v>0</v>
      </c>
      <c r="BD1270" s="55">
        <f>H1270/(100-BE1270)*100</f>
        <v>0</v>
      </c>
      <c r="BE1270" s="55">
        <v>0</v>
      </c>
      <c r="BF1270" s="55">
        <f>K1270</f>
        <v>0.001</v>
      </c>
      <c r="BH1270" s="63">
        <f>G1270*AO1270</f>
        <v>0</v>
      </c>
      <c r="BI1270" s="63">
        <f>G1270*AP1270</f>
        <v>0</v>
      </c>
      <c r="BJ1270" s="63">
        <f>G1270*H1270</f>
        <v>0</v>
      </c>
      <c r="BK1270" s="63"/>
      <c r="BL1270" s="55">
        <v>95</v>
      </c>
      <c r="BW1270" s="55">
        <v>21</v>
      </c>
    </row>
    <row r="1271" spans="1:12" ht="14.4">
      <c r="A1271" s="59"/>
      <c r="D1271" s="60" t="s">
        <v>120</v>
      </c>
      <c r="E1271" s="60" t="s">
        <v>4</v>
      </c>
      <c r="G1271" s="68">
        <v>1</v>
      </c>
      <c r="L1271" s="69"/>
    </row>
    <row r="1272" spans="1:75" ht="13.5" customHeight="1">
      <c r="A1272" s="1" t="s">
        <v>2415</v>
      </c>
      <c r="B1272" s="2" t="s">
        <v>116</v>
      </c>
      <c r="C1272" s="2" t="s">
        <v>2416</v>
      </c>
      <c r="D1272" s="147" t="s">
        <v>2417</v>
      </c>
      <c r="E1272" s="148"/>
      <c r="F1272" s="2" t="s">
        <v>374</v>
      </c>
      <c r="G1272" s="55">
        <f>'Stavební rozpočet-vyplnit'!G1272</f>
        <v>2</v>
      </c>
      <c r="H1272" s="55">
        <f>'Stavební rozpočet-vyplnit'!H1272</f>
        <v>0</v>
      </c>
      <c r="I1272" s="55">
        <f>G1272*H1272</f>
        <v>0</v>
      </c>
      <c r="J1272" s="55">
        <f>'Stavební rozpočet-vyplnit'!J1272</f>
        <v>4E-05</v>
      </c>
      <c r="K1272" s="55">
        <f>G1272*J1272</f>
        <v>8E-05</v>
      </c>
      <c r="L1272" s="57" t="s">
        <v>124</v>
      </c>
      <c r="Z1272" s="55">
        <f>IF(AQ1272="5",BJ1272,0)</f>
        <v>0</v>
      </c>
      <c r="AB1272" s="55">
        <f>IF(AQ1272="1",BH1272,0)</f>
        <v>0</v>
      </c>
      <c r="AC1272" s="55">
        <f>IF(AQ1272="1",BI1272,0)</f>
        <v>0</v>
      </c>
      <c r="AD1272" s="55">
        <f>IF(AQ1272="7",BH1272,0)</f>
        <v>0</v>
      </c>
      <c r="AE1272" s="55">
        <f>IF(AQ1272="7",BI1272,0)</f>
        <v>0</v>
      </c>
      <c r="AF1272" s="55">
        <f>IF(AQ1272="2",BH1272,0)</f>
        <v>0</v>
      </c>
      <c r="AG1272" s="55">
        <f>IF(AQ1272="2",BI1272,0)</f>
        <v>0</v>
      </c>
      <c r="AH1272" s="55">
        <f>IF(AQ1272="0",BJ1272,0)</f>
        <v>0</v>
      </c>
      <c r="AI1272" s="34" t="s">
        <v>116</v>
      </c>
      <c r="AJ1272" s="55">
        <f>IF(AN1272=0,I1272,0)</f>
        <v>0</v>
      </c>
      <c r="AK1272" s="55">
        <f>IF(AN1272=12,I1272,0)</f>
        <v>0</v>
      </c>
      <c r="AL1272" s="55">
        <f>IF(AN1272=21,I1272,0)</f>
        <v>0</v>
      </c>
      <c r="AN1272" s="55">
        <v>21</v>
      </c>
      <c r="AO1272" s="55">
        <f>H1272*0.2</f>
        <v>0</v>
      </c>
      <c r="AP1272" s="55">
        <f>H1272*(1-0.2)</f>
        <v>0</v>
      </c>
      <c r="AQ1272" s="58" t="s">
        <v>120</v>
      </c>
      <c r="AV1272" s="55">
        <f>AW1272+AX1272</f>
        <v>0</v>
      </c>
      <c r="AW1272" s="55">
        <f>G1272*AO1272</f>
        <v>0</v>
      </c>
      <c r="AX1272" s="55">
        <f>G1272*AP1272</f>
        <v>0</v>
      </c>
      <c r="AY1272" s="58" t="s">
        <v>2371</v>
      </c>
      <c r="AZ1272" s="58" t="s">
        <v>2344</v>
      </c>
      <c r="BA1272" s="34" t="s">
        <v>128</v>
      </c>
      <c r="BB1272" s="67">
        <v>100023</v>
      </c>
      <c r="BC1272" s="55">
        <f>AW1272+AX1272</f>
        <v>0</v>
      </c>
      <c r="BD1272" s="55">
        <f>H1272/(100-BE1272)*100</f>
        <v>0</v>
      </c>
      <c r="BE1272" s="55">
        <v>0</v>
      </c>
      <c r="BF1272" s="55">
        <f>K1272</f>
        <v>8E-05</v>
      </c>
      <c r="BH1272" s="55">
        <f>G1272*AO1272</f>
        <v>0</v>
      </c>
      <c r="BI1272" s="55">
        <f>G1272*AP1272</f>
        <v>0</v>
      </c>
      <c r="BJ1272" s="55">
        <f>G1272*H1272</f>
        <v>0</v>
      </c>
      <c r="BK1272" s="55"/>
      <c r="BL1272" s="55">
        <v>95</v>
      </c>
      <c r="BW1272" s="55">
        <v>21</v>
      </c>
    </row>
    <row r="1273" spans="1:12" ht="14.4">
      <c r="A1273" s="59"/>
      <c r="D1273" s="60" t="s">
        <v>130</v>
      </c>
      <c r="E1273" s="60" t="s">
        <v>4</v>
      </c>
      <c r="G1273" s="68">
        <v>2</v>
      </c>
      <c r="L1273" s="69"/>
    </row>
    <row r="1274" spans="1:75" ht="13.5" customHeight="1">
      <c r="A1274" s="61" t="s">
        <v>2418</v>
      </c>
      <c r="B1274" s="62" t="s">
        <v>116</v>
      </c>
      <c r="C1274" s="62" t="s">
        <v>2419</v>
      </c>
      <c r="D1274" s="224" t="s">
        <v>2420</v>
      </c>
      <c r="E1274" s="225"/>
      <c r="F1274" s="62" t="s">
        <v>374</v>
      </c>
      <c r="G1274" s="63">
        <f>'Stavební rozpočet-vyplnit'!G1274</f>
        <v>2</v>
      </c>
      <c r="H1274" s="63">
        <f>'Stavební rozpočet-vyplnit'!H1274</f>
        <v>0</v>
      </c>
      <c r="I1274" s="63">
        <f>G1274*H1274</f>
        <v>0</v>
      </c>
      <c r="J1274" s="63">
        <f>'Stavební rozpočet-vyplnit'!J1274</f>
        <v>0.0005</v>
      </c>
      <c r="K1274" s="63">
        <f>G1274*J1274</f>
        <v>0.001</v>
      </c>
      <c r="L1274" s="65" t="s">
        <v>124</v>
      </c>
      <c r="Z1274" s="55">
        <f>IF(AQ1274="5",BJ1274,0)</f>
        <v>0</v>
      </c>
      <c r="AB1274" s="55">
        <f>IF(AQ1274="1",BH1274,0)</f>
        <v>0</v>
      </c>
      <c r="AC1274" s="55">
        <f>IF(AQ1274="1",BI1274,0)</f>
        <v>0</v>
      </c>
      <c r="AD1274" s="55">
        <f>IF(AQ1274="7",BH1274,0)</f>
        <v>0</v>
      </c>
      <c r="AE1274" s="55">
        <f>IF(AQ1274="7",BI1274,0)</f>
        <v>0</v>
      </c>
      <c r="AF1274" s="55">
        <f>IF(AQ1274="2",BH1274,0)</f>
        <v>0</v>
      </c>
      <c r="AG1274" s="55">
        <f>IF(AQ1274="2",BI1274,0)</f>
        <v>0</v>
      </c>
      <c r="AH1274" s="55">
        <f>IF(AQ1274="0",BJ1274,0)</f>
        <v>0</v>
      </c>
      <c r="AI1274" s="34" t="s">
        <v>116</v>
      </c>
      <c r="AJ1274" s="63">
        <f>IF(AN1274=0,I1274,0)</f>
        <v>0</v>
      </c>
      <c r="AK1274" s="63">
        <f>IF(AN1274=12,I1274,0)</f>
        <v>0</v>
      </c>
      <c r="AL1274" s="63">
        <f>IF(AN1274=21,I1274,0)</f>
        <v>0</v>
      </c>
      <c r="AN1274" s="55">
        <v>21</v>
      </c>
      <c r="AO1274" s="55">
        <f>H1274*1</f>
        <v>0</v>
      </c>
      <c r="AP1274" s="55">
        <f>H1274*(1-1)</f>
        <v>0</v>
      </c>
      <c r="AQ1274" s="66" t="s">
        <v>120</v>
      </c>
      <c r="AV1274" s="55">
        <f>AW1274+AX1274</f>
        <v>0</v>
      </c>
      <c r="AW1274" s="55">
        <f>G1274*AO1274</f>
        <v>0</v>
      </c>
      <c r="AX1274" s="55">
        <f>G1274*AP1274</f>
        <v>0</v>
      </c>
      <c r="AY1274" s="58" t="s">
        <v>2371</v>
      </c>
      <c r="AZ1274" s="58" t="s">
        <v>2344</v>
      </c>
      <c r="BA1274" s="34" t="s">
        <v>128</v>
      </c>
      <c r="BC1274" s="55">
        <f>AW1274+AX1274</f>
        <v>0</v>
      </c>
      <c r="BD1274" s="55">
        <f>H1274/(100-BE1274)*100</f>
        <v>0</v>
      </c>
      <c r="BE1274" s="55">
        <v>0</v>
      </c>
      <c r="BF1274" s="55">
        <f>K1274</f>
        <v>0.001</v>
      </c>
      <c r="BH1274" s="63">
        <f>G1274*AO1274</f>
        <v>0</v>
      </c>
      <c r="BI1274" s="63">
        <f>G1274*AP1274</f>
        <v>0</v>
      </c>
      <c r="BJ1274" s="63">
        <f>G1274*H1274</f>
        <v>0</v>
      </c>
      <c r="BK1274" s="63"/>
      <c r="BL1274" s="55">
        <v>95</v>
      </c>
      <c r="BW1274" s="55">
        <v>21</v>
      </c>
    </row>
    <row r="1275" spans="1:12" ht="14.4">
      <c r="A1275" s="59"/>
      <c r="D1275" s="60" t="s">
        <v>130</v>
      </c>
      <c r="E1275" s="60" t="s">
        <v>4</v>
      </c>
      <c r="G1275" s="68">
        <v>2</v>
      </c>
      <c r="L1275" s="69"/>
    </row>
    <row r="1276" spans="1:47" ht="14.4">
      <c r="A1276" s="50" t="s">
        <v>4</v>
      </c>
      <c r="B1276" s="51" t="s">
        <v>116</v>
      </c>
      <c r="C1276" s="51" t="s">
        <v>428</v>
      </c>
      <c r="D1276" s="222" t="s">
        <v>2421</v>
      </c>
      <c r="E1276" s="223"/>
      <c r="F1276" s="52" t="s">
        <v>79</v>
      </c>
      <c r="G1276" s="52" t="s">
        <v>79</v>
      </c>
      <c r="H1276" s="52" t="s">
        <v>79</v>
      </c>
      <c r="I1276" s="27">
        <f>SUM(I1277:I1306)</f>
        <v>0</v>
      </c>
      <c r="J1276" s="34" t="s">
        <v>4</v>
      </c>
      <c r="K1276" s="27">
        <f>SUM(K1277:K1306)</f>
        <v>87.39288800000001</v>
      </c>
      <c r="L1276" s="54" t="s">
        <v>4</v>
      </c>
      <c r="AI1276" s="34" t="s">
        <v>116</v>
      </c>
      <c r="AS1276" s="27">
        <f>SUM(AJ1277:AJ1306)</f>
        <v>0</v>
      </c>
      <c r="AT1276" s="27">
        <f>SUM(AK1277:AK1306)</f>
        <v>0</v>
      </c>
      <c r="AU1276" s="27">
        <f>SUM(AL1277:AL1306)</f>
        <v>0</v>
      </c>
    </row>
    <row r="1277" spans="1:75" ht="13.5" customHeight="1">
      <c r="A1277" s="1" t="s">
        <v>2422</v>
      </c>
      <c r="B1277" s="2" t="s">
        <v>116</v>
      </c>
      <c r="C1277" s="2" t="s">
        <v>2423</v>
      </c>
      <c r="D1277" s="147" t="s">
        <v>2424</v>
      </c>
      <c r="E1277" s="148"/>
      <c r="F1277" s="2" t="s">
        <v>792</v>
      </c>
      <c r="G1277" s="55">
        <f>'Stavební rozpočet-vyplnit'!G1277</f>
        <v>7.23</v>
      </c>
      <c r="H1277" s="55">
        <f>'Stavební rozpočet-vyplnit'!H1277</f>
        <v>0</v>
      </c>
      <c r="I1277" s="55">
        <f>G1277*H1277</f>
        <v>0</v>
      </c>
      <c r="J1277" s="55">
        <f>'Stavební rozpočet-vyplnit'!J1277</f>
        <v>1.671</v>
      </c>
      <c r="K1277" s="55">
        <f>G1277*J1277</f>
        <v>12.081330000000001</v>
      </c>
      <c r="L1277" s="57" t="s">
        <v>785</v>
      </c>
      <c r="Z1277" s="55">
        <f>IF(AQ1277="5",BJ1277,0)</f>
        <v>0</v>
      </c>
      <c r="AB1277" s="55">
        <f>IF(AQ1277="1",BH1277,0)</f>
        <v>0</v>
      </c>
      <c r="AC1277" s="55">
        <f>IF(AQ1277="1",BI1277,0)</f>
        <v>0</v>
      </c>
      <c r="AD1277" s="55">
        <f>IF(AQ1277="7",BH1277,0)</f>
        <v>0</v>
      </c>
      <c r="AE1277" s="55">
        <f>IF(AQ1277="7",BI1277,0)</f>
        <v>0</v>
      </c>
      <c r="AF1277" s="55">
        <f>IF(AQ1277="2",BH1277,0)</f>
        <v>0</v>
      </c>
      <c r="AG1277" s="55">
        <f>IF(AQ1277="2",BI1277,0)</f>
        <v>0</v>
      </c>
      <c r="AH1277" s="55">
        <f>IF(AQ1277="0",BJ1277,0)</f>
        <v>0</v>
      </c>
      <c r="AI1277" s="34" t="s">
        <v>116</v>
      </c>
      <c r="AJ1277" s="55">
        <f>IF(AN1277=0,I1277,0)</f>
        <v>0</v>
      </c>
      <c r="AK1277" s="55">
        <f>IF(AN1277=12,I1277,0)</f>
        <v>0</v>
      </c>
      <c r="AL1277" s="55">
        <f>IF(AN1277=21,I1277,0)</f>
        <v>0</v>
      </c>
      <c r="AN1277" s="55">
        <v>21</v>
      </c>
      <c r="AO1277" s="55">
        <f>H1277*0</f>
        <v>0</v>
      </c>
      <c r="AP1277" s="55">
        <f>H1277*(1-0)</f>
        <v>0</v>
      </c>
      <c r="AQ1277" s="58" t="s">
        <v>120</v>
      </c>
      <c r="AV1277" s="55">
        <f>AW1277+AX1277</f>
        <v>0</v>
      </c>
      <c r="AW1277" s="55">
        <f>G1277*AO1277</f>
        <v>0</v>
      </c>
      <c r="AX1277" s="55">
        <f>G1277*AP1277</f>
        <v>0</v>
      </c>
      <c r="AY1277" s="58" t="s">
        <v>2425</v>
      </c>
      <c r="AZ1277" s="58" t="s">
        <v>2344</v>
      </c>
      <c r="BA1277" s="34" t="s">
        <v>128</v>
      </c>
      <c r="BB1277" s="67">
        <v>100020</v>
      </c>
      <c r="BC1277" s="55">
        <f>AW1277+AX1277</f>
        <v>0</v>
      </c>
      <c r="BD1277" s="55">
        <f>H1277/(100-BE1277)*100</f>
        <v>0</v>
      </c>
      <c r="BE1277" s="55">
        <v>0</v>
      </c>
      <c r="BF1277" s="55">
        <f>K1277</f>
        <v>12.081330000000001</v>
      </c>
      <c r="BH1277" s="55">
        <f>G1277*AO1277</f>
        <v>0</v>
      </c>
      <c r="BI1277" s="55">
        <f>G1277*AP1277</f>
        <v>0</v>
      </c>
      <c r="BJ1277" s="55">
        <f>G1277*H1277</f>
        <v>0</v>
      </c>
      <c r="BK1277" s="55"/>
      <c r="BL1277" s="55">
        <v>96</v>
      </c>
      <c r="BW1277" s="55">
        <v>21</v>
      </c>
    </row>
    <row r="1278" spans="1:12" ht="13.5" customHeight="1">
      <c r="A1278" s="59"/>
      <c r="D1278" s="218" t="s">
        <v>2426</v>
      </c>
      <c r="E1278" s="219"/>
      <c r="F1278" s="219"/>
      <c r="G1278" s="219"/>
      <c r="H1278" s="219"/>
      <c r="I1278" s="219"/>
      <c r="J1278" s="219"/>
      <c r="K1278" s="219"/>
      <c r="L1278" s="221"/>
    </row>
    <row r="1279" spans="1:12" ht="14.4">
      <c r="A1279" s="59"/>
      <c r="D1279" s="60" t="s">
        <v>2427</v>
      </c>
      <c r="E1279" s="60" t="s">
        <v>4</v>
      </c>
      <c r="G1279" s="68">
        <v>1.52</v>
      </c>
      <c r="L1279" s="69"/>
    </row>
    <row r="1280" spans="1:12" ht="14.4">
      <c r="A1280" s="59"/>
      <c r="D1280" s="60" t="s">
        <v>2428</v>
      </c>
      <c r="E1280" s="60" t="s">
        <v>4</v>
      </c>
      <c r="G1280" s="68">
        <v>0.88</v>
      </c>
      <c r="L1280" s="69"/>
    </row>
    <row r="1281" spans="1:12" ht="14.4">
      <c r="A1281" s="59"/>
      <c r="D1281" s="60" t="s">
        <v>2429</v>
      </c>
      <c r="E1281" s="60" t="s">
        <v>4</v>
      </c>
      <c r="G1281" s="68">
        <v>2.9</v>
      </c>
      <c r="L1281" s="69"/>
    </row>
    <row r="1282" spans="1:12" ht="14.4">
      <c r="A1282" s="59"/>
      <c r="D1282" s="60" t="s">
        <v>2430</v>
      </c>
      <c r="E1282" s="60" t="s">
        <v>4</v>
      </c>
      <c r="G1282" s="68">
        <v>1.93</v>
      </c>
      <c r="L1282" s="69"/>
    </row>
    <row r="1283" spans="1:75" ht="13.5" customHeight="1">
      <c r="A1283" s="1" t="s">
        <v>2431</v>
      </c>
      <c r="B1283" s="2" t="s">
        <v>116</v>
      </c>
      <c r="C1283" s="2" t="s">
        <v>2432</v>
      </c>
      <c r="D1283" s="147" t="s">
        <v>2433</v>
      </c>
      <c r="E1283" s="148"/>
      <c r="F1283" s="2" t="s">
        <v>792</v>
      </c>
      <c r="G1283" s="55">
        <f>'Stavební rozpočet-vyplnit'!G1283</f>
        <v>29.07</v>
      </c>
      <c r="H1283" s="55">
        <f>'Stavební rozpočet-vyplnit'!H1283</f>
        <v>0</v>
      </c>
      <c r="I1283" s="55">
        <f>G1283*H1283</f>
        <v>0</v>
      </c>
      <c r="J1283" s="55">
        <f>'Stavební rozpočet-vyplnit'!J1283</f>
        <v>1.594</v>
      </c>
      <c r="K1283" s="55">
        <f>G1283*J1283</f>
        <v>46.33758</v>
      </c>
      <c r="L1283" s="57" t="s">
        <v>785</v>
      </c>
      <c r="Z1283" s="55">
        <f>IF(AQ1283="5",BJ1283,0)</f>
        <v>0</v>
      </c>
      <c r="AB1283" s="55">
        <f>IF(AQ1283="1",BH1283,0)</f>
        <v>0</v>
      </c>
      <c r="AC1283" s="55">
        <f>IF(AQ1283="1",BI1283,0)</f>
        <v>0</v>
      </c>
      <c r="AD1283" s="55">
        <f>IF(AQ1283="7",BH1283,0)</f>
        <v>0</v>
      </c>
      <c r="AE1283" s="55">
        <f>IF(AQ1283="7",BI1283,0)</f>
        <v>0</v>
      </c>
      <c r="AF1283" s="55">
        <f>IF(AQ1283="2",BH1283,0)</f>
        <v>0</v>
      </c>
      <c r="AG1283" s="55">
        <f>IF(AQ1283="2",BI1283,0)</f>
        <v>0</v>
      </c>
      <c r="AH1283" s="55">
        <f>IF(AQ1283="0",BJ1283,0)</f>
        <v>0</v>
      </c>
      <c r="AI1283" s="34" t="s">
        <v>116</v>
      </c>
      <c r="AJ1283" s="55">
        <f>IF(AN1283=0,I1283,0)</f>
        <v>0</v>
      </c>
      <c r="AK1283" s="55">
        <f>IF(AN1283=12,I1283,0)</f>
        <v>0</v>
      </c>
      <c r="AL1283" s="55">
        <f>IF(AN1283=21,I1283,0)</f>
        <v>0</v>
      </c>
      <c r="AN1283" s="55">
        <v>21</v>
      </c>
      <c r="AO1283" s="55">
        <f>H1283*0</f>
        <v>0</v>
      </c>
      <c r="AP1283" s="55">
        <f>H1283*(1-0)</f>
        <v>0</v>
      </c>
      <c r="AQ1283" s="58" t="s">
        <v>120</v>
      </c>
      <c r="AV1283" s="55">
        <f>AW1283+AX1283</f>
        <v>0</v>
      </c>
      <c r="AW1283" s="55">
        <f>G1283*AO1283</f>
        <v>0</v>
      </c>
      <c r="AX1283" s="55">
        <f>G1283*AP1283</f>
        <v>0</v>
      </c>
      <c r="AY1283" s="58" t="s">
        <v>2425</v>
      </c>
      <c r="AZ1283" s="58" t="s">
        <v>2344</v>
      </c>
      <c r="BA1283" s="34" t="s">
        <v>128</v>
      </c>
      <c r="BB1283" s="67">
        <v>100020</v>
      </c>
      <c r="BC1283" s="55">
        <f>AW1283+AX1283</f>
        <v>0</v>
      </c>
      <c r="BD1283" s="55">
        <f>H1283/(100-BE1283)*100</f>
        <v>0</v>
      </c>
      <c r="BE1283" s="55">
        <v>0</v>
      </c>
      <c r="BF1283" s="55">
        <f>K1283</f>
        <v>46.33758</v>
      </c>
      <c r="BH1283" s="55">
        <f>G1283*AO1283</f>
        <v>0</v>
      </c>
      <c r="BI1283" s="55">
        <f>G1283*AP1283</f>
        <v>0</v>
      </c>
      <c r="BJ1283" s="55">
        <f>G1283*H1283</f>
        <v>0</v>
      </c>
      <c r="BK1283" s="55"/>
      <c r="BL1283" s="55">
        <v>96</v>
      </c>
      <c r="BW1283" s="55">
        <v>21</v>
      </c>
    </row>
    <row r="1284" spans="1:12" ht="13.5" customHeight="1">
      <c r="A1284" s="59"/>
      <c r="D1284" s="218" t="s">
        <v>2434</v>
      </c>
      <c r="E1284" s="219"/>
      <c r="F1284" s="219"/>
      <c r="G1284" s="219"/>
      <c r="H1284" s="219"/>
      <c r="I1284" s="219"/>
      <c r="J1284" s="219"/>
      <c r="K1284" s="219"/>
      <c r="L1284" s="221"/>
    </row>
    <row r="1285" spans="1:12" ht="14.4">
      <c r="A1285" s="59"/>
      <c r="D1285" s="60" t="s">
        <v>2435</v>
      </c>
      <c r="E1285" s="60" t="s">
        <v>4</v>
      </c>
      <c r="G1285" s="68">
        <v>29.07</v>
      </c>
      <c r="L1285" s="69"/>
    </row>
    <row r="1286" spans="1:75" ht="13.5" customHeight="1">
      <c r="A1286" s="1" t="s">
        <v>2436</v>
      </c>
      <c r="B1286" s="2" t="s">
        <v>116</v>
      </c>
      <c r="C1286" s="2" t="s">
        <v>2437</v>
      </c>
      <c r="D1286" s="147" t="s">
        <v>2438</v>
      </c>
      <c r="E1286" s="148"/>
      <c r="F1286" s="2" t="s">
        <v>729</v>
      </c>
      <c r="G1286" s="55">
        <f>'Stavební rozpočet-vyplnit'!G1286</f>
        <v>33.7</v>
      </c>
      <c r="H1286" s="55">
        <f>'Stavební rozpočet-vyplnit'!H1286</f>
        <v>0</v>
      </c>
      <c r="I1286" s="55">
        <f>G1286*H1286</f>
        <v>0</v>
      </c>
      <c r="J1286" s="55">
        <f>'Stavební rozpočet-vyplnit'!J1286</f>
        <v>0.31967</v>
      </c>
      <c r="K1286" s="55">
        <f>G1286*J1286</f>
        <v>10.772879000000001</v>
      </c>
      <c r="L1286" s="57" t="s">
        <v>785</v>
      </c>
      <c r="Z1286" s="55">
        <f>IF(AQ1286="5",BJ1286,0)</f>
        <v>0</v>
      </c>
      <c r="AB1286" s="55">
        <f>IF(AQ1286="1",BH1286,0)</f>
        <v>0</v>
      </c>
      <c r="AC1286" s="55">
        <f>IF(AQ1286="1",BI1286,0)</f>
        <v>0</v>
      </c>
      <c r="AD1286" s="55">
        <f>IF(AQ1286="7",BH1286,0)</f>
        <v>0</v>
      </c>
      <c r="AE1286" s="55">
        <f>IF(AQ1286="7",BI1286,0)</f>
        <v>0</v>
      </c>
      <c r="AF1286" s="55">
        <f>IF(AQ1286="2",BH1286,0)</f>
        <v>0</v>
      </c>
      <c r="AG1286" s="55">
        <f>IF(AQ1286="2",BI1286,0)</f>
        <v>0</v>
      </c>
      <c r="AH1286" s="55">
        <f>IF(AQ1286="0",BJ1286,0)</f>
        <v>0</v>
      </c>
      <c r="AI1286" s="34" t="s">
        <v>116</v>
      </c>
      <c r="AJ1286" s="55">
        <f>IF(AN1286=0,I1286,0)</f>
        <v>0</v>
      </c>
      <c r="AK1286" s="55">
        <f>IF(AN1286=12,I1286,0)</f>
        <v>0</v>
      </c>
      <c r="AL1286" s="55">
        <f>IF(AN1286=21,I1286,0)</f>
        <v>0</v>
      </c>
      <c r="AN1286" s="55">
        <v>21</v>
      </c>
      <c r="AO1286" s="55">
        <f>H1286*0.100673575</f>
        <v>0</v>
      </c>
      <c r="AP1286" s="55">
        <f>H1286*(1-0.100673575)</f>
        <v>0</v>
      </c>
      <c r="AQ1286" s="58" t="s">
        <v>120</v>
      </c>
      <c r="AV1286" s="55">
        <f>AW1286+AX1286</f>
        <v>0</v>
      </c>
      <c r="AW1286" s="55">
        <f>G1286*AO1286</f>
        <v>0</v>
      </c>
      <c r="AX1286" s="55">
        <f>G1286*AP1286</f>
        <v>0</v>
      </c>
      <c r="AY1286" s="58" t="s">
        <v>2425</v>
      </c>
      <c r="AZ1286" s="58" t="s">
        <v>2344</v>
      </c>
      <c r="BA1286" s="34" t="s">
        <v>128</v>
      </c>
      <c r="BB1286" s="67">
        <v>100020</v>
      </c>
      <c r="BC1286" s="55">
        <f>AW1286+AX1286</f>
        <v>0</v>
      </c>
      <c r="BD1286" s="55">
        <f>H1286/(100-BE1286)*100</f>
        <v>0</v>
      </c>
      <c r="BE1286" s="55">
        <v>0</v>
      </c>
      <c r="BF1286" s="55">
        <f>K1286</f>
        <v>10.772879000000001</v>
      </c>
      <c r="BH1286" s="55">
        <f>G1286*AO1286</f>
        <v>0</v>
      </c>
      <c r="BI1286" s="55">
        <f>G1286*AP1286</f>
        <v>0</v>
      </c>
      <c r="BJ1286" s="55">
        <f>G1286*H1286</f>
        <v>0</v>
      </c>
      <c r="BK1286" s="55"/>
      <c r="BL1286" s="55">
        <v>96</v>
      </c>
      <c r="BW1286" s="55">
        <v>21</v>
      </c>
    </row>
    <row r="1287" spans="1:12" ht="14.4">
      <c r="A1287" s="59"/>
      <c r="D1287" s="60" t="s">
        <v>2439</v>
      </c>
      <c r="E1287" s="60" t="s">
        <v>869</v>
      </c>
      <c r="G1287" s="68">
        <v>33.7</v>
      </c>
      <c r="L1287" s="69"/>
    </row>
    <row r="1288" spans="1:75" ht="13.5" customHeight="1">
      <c r="A1288" s="1" t="s">
        <v>2440</v>
      </c>
      <c r="B1288" s="2" t="s">
        <v>116</v>
      </c>
      <c r="C1288" s="2" t="s">
        <v>2441</v>
      </c>
      <c r="D1288" s="147" t="s">
        <v>2442</v>
      </c>
      <c r="E1288" s="148"/>
      <c r="F1288" s="2" t="s">
        <v>792</v>
      </c>
      <c r="G1288" s="55">
        <f>'Stavební rozpočet-vyplnit'!G1288</f>
        <v>2.5</v>
      </c>
      <c r="H1288" s="55">
        <f>'Stavební rozpočet-vyplnit'!H1288</f>
        <v>0</v>
      </c>
      <c r="I1288" s="55">
        <f>G1288*H1288</f>
        <v>0</v>
      </c>
      <c r="J1288" s="55">
        <f>'Stavební rozpočet-vyplnit'!J1288</f>
        <v>1.81249</v>
      </c>
      <c r="K1288" s="55">
        <f>G1288*J1288</f>
        <v>4.531225</v>
      </c>
      <c r="L1288" s="57" t="s">
        <v>785</v>
      </c>
      <c r="Z1288" s="55">
        <f>IF(AQ1288="5",BJ1288,0)</f>
        <v>0</v>
      </c>
      <c r="AB1288" s="55">
        <f>IF(AQ1288="1",BH1288,0)</f>
        <v>0</v>
      </c>
      <c r="AC1288" s="55">
        <f>IF(AQ1288="1",BI1288,0)</f>
        <v>0</v>
      </c>
      <c r="AD1288" s="55">
        <f>IF(AQ1288="7",BH1288,0)</f>
        <v>0</v>
      </c>
      <c r="AE1288" s="55">
        <f>IF(AQ1288="7",BI1288,0)</f>
        <v>0</v>
      </c>
      <c r="AF1288" s="55">
        <f>IF(AQ1288="2",BH1288,0)</f>
        <v>0</v>
      </c>
      <c r="AG1288" s="55">
        <f>IF(AQ1288="2",BI1288,0)</f>
        <v>0</v>
      </c>
      <c r="AH1288" s="55">
        <f>IF(AQ1288="0",BJ1288,0)</f>
        <v>0</v>
      </c>
      <c r="AI1288" s="34" t="s">
        <v>116</v>
      </c>
      <c r="AJ1288" s="55">
        <f>IF(AN1288=0,I1288,0)</f>
        <v>0</v>
      </c>
      <c r="AK1288" s="55">
        <f>IF(AN1288=12,I1288,0)</f>
        <v>0</v>
      </c>
      <c r="AL1288" s="55">
        <f>IF(AN1288=21,I1288,0)</f>
        <v>0</v>
      </c>
      <c r="AN1288" s="55">
        <v>21</v>
      </c>
      <c r="AO1288" s="55">
        <f>H1288*0.181795511</f>
        <v>0</v>
      </c>
      <c r="AP1288" s="55">
        <f>H1288*(1-0.181795511)</f>
        <v>0</v>
      </c>
      <c r="AQ1288" s="58" t="s">
        <v>120</v>
      </c>
      <c r="AV1288" s="55">
        <f>AW1288+AX1288</f>
        <v>0</v>
      </c>
      <c r="AW1288" s="55">
        <f>G1288*AO1288</f>
        <v>0</v>
      </c>
      <c r="AX1288" s="55">
        <f>G1288*AP1288</f>
        <v>0</v>
      </c>
      <c r="AY1288" s="58" t="s">
        <v>2425</v>
      </c>
      <c r="AZ1288" s="58" t="s">
        <v>2344</v>
      </c>
      <c r="BA1288" s="34" t="s">
        <v>128</v>
      </c>
      <c r="BB1288" s="67">
        <v>100020</v>
      </c>
      <c r="BC1288" s="55">
        <f>AW1288+AX1288</f>
        <v>0</v>
      </c>
      <c r="BD1288" s="55">
        <f>H1288/(100-BE1288)*100</f>
        <v>0</v>
      </c>
      <c r="BE1288" s="55">
        <v>0</v>
      </c>
      <c r="BF1288" s="55">
        <f>K1288</f>
        <v>4.531225</v>
      </c>
      <c r="BH1288" s="55">
        <f>G1288*AO1288</f>
        <v>0</v>
      </c>
      <c r="BI1288" s="55">
        <f>G1288*AP1288</f>
        <v>0</v>
      </c>
      <c r="BJ1288" s="55">
        <f>G1288*H1288</f>
        <v>0</v>
      </c>
      <c r="BK1288" s="55"/>
      <c r="BL1288" s="55">
        <v>96</v>
      </c>
      <c r="BW1288" s="55">
        <v>21</v>
      </c>
    </row>
    <row r="1289" spans="1:12" ht="14.4">
      <c r="A1289" s="59"/>
      <c r="D1289" s="60" t="s">
        <v>1708</v>
      </c>
      <c r="E1289" s="60" t="s">
        <v>869</v>
      </c>
      <c r="G1289" s="68">
        <v>2.5</v>
      </c>
      <c r="L1289" s="69"/>
    </row>
    <row r="1290" spans="1:75" ht="13.5" customHeight="1">
      <c r="A1290" s="1" t="s">
        <v>2443</v>
      </c>
      <c r="B1290" s="2" t="s">
        <v>116</v>
      </c>
      <c r="C1290" s="2" t="s">
        <v>2444</v>
      </c>
      <c r="D1290" s="147" t="s">
        <v>2445</v>
      </c>
      <c r="E1290" s="148"/>
      <c r="F1290" s="2" t="s">
        <v>792</v>
      </c>
      <c r="G1290" s="55">
        <f>'Stavební rozpočet-vyplnit'!G1290</f>
        <v>0.25</v>
      </c>
      <c r="H1290" s="55">
        <f>'Stavební rozpočet-vyplnit'!H1290</f>
        <v>0</v>
      </c>
      <c r="I1290" s="55">
        <f>G1290*H1290</f>
        <v>0</v>
      </c>
      <c r="J1290" s="55">
        <f>'Stavební rozpočet-vyplnit'!J1290</f>
        <v>2.40951</v>
      </c>
      <c r="K1290" s="55">
        <f>G1290*J1290</f>
        <v>0.6023775</v>
      </c>
      <c r="L1290" s="57" t="s">
        <v>785</v>
      </c>
      <c r="Z1290" s="55">
        <f>IF(AQ1290="5",BJ1290,0)</f>
        <v>0</v>
      </c>
      <c r="AB1290" s="55">
        <f>IF(AQ1290="1",BH1290,0)</f>
        <v>0</v>
      </c>
      <c r="AC1290" s="55">
        <f>IF(AQ1290="1",BI1290,0)</f>
        <v>0</v>
      </c>
      <c r="AD1290" s="55">
        <f>IF(AQ1290="7",BH1290,0)</f>
        <v>0</v>
      </c>
      <c r="AE1290" s="55">
        <f>IF(AQ1290="7",BI1290,0)</f>
        <v>0</v>
      </c>
      <c r="AF1290" s="55">
        <f>IF(AQ1290="2",BH1290,0)</f>
        <v>0</v>
      </c>
      <c r="AG1290" s="55">
        <f>IF(AQ1290="2",BI1290,0)</f>
        <v>0</v>
      </c>
      <c r="AH1290" s="55">
        <f>IF(AQ1290="0",BJ1290,0)</f>
        <v>0</v>
      </c>
      <c r="AI1290" s="34" t="s">
        <v>116</v>
      </c>
      <c r="AJ1290" s="55">
        <f>IF(AN1290=0,I1290,0)</f>
        <v>0</v>
      </c>
      <c r="AK1290" s="55">
        <f>IF(AN1290=12,I1290,0)</f>
        <v>0</v>
      </c>
      <c r="AL1290" s="55">
        <f>IF(AN1290=21,I1290,0)</f>
        <v>0</v>
      </c>
      <c r="AN1290" s="55">
        <v>21</v>
      </c>
      <c r="AO1290" s="55">
        <f>H1290*0.046876689</f>
        <v>0</v>
      </c>
      <c r="AP1290" s="55">
        <f>H1290*(1-0.046876689)</f>
        <v>0</v>
      </c>
      <c r="AQ1290" s="58" t="s">
        <v>120</v>
      </c>
      <c r="AV1290" s="55">
        <f>AW1290+AX1290</f>
        <v>0</v>
      </c>
      <c r="AW1290" s="55">
        <f>G1290*AO1290</f>
        <v>0</v>
      </c>
      <c r="AX1290" s="55">
        <f>G1290*AP1290</f>
        <v>0</v>
      </c>
      <c r="AY1290" s="58" t="s">
        <v>2425</v>
      </c>
      <c r="AZ1290" s="58" t="s">
        <v>2344</v>
      </c>
      <c r="BA1290" s="34" t="s">
        <v>128</v>
      </c>
      <c r="BB1290" s="67">
        <v>100020</v>
      </c>
      <c r="BC1290" s="55">
        <f>AW1290+AX1290</f>
        <v>0</v>
      </c>
      <c r="BD1290" s="55">
        <f>H1290/(100-BE1290)*100</f>
        <v>0</v>
      </c>
      <c r="BE1290" s="55">
        <v>0</v>
      </c>
      <c r="BF1290" s="55">
        <f>K1290</f>
        <v>0.6023775</v>
      </c>
      <c r="BH1290" s="55">
        <f>G1290*AO1290</f>
        <v>0</v>
      </c>
      <c r="BI1290" s="55">
        <f>G1290*AP1290</f>
        <v>0</v>
      </c>
      <c r="BJ1290" s="55">
        <f>G1290*H1290</f>
        <v>0</v>
      </c>
      <c r="BK1290" s="55"/>
      <c r="BL1290" s="55">
        <v>96</v>
      </c>
      <c r="BW1290" s="55">
        <v>21</v>
      </c>
    </row>
    <row r="1291" spans="1:12" ht="14.4">
      <c r="A1291" s="59"/>
      <c r="D1291" s="60" t="s">
        <v>2446</v>
      </c>
      <c r="E1291" s="60" t="s">
        <v>4</v>
      </c>
      <c r="G1291" s="68">
        <v>0.07</v>
      </c>
      <c r="L1291" s="69"/>
    </row>
    <row r="1292" spans="1:12" ht="14.4">
      <c r="A1292" s="59"/>
      <c r="D1292" s="60" t="s">
        <v>2447</v>
      </c>
      <c r="E1292" s="60" t="s">
        <v>4</v>
      </c>
      <c r="G1292" s="68">
        <v>0.03</v>
      </c>
      <c r="L1292" s="69"/>
    </row>
    <row r="1293" spans="1:12" ht="14.4">
      <c r="A1293" s="59"/>
      <c r="D1293" s="60" t="s">
        <v>2448</v>
      </c>
      <c r="E1293" s="60" t="s">
        <v>4</v>
      </c>
      <c r="G1293" s="68">
        <v>0.09</v>
      </c>
      <c r="L1293" s="69"/>
    </row>
    <row r="1294" spans="1:12" ht="14.4">
      <c r="A1294" s="59"/>
      <c r="D1294" s="60" t="s">
        <v>2449</v>
      </c>
      <c r="E1294" s="60" t="s">
        <v>4</v>
      </c>
      <c r="G1294" s="68">
        <v>0.06</v>
      </c>
      <c r="L1294" s="69"/>
    </row>
    <row r="1295" spans="1:75" ht="13.5" customHeight="1">
      <c r="A1295" s="1" t="s">
        <v>2450</v>
      </c>
      <c r="B1295" s="2" t="s">
        <v>116</v>
      </c>
      <c r="C1295" s="2" t="s">
        <v>2451</v>
      </c>
      <c r="D1295" s="147" t="s">
        <v>2452</v>
      </c>
      <c r="E1295" s="148"/>
      <c r="F1295" s="2" t="s">
        <v>729</v>
      </c>
      <c r="G1295" s="55">
        <f>'Stavební rozpočet-vyplnit'!G1295</f>
        <v>45.42</v>
      </c>
      <c r="H1295" s="55">
        <f>'Stavební rozpočet-vyplnit'!H1295</f>
        <v>0</v>
      </c>
      <c r="I1295" s="55">
        <f>G1295*H1295</f>
        <v>0</v>
      </c>
      <c r="J1295" s="55">
        <f>'Stavební rozpočet-vyplnit'!J1295</f>
        <v>0.14</v>
      </c>
      <c r="K1295" s="55">
        <f>G1295*J1295</f>
        <v>6.3588000000000005</v>
      </c>
      <c r="L1295" s="57" t="s">
        <v>124</v>
      </c>
      <c r="Z1295" s="55">
        <f>IF(AQ1295="5",BJ1295,0)</f>
        <v>0</v>
      </c>
      <c r="AB1295" s="55">
        <f>IF(AQ1295="1",BH1295,0)</f>
        <v>0</v>
      </c>
      <c r="AC1295" s="55">
        <f>IF(AQ1295="1",BI1295,0)</f>
        <v>0</v>
      </c>
      <c r="AD1295" s="55">
        <f>IF(AQ1295="7",BH1295,0)</f>
        <v>0</v>
      </c>
      <c r="AE1295" s="55">
        <f>IF(AQ1295="7",BI1295,0)</f>
        <v>0</v>
      </c>
      <c r="AF1295" s="55">
        <f>IF(AQ1295="2",BH1295,0)</f>
        <v>0</v>
      </c>
      <c r="AG1295" s="55">
        <f>IF(AQ1295="2",BI1295,0)</f>
        <v>0</v>
      </c>
      <c r="AH1295" s="55">
        <f>IF(AQ1295="0",BJ1295,0)</f>
        <v>0</v>
      </c>
      <c r="AI1295" s="34" t="s">
        <v>116</v>
      </c>
      <c r="AJ1295" s="55">
        <f>IF(AN1295=0,I1295,0)</f>
        <v>0</v>
      </c>
      <c r="AK1295" s="55">
        <f>IF(AN1295=12,I1295,0)</f>
        <v>0</v>
      </c>
      <c r="AL1295" s="55">
        <f>IF(AN1295=21,I1295,0)</f>
        <v>0</v>
      </c>
      <c r="AN1295" s="55">
        <v>21</v>
      </c>
      <c r="AO1295" s="55">
        <f>H1295*0</f>
        <v>0</v>
      </c>
      <c r="AP1295" s="55">
        <f>H1295*(1-0)</f>
        <v>0</v>
      </c>
      <c r="AQ1295" s="58" t="s">
        <v>120</v>
      </c>
      <c r="AV1295" s="55">
        <f>AW1295+AX1295</f>
        <v>0</v>
      </c>
      <c r="AW1295" s="55">
        <f>G1295*AO1295</f>
        <v>0</v>
      </c>
      <c r="AX1295" s="55">
        <f>G1295*AP1295</f>
        <v>0</v>
      </c>
      <c r="AY1295" s="58" t="s">
        <v>2425</v>
      </c>
      <c r="AZ1295" s="58" t="s">
        <v>2344</v>
      </c>
      <c r="BA1295" s="34" t="s">
        <v>128</v>
      </c>
      <c r="BB1295" s="67">
        <v>100020</v>
      </c>
      <c r="BC1295" s="55">
        <f>AW1295+AX1295</f>
        <v>0</v>
      </c>
      <c r="BD1295" s="55">
        <f>H1295/(100-BE1295)*100</f>
        <v>0</v>
      </c>
      <c r="BE1295" s="55">
        <v>0</v>
      </c>
      <c r="BF1295" s="55">
        <f>K1295</f>
        <v>6.3588000000000005</v>
      </c>
      <c r="BH1295" s="55">
        <f>G1295*AO1295</f>
        <v>0</v>
      </c>
      <c r="BI1295" s="55">
        <f>G1295*AP1295</f>
        <v>0</v>
      </c>
      <c r="BJ1295" s="55">
        <f>G1295*H1295</f>
        <v>0</v>
      </c>
      <c r="BK1295" s="55"/>
      <c r="BL1295" s="55">
        <v>96</v>
      </c>
      <c r="BW1295" s="55">
        <v>21</v>
      </c>
    </row>
    <row r="1296" spans="1:12" ht="13.5" customHeight="1">
      <c r="A1296" s="59"/>
      <c r="D1296" s="218" t="s">
        <v>2453</v>
      </c>
      <c r="E1296" s="219"/>
      <c r="F1296" s="219"/>
      <c r="G1296" s="219"/>
      <c r="H1296" s="219"/>
      <c r="I1296" s="219"/>
      <c r="J1296" s="219"/>
      <c r="K1296" s="219"/>
      <c r="L1296" s="221"/>
    </row>
    <row r="1297" spans="1:12" ht="14.4">
      <c r="A1297" s="59"/>
      <c r="D1297" s="60" t="s">
        <v>1738</v>
      </c>
      <c r="E1297" s="60" t="s">
        <v>2454</v>
      </c>
      <c r="G1297" s="68">
        <v>7.42</v>
      </c>
      <c r="L1297" s="69"/>
    </row>
    <row r="1298" spans="1:12" ht="14.4">
      <c r="A1298" s="59"/>
      <c r="D1298" s="60" t="s">
        <v>1027</v>
      </c>
      <c r="E1298" s="60" t="s">
        <v>1028</v>
      </c>
      <c r="G1298" s="68">
        <v>30.75</v>
      </c>
      <c r="L1298" s="69"/>
    </row>
    <row r="1299" spans="1:12" ht="14.4">
      <c r="A1299" s="59"/>
      <c r="D1299" s="60" t="s">
        <v>2455</v>
      </c>
      <c r="E1299" s="60" t="s">
        <v>2456</v>
      </c>
      <c r="G1299" s="68">
        <v>7.25</v>
      </c>
      <c r="L1299" s="69"/>
    </row>
    <row r="1300" spans="1:75" ht="13.5" customHeight="1">
      <c r="A1300" s="1" t="s">
        <v>2457</v>
      </c>
      <c r="B1300" s="2" t="s">
        <v>116</v>
      </c>
      <c r="C1300" s="2" t="s">
        <v>2458</v>
      </c>
      <c r="D1300" s="147" t="s">
        <v>2459</v>
      </c>
      <c r="E1300" s="148"/>
      <c r="F1300" s="2" t="s">
        <v>792</v>
      </c>
      <c r="G1300" s="55">
        <f>'Stavební rozpočet-vyplnit'!G1300</f>
        <v>4.54</v>
      </c>
      <c r="H1300" s="55">
        <f>'Stavební rozpočet-vyplnit'!H1300</f>
        <v>0</v>
      </c>
      <c r="I1300" s="55">
        <f>G1300*H1300</f>
        <v>0</v>
      </c>
      <c r="J1300" s="55">
        <f>'Stavební rozpočet-vyplnit'!J1300</f>
        <v>1.4</v>
      </c>
      <c r="K1300" s="55">
        <f>G1300*J1300</f>
        <v>6.356</v>
      </c>
      <c r="L1300" s="57" t="s">
        <v>785</v>
      </c>
      <c r="Z1300" s="55">
        <f>IF(AQ1300="5",BJ1300,0)</f>
        <v>0</v>
      </c>
      <c r="AB1300" s="55">
        <f>IF(AQ1300="1",BH1300,0)</f>
        <v>0</v>
      </c>
      <c r="AC1300" s="55">
        <f>IF(AQ1300="1",BI1300,0)</f>
        <v>0</v>
      </c>
      <c r="AD1300" s="55">
        <f>IF(AQ1300="7",BH1300,0)</f>
        <v>0</v>
      </c>
      <c r="AE1300" s="55">
        <f>IF(AQ1300="7",BI1300,0)</f>
        <v>0</v>
      </c>
      <c r="AF1300" s="55">
        <f>IF(AQ1300="2",BH1300,0)</f>
        <v>0</v>
      </c>
      <c r="AG1300" s="55">
        <f>IF(AQ1300="2",BI1300,0)</f>
        <v>0</v>
      </c>
      <c r="AH1300" s="55">
        <f>IF(AQ1300="0",BJ1300,0)</f>
        <v>0</v>
      </c>
      <c r="AI1300" s="34" t="s">
        <v>116</v>
      </c>
      <c r="AJ1300" s="55">
        <f>IF(AN1300=0,I1300,0)</f>
        <v>0</v>
      </c>
      <c r="AK1300" s="55">
        <f>IF(AN1300=12,I1300,0)</f>
        <v>0</v>
      </c>
      <c r="AL1300" s="55">
        <f>IF(AN1300=21,I1300,0)</f>
        <v>0</v>
      </c>
      <c r="AN1300" s="55">
        <v>21</v>
      </c>
      <c r="AO1300" s="55">
        <f>H1300*0</f>
        <v>0</v>
      </c>
      <c r="AP1300" s="55">
        <f>H1300*(1-0)</f>
        <v>0</v>
      </c>
      <c r="AQ1300" s="58" t="s">
        <v>120</v>
      </c>
      <c r="AV1300" s="55">
        <f>AW1300+AX1300</f>
        <v>0</v>
      </c>
      <c r="AW1300" s="55">
        <f>G1300*AO1300</f>
        <v>0</v>
      </c>
      <c r="AX1300" s="55">
        <f>G1300*AP1300</f>
        <v>0</v>
      </c>
      <c r="AY1300" s="58" t="s">
        <v>2425</v>
      </c>
      <c r="AZ1300" s="58" t="s">
        <v>2344</v>
      </c>
      <c r="BA1300" s="34" t="s">
        <v>128</v>
      </c>
      <c r="BB1300" s="67">
        <v>100020</v>
      </c>
      <c r="BC1300" s="55">
        <f>AW1300+AX1300</f>
        <v>0</v>
      </c>
      <c r="BD1300" s="55">
        <f>H1300/(100-BE1300)*100</f>
        <v>0</v>
      </c>
      <c r="BE1300" s="55">
        <v>0</v>
      </c>
      <c r="BF1300" s="55">
        <f>K1300</f>
        <v>6.356</v>
      </c>
      <c r="BH1300" s="55">
        <f>G1300*AO1300</f>
        <v>0</v>
      </c>
      <c r="BI1300" s="55">
        <f>G1300*AP1300</f>
        <v>0</v>
      </c>
      <c r="BJ1300" s="55">
        <f>G1300*H1300</f>
        <v>0</v>
      </c>
      <c r="BK1300" s="55"/>
      <c r="BL1300" s="55">
        <v>96</v>
      </c>
      <c r="BW1300" s="55">
        <v>21</v>
      </c>
    </row>
    <row r="1301" spans="1:12" ht="14.4">
      <c r="A1301" s="59"/>
      <c r="D1301" s="60" t="s">
        <v>2460</v>
      </c>
      <c r="E1301" s="60" t="s">
        <v>4</v>
      </c>
      <c r="G1301" s="68">
        <v>4.54</v>
      </c>
      <c r="L1301" s="69"/>
    </row>
    <row r="1302" spans="1:75" ht="13.5" customHeight="1">
      <c r="A1302" s="1" t="s">
        <v>2461</v>
      </c>
      <c r="B1302" s="2" t="s">
        <v>116</v>
      </c>
      <c r="C1302" s="2" t="s">
        <v>2462</v>
      </c>
      <c r="D1302" s="147" t="s">
        <v>2463</v>
      </c>
      <c r="E1302" s="148"/>
      <c r="F1302" s="2" t="s">
        <v>729</v>
      </c>
      <c r="G1302" s="55">
        <f>'Stavební rozpočet-vyplnit'!G1302</f>
        <v>4.95</v>
      </c>
      <c r="H1302" s="55">
        <f>'Stavební rozpočet-vyplnit'!H1302</f>
        <v>0</v>
      </c>
      <c r="I1302" s="55">
        <f>G1302*H1302</f>
        <v>0</v>
      </c>
      <c r="J1302" s="55">
        <f>'Stavební rozpočet-vyplnit'!J1302</f>
        <v>0.04319</v>
      </c>
      <c r="K1302" s="55">
        <f>G1302*J1302</f>
        <v>0.2137905</v>
      </c>
      <c r="L1302" s="57" t="s">
        <v>785</v>
      </c>
      <c r="Z1302" s="55">
        <f>IF(AQ1302="5",BJ1302,0)</f>
        <v>0</v>
      </c>
      <c r="AB1302" s="55">
        <f>IF(AQ1302="1",BH1302,0)</f>
        <v>0</v>
      </c>
      <c r="AC1302" s="55">
        <f>IF(AQ1302="1",BI1302,0)</f>
        <v>0</v>
      </c>
      <c r="AD1302" s="55">
        <f>IF(AQ1302="7",BH1302,0)</f>
        <v>0</v>
      </c>
      <c r="AE1302" s="55">
        <f>IF(AQ1302="7",BI1302,0)</f>
        <v>0</v>
      </c>
      <c r="AF1302" s="55">
        <f>IF(AQ1302="2",BH1302,0)</f>
        <v>0</v>
      </c>
      <c r="AG1302" s="55">
        <f>IF(AQ1302="2",BI1302,0)</f>
        <v>0</v>
      </c>
      <c r="AH1302" s="55">
        <f>IF(AQ1302="0",BJ1302,0)</f>
        <v>0</v>
      </c>
      <c r="AI1302" s="34" t="s">
        <v>116</v>
      </c>
      <c r="AJ1302" s="55">
        <f>IF(AN1302=0,I1302,0)</f>
        <v>0</v>
      </c>
      <c r="AK1302" s="55">
        <f>IF(AN1302=12,I1302,0)</f>
        <v>0</v>
      </c>
      <c r="AL1302" s="55">
        <f>IF(AN1302=21,I1302,0)</f>
        <v>0</v>
      </c>
      <c r="AN1302" s="55">
        <v>21</v>
      </c>
      <c r="AO1302" s="55">
        <f>H1302*0.2095943</f>
        <v>0</v>
      </c>
      <c r="AP1302" s="55">
        <f>H1302*(1-0.2095943)</f>
        <v>0</v>
      </c>
      <c r="AQ1302" s="58" t="s">
        <v>120</v>
      </c>
      <c r="AV1302" s="55">
        <f>AW1302+AX1302</f>
        <v>0</v>
      </c>
      <c r="AW1302" s="55">
        <f>G1302*AO1302</f>
        <v>0</v>
      </c>
      <c r="AX1302" s="55">
        <f>G1302*AP1302</f>
        <v>0</v>
      </c>
      <c r="AY1302" s="58" t="s">
        <v>2425</v>
      </c>
      <c r="AZ1302" s="58" t="s">
        <v>2344</v>
      </c>
      <c r="BA1302" s="34" t="s">
        <v>128</v>
      </c>
      <c r="BB1302" s="67">
        <v>100020</v>
      </c>
      <c r="BC1302" s="55">
        <f>AW1302+AX1302</f>
        <v>0</v>
      </c>
      <c r="BD1302" s="55">
        <f>H1302/(100-BE1302)*100</f>
        <v>0</v>
      </c>
      <c r="BE1302" s="55">
        <v>0</v>
      </c>
      <c r="BF1302" s="55">
        <f>K1302</f>
        <v>0.2137905</v>
      </c>
      <c r="BH1302" s="55">
        <f>G1302*AO1302</f>
        <v>0</v>
      </c>
      <c r="BI1302" s="55">
        <f>G1302*AP1302</f>
        <v>0</v>
      </c>
      <c r="BJ1302" s="55">
        <f>G1302*H1302</f>
        <v>0</v>
      </c>
      <c r="BK1302" s="55"/>
      <c r="BL1302" s="55">
        <v>96</v>
      </c>
      <c r="BW1302" s="55">
        <v>21</v>
      </c>
    </row>
    <row r="1303" spans="1:12" ht="14.4">
      <c r="A1303" s="59"/>
      <c r="D1303" s="60" t="s">
        <v>2464</v>
      </c>
      <c r="E1303" s="60" t="s">
        <v>4</v>
      </c>
      <c r="G1303" s="68">
        <v>4.95</v>
      </c>
      <c r="L1303" s="69"/>
    </row>
    <row r="1304" spans="1:75" ht="13.5" customHeight="1">
      <c r="A1304" s="1" t="s">
        <v>2465</v>
      </c>
      <c r="B1304" s="2" t="s">
        <v>116</v>
      </c>
      <c r="C1304" s="2" t="s">
        <v>2466</v>
      </c>
      <c r="D1304" s="147" t="s">
        <v>2467</v>
      </c>
      <c r="E1304" s="148"/>
      <c r="F1304" s="2" t="s">
        <v>729</v>
      </c>
      <c r="G1304" s="55">
        <f>'Stavební rozpočet-vyplnit'!G1304</f>
        <v>1.8</v>
      </c>
      <c r="H1304" s="55">
        <f>'Stavební rozpočet-vyplnit'!H1304</f>
        <v>0</v>
      </c>
      <c r="I1304" s="55">
        <f>G1304*H1304</f>
        <v>0</v>
      </c>
      <c r="J1304" s="55">
        <f>'Stavební rozpočet-vyplnit'!J1304</f>
        <v>0.07717</v>
      </c>
      <c r="K1304" s="55">
        <f>G1304*J1304</f>
        <v>0.138906</v>
      </c>
      <c r="L1304" s="57" t="s">
        <v>785</v>
      </c>
      <c r="Z1304" s="55">
        <f>IF(AQ1304="5",BJ1304,0)</f>
        <v>0</v>
      </c>
      <c r="AB1304" s="55">
        <f>IF(AQ1304="1",BH1304,0)</f>
        <v>0</v>
      </c>
      <c r="AC1304" s="55">
        <f>IF(AQ1304="1",BI1304,0)</f>
        <v>0</v>
      </c>
      <c r="AD1304" s="55">
        <f>IF(AQ1304="7",BH1304,0)</f>
        <v>0</v>
      </c>
      <c r="AE1304" s="55">
        <f>IF(AQ1304="7",BI1304,0)</f>
        <v>0</v>
      </c>
      <c r="AF1304" s="55">
        <f>IF(AQ1304="2",BH1304,0)</f>
        <v>0</v>
      </c>
      <c r="AG1304" s="55">
        <f>IF(AQ1304="2",BI1304,0)</f>
        <v>0</v>
      </c>
      <c r="AH1304" s="55">
        <f>IF(AQ1304="0",BJ1304,0)</f>
        <v>0</v>
      </c>
      <c r="AI1304" s="34" t="s">
        <v>116</v>
      </c>
      <c r="AJ1304" s="55">
        <f>IF(AN1304=0,I1304,0)</f>
        <v>0</v>
      </c>
      <c r="AK1304" s="55">
        <f>IF(AN1304=12,I1304,0)</f>
        <v>0</v>
      </c>
      <c r="AL1304" s="55">
        <f>IF(AN1304=21,I1304,0)</f>
        <v>0</v>
      </c>
      <c r="AN1304" s="55">
        <v>21</v>
      </c>
      <c r="AO1304" s="55">
        <f>H1304*0.074770241</f>
        <v>0</v>
      </c>
      <c r="AP1304" s="55">
        <f>H1304*(1-0.074770241)</f>
        <v>0</v>
      </c>
      <c r="AQ1304" s="58" t="s">
        <v>120</v>
      </c>
      <c r="AV1304" s="55">
        <f>AW1304+AX1304</f>
        <v>0</v>
      </c>
      <c r="AW1304" s="55">
        <f>G1304*AO1304</f>
        <v>0</v>
      </c>
      <c r="AX1304" s="55">
        <f>G1304*AP1304</f>
        <v>0</v>
      </c>
      <c r="AY1304" s="58" t="s">
        <v>2425</v>
      </c>
      <c r="AZ1304" s="58" t="s">
        <v>2344</v>
      </c>
      <c r="BA1304" s="34" t="s">
        <v>128</v>
      </c>
      <c r="BB1304" s="67">
        <v>100020</v>
      </c>
      <c r="BC1304" s="55">
        <f>AW1304+AX1304</f>
        <v>0</v>
      </c>
      <c r="BD1304" s="55">
        <f>H1304/(100-BE1304)*100</f>
        <v>0</v>
      </c>
      <c r="BE1304" s="55">
        <v>0</v>
      </c>
      <c r="BF1304" s="55">
        <f>K1304</f>
        <v>0.138906</v>
      </c>
      <c r="BH1304" s="55">
        <f>G1304*AO1304</f>
        <v>0</v>
      </c>
      <c r="BI1304" s="55">
        <f>G1304*AP1304</f>
        <v>0</v>
      </c>
      <c r="BJ1304" s="55">
        <f>G1304*H1304</f>
        <v>0</v>
      </c>
      <c r="BK1304" s="55"/>
      <c r="BL1304" s="55">
        <v>96</v>
      </c>
      <c r="BW1304" s="55">
        <v>21</v>
      </c>
    </row>
    <row r="1305" spans="1:12" ht="14.4">
      <c r="A1305" s="59"/>
      <c r="D1305" s="60" t="s">
        <v>2468</v>
      </c>
      <c r="E1305" s="60" t="s">
        <v>4</v>
      </c>
      <c r="G1305" s="68">
        <v>1.8</v>
      </c>
      <c r="L1305" s="69"/>
    </row>
    <row r="1306" spans="1:75" ht="13.5" customHeight="1">
      <c r="A1306" s="1" t="s">
        <v>2469</v>
      </c>
      <c r="B1306" s="2" t="s">
        <v>116</v>
      </c>
      <c r="C1306" s="2" t="s">
        <v>2470</v>
      </c>
      <c r="D1306" s="147" t="s">
        <v>2471</v>
      </c>
      <c r="E1306" s="148"/>
      <c r="F1306" s="2" t="s">
        <v>374</v>
      </c>
      <c r="G1306" s="55">
        <f>'Stavební rozpočet-vyplnit'!G1306</f>
        <v>1</v>
      </c>
      <c r="H1306" s="55">
        <f>'Stavební rozpočet-vyplnit'!H1306</f>
        <v>0</v>
      </c>
      <c r="I1306" s="55">
        <f>G1306*H1306</f>
        <v>0</v>
      </c>
      <c r="J1306" s="55">
        <f>'Stavební rozpočet-vyplnit'!J1306</f>
        <v>0</v>
      </c>
      <c r="K1306" s="55">
        <f>G1306*J1306</f>
        <v>0</v>
      </c>
      <c r="L1306" s="57" t="s">
        <v>785</v>
      </c>
      <c r="Z1306" s="55">
        <f>IF(AQ1306="5",BJ1306,0)</f>
        <v>0</v>
      </c>
      <c r="AB1306" s="55">
        <f>IF(AQ1306="1",BH1306,0)</f>
        <v>0</v>
      </c>
      <c r="AC1306" s="55">
        <f>IF(AQ1306="1",BI1306,0)</f>
        <v>0</v>
      </c>
      <c r="AD1306" s="55">
        <f>IF(AQ1306="7",BH1306,0)</f>
        <v>0</v>
      </c>
      <c r="AE1306" s="55">
        <f>IF(AQ1306="7",BI1306,0)</f>
        <v>0</v>
      </c>
      <c r="AF1306" s="55">
        <f>IF(AQ1306="2",BH1306,0)</f>
        <v>0</v>
      </c>
      <c r="AG1306" s="55">
        <f>IF(AQ1306="2",BI1306,0)</f>
        <v>0</v>
      </c>
      <c r="AH1306" s="55">
        <f>IF(AQ1306="0",BJ1306,0)</f>
        <v>0</v>
      </c>
      <c r="AI1306" s="34" t="s">
        <v>116</v>
      </c>
      <c r="AJ1306" s="55">
        <f>IF(AN1306=0,I1306,0)</f>
        <v>0</v>
      </c>
      <c r="AK1306" s="55">
        <f>IF(AN1306=12,I1306,0)</f>
        <v>0</v>
      </c>
      <c r="AL1306" s="55">
        <f>IF(AN1306=21,I1306,0)</f>
        <v>0</v>
      </c>
      <c r="AN1306" s="55">
        <v>21</v>
      </c>
      <c r="AO1306" s="55">
        <f>H1306*0</f>
        <v>0</v>
      </c>
      <c r="AP1306" s="55">
        <f>H1306*(1-0)</f>
        <v>0</v>
      </c>
      <c r="AQ1306" s="58" t="s">
        <v>120</v>
      </c>
      <c r="AV1306" s="55">
        <f>AW1306+AX1306</f>
        <v>0</v>
      </c>
      <c r="AW1306" s="55">
        <f>G1306*AO1306</f>
        <v>0</v>
      </c>
      <c r="AX1306" s="55">
        <f>G1306*AP1306</f>
        <v>0</v>
      </c>
      <c r="AY1306" s="58" t="s">
        <v>2425</v>
      </c>
      <c r="AZ1306" s="58" t="s">
        <v>2344</v>
      </c>
      <c r="BA1306" s="34" t="s">
        <v>128</v>
      </c>
      <c r="BB1306" s="67">
        <v>100020</v>
      </c>
      <c r="BC1306" s="55">
        <f>AW1306+AX1306</f>
        <v>0</v>
      </c>
      <c r="BD1306" s="55">
        <f>H1306/(100-BE1306)*100</f>
        <v>0</v>
      </c>
      <c r="BE1306" s="55">
        <v>0</v>
      </c>
      <c r="BF1306" s="55">
        <f>K1306</f>
        <v>0</v>
      </c>
      <c r="BH1306" s="55">
        <f>G1306*AO1306</f>
        <v>0</v>
      </c>
      <c r="BI1306" s="55">
        <f>G1306*AP1306</f>
        <v>0</v>
      </c>
      <c r="BJ1306" s="55">
        <f>G1306*H1306</f>
        <v>0</v>
      </c>
      <c r="BK1306" s="55"/>
      <c r="BL1306" s="55">
        <v>96</v>
      </c>
      <c r="BW1306" s="55">
        <v>21</v>
      </c>
    </row>
    <row r="1307" spans="1:12" ht="14.4">
      <c r="A1307" s="59"/>
      <c r="D1307" s="60" t="s">
        <v>120</v>
      </c>
      <c r="E1307" s="60" t="s">
        <v>4</v>
      </c>
      <c r="G1307" s="68">
        <v>1</v>
      </c>
      <c r="L1307" s="69"/>
    </row>
    <row r="1308" spans="1:47" ht="14.4">
      <c r="A1308" s="50" t="s">
        <v>4</v>
      </c>
      <c r="B1308" s="51" t="s">
        <v>116</v>
      </c>
      <c r="C1308" s="51" t="s">
        <v>431</v>
      </c>
      <c r="D1308" s="222" t="s">
        <v>2472</v>
      </c>
      <c r="E1308" s="223"/>
      <c r="F1308" s="52" t="s">
        <v>79</v>
      </c>
      <c r="G1308" s="52" t="s">
        <v>79</v>
      </c>
      <c r="H1308" s="52" t="s">
        <v>79</v>
      </c>
      <c r="I1308" s="27">
        <f>SUM(I1309:I1322)</f>
        <v>0</v>
      </c>
      <c r="J1308" s="34" t="s">
        <v>4</v>
      </c>
      <c r="K1308" s="27">
        <f>SUM(K1309:K1322)</f>
        <v>0</v>
      </c>
      <c r="L1308" s="54" t="s">
        <v>4</v>
      </c>
      <c r="AI1308" s="34" t="s">
        <v>116</v>
      </c>
      <c r="AS1308" s="27">
        <f>SUM(AJ1309:AJ1322)</f>
        <v>0</v>
      </c>
      <c r="AT1308" s="27">
        <f>SUM(AK1309:AK1322)</f>
        <v>0</v>
      </c>
      <c r="AU1308" s="27">
        <f>SUM(AL1309:AL1322)</f>
        <v>0</v>
      </c>
    </row>
    <row r="1309" spans="1:75" ht="13.5" customHeight="1">
      <c r="A1309" s="1" t="s">
        <v>2473</v>
      </c>
      <c r="B1309" s="2" t="s">
        <v>116</v>
      </c>
      <c r="C1309" s="2" t="s">
        <v>2474</v>
      </c>
      <c r="D1309" s="147" t="s">
        <v>2475</v>
      </c>
      <c r="E1309" s="148"/>
      <c r="F1309" s="2" t="s">
        <v>792</v>
      </c>
      <c r="G1309" s="55">
        <f>'Stavební rozpočet-vyplnit'!G1309</f>
        <v>10.64</v>
      </c>
      <c r="H1309" s="55">
        <f>'Stavební rozpočet-vyplnit'!H1309</f>
        <v>0</v>
      </c>
      <c r="I1309" s="55">
        <f>G1309*H1309</f>
        <v>0</v>
      </c>
      <c r="J1309" s="55">
        <f>'Stavební rozpočet-vyplnit'!J1309</f>
        <v>0</v>
      </c>
      <c r="K1309" s="55">
        <f>G1309*J1309</f>
        <v>0</v>
      </c>
      <c r="L1309" s="57" t="s">
        <v>124</v>
      </c>
      <c r="Z1309" s="55">
        <f>IF(AQ1309="5",BJ1309,0)</f>
        <v>0</v>
      </c>
      <c r="AB1309" s="55">
        <f>IF(AQ1309="1",BH1309,0)</f>
        <v>0</v>
      </c>
      <c r="AC1309" s="55">
        <f>IF(AQ1309="1",BI1309,0)</f>
        <v>0</v>
      </c>
      <c r="AD1309" s="55">
        <f>IF(AQ1309="7",BH1309,0)</f>
        <v>0</v>
      </c>
      <c r="AE1309" s="55">
        <f>IF(AQ1309="7",BI1309,0)</f>
        <v>0</v>
      </c>
      <c r="AF1309" s="55">
        <f>IF(AQ1309="2",BH1309,0)</f>
        <v>0</v>
      </c>
      <c r="AG1309" s="55">
        <f>IF(AQ1309="2",BI1309,0)</f>
        <v>0</v>
      </c>
      <c r="AH1309" s="55">
        <f>IF(AQ1309="0",BJ1309,0)</f>
        <v>0</v>
      </c>
      <c r="AI1309" s="34" t="s">
        <v>116</v>
      </c>
      <c r="AJ1309" s="55">
        <f>IF(AN1309=0,I1309,0)</f>
        <v>0</v>
      </c>
      <c r="AK1309" s="55">
        <f>IF(AN1309=12,I1309,0)</f>
        <v>0</v>
      </c>
      <c r="AL1309" s="55">
        <f>IF(AN1309=21,I1309,0)</f>
        <v>0</v>
      </c>
      <c r="AN1309" s="55">
        <v>21</v>
      </c>
      <c r="AO1309" s="55">
        <f>H1309*0</f>
        <v>0</v>
      </c>
      <c r="AP1309" s="55">
        <f>H1309*(1-0)</f>
        <v>0</v>
      </c>
      <c r="AQ1309" s="58" t="s">
        <v>120</v>
      </c>
      <c r="AV1309" s="55">
        <f>AW1309+AX1309</f>
        <v>0</v>
      </c>
      <c r="AW1309" s="55">
        <f>G1309*AO1309</f>
        <v>0</v>
      </c>
      <c r="AX1309" s="55">
        <f>G1309*AP1309</f>
        <v>0</v>
      </c>
      <c r="AY1309" s="58" t="s">
        <v>2476</v>
      </c>
      <c r="AZ1309" s="58" t="s">
        <v>2344</v>
      </c>
      <c r="BA1309" s="34" t="s">
        <v>128</v>
      </c>
      <c r="BC1309" s="55">
        <f>AW1309+AX1309</f>
        <v>0</v>
      </c>
      <c r="BD1309" s="55">
        <f>H1309/(100-BE1309)*100</f>
        <v>0</v>
      </c>
      <c r="BE1309" s="55">
        <v>0</v>
      </c>
      <c r="BF1309" s="55">
        <f>K1309</f>
        <v>0</v>
      </c>
      <c r="BH1309" s="55">
        <f>G1309*AO1309</f>
        <v>0</v>
      </c>
      <c r="BI1309" s="55">
        <f>G1309*AP1309</f>
        <v>0</v>
      </c>
      <c r="BJ1309" s="55">
        <f>G1309*H1309</f>
        <v>0</v>
      </c>
      <c r="BK1309" s="55"/>
      <c r="BL1309" s="55">
        <v>97</v>
      </c>
      <c r="BW1309" s="55">
        <v>21</v>
      </c>
    </row>
    <row r="1310" spans="1:12" ht="13.5" customHeight="1">
      <c r="A1310" s="59"/>
      <c r="D1310" s="218" t="s">
        <v>2477</v>
      </c>
      <c r="E1310" s="219"/>
      <c r="F1310" s="219"/>
      <c r="G1310" s="219"/>
      <c r="H1310" s="219"/>
      <c r="I1310" s="219"/>
      <c r="J1310" s="219"/>
      <c r="K1310" s="219"/>
      <c r="L1310" s="221"/>
    </row>
    <row r="1311" spans="1:12" ht="14.4">
      <c r="A1311" s="59"/>
      <c r="D1311" s="60" t="s">
        <v>2478</v>
      </c>
      <c r="E1311" s="60" t="s">
        <v>2479</v>
      </c>
      <c r="G1311" s="68">
        <v>10.64</v>
      </c>
      <c r="L1311" s="69"/>
    </row>
    <row r="1312" spans="1:75" ht="13.5" customHeight="1">
      <c r="A1312" s="1" t="s">
        <v>2480</v>
      </c>
      <c r="B1312" s="2" t="s">
        <v>116</v>
      </c>
      <c r="C1312" s="2" t="s">
        <v>2481</v>
      </c>
      <c r="D1312" s="147" t="s">
        <v>2482</v>
      </c>
      <c r="E1312" s="148"/>
      <c r="F1312" s="2" t="s">
        <v>993</v>
      </c>
      <c r="G1312" s="55">
        <f>'Stavební rozpočet-vyplnit'!G1312</f>
        <v>1</v>
      </c>
      <c r="H1312" s="55">
        <f>'Stavební rozpočet-vyplnit'!H1312</f>
        <v>0</v>
      </c>
      <c r="I1312" s="55">
        <f>G1312*H1312</f>
        <v>0</v>
      </c>
      <c r="J1312" s="55">
        <f>'Stavební rozpočet-vyplnit'!J1312</f>
        <v>0</v>
      </c>
      <c r="K1312" s="55">
        <f>G1312*J1312</f>
        <v>0</v>
      </c>
      <c r="L1312" s="57" t="s">
        <v>124</v>
      </c>
      <c r="Z1312" s="55">
        <f>IF(AQ1312="5",BJ1312,0)</f>
        <v>0</v>
      </c>
      <c r="AB1312" s="55">
        <f>IF(AQ1312="1",BH1312,0)</f>
        <v>0</v>
      </c>
      <c r="AC1312" s="55">
        <f>IF(AQ1312="1",BI1312,0)</f>
        <v>0</v>
      </c>
      <c r="AD1312" s="55">
        <f>IF(AQ1312="7",BH1312,0)</f>
        <v>0</v>
      </c>
      <c r="AE1312" s="55">
        <f>IF(AQ1312="7",BI1312,0)</f>
        <v>0</v>
      </c>
      <c r="AF1312" s="55">
        <f>IF(AQ1312="2",BH1312,0)</f>
        <v>0</v>
      </c>
      <c r="AG1312" s="55">
        <f>IF(AQ1312="2",BI1312,0)</f>
        <v>0</v>
      </c>
      <c r="AH1312" s="55">
        <f>IF(AQ1312="0",BJ1312,0)</f>
        <v>0</v>
      </c>
      <c r="AI1312" s="34" t="s">
        <v>116</v>
      </c>
      <c r="AJ1312" s="55">
        <f>IF(AN1312=0,I1312,0)</f>
        <v>0</v>
      </c>
      <c r="AK1312" s="55">
        <f>IF(AN1312=12,I1312,0)</f>
        <v>0</v>
      </c>
      <c r="AL1312" s="55">
        <f>IF(AN1312=21,I1312,0)</f>
        <v>0</v>
      </c>
      <c r="AN1312" s="55">
        <v>21</v>
      </c>
      <c r="AO1312" s="55">
        <f>H1312*0</f>
        <v>0</v>
      </c>
      <c r="AP1312" s="55">
        <f>H1312*(1-0)</f>
        <v>0</v>
      </c>
      <c r="AQ1312" s="58" t="s">
        <v>120</v>
      </c>
      <c r="AV1312" s="55">
        <f>AW1312+AX1312</f>
        <v>0</v>
      </c>
      <c r="AW1312" s="55">
        <f>G1312*AO1312</f>
        <v>0</v>
      </c>
      <c r="AX1312" s="55">
        <f>G1312*AP1312</f>
        <v>0</v>
      </c>
      <c r="AY1312" s="58" t="s">
        <v>2476</v>
      </c>
      <c r="AZ1312" s="58" t="s">
        <v>2344</v>
      </c>
      <c r="BA1312" s="34" t="s">
        <v>128</v>
      </c>
      <c r="BC1312" s="55">
        <f>AW1312+AX1312</f>
        <v>0</v>
      </c>
      <c r="BD1312" s="55">
        <f>H1312/(100-BE1312)*100</f>
        <v>0</v>
      </c>
      <c r="BE1312" s="55">
        <v>0</v>
      </c>
      <c r="BF1312" s="55">
        <f>K1312</f>
        <v>0</v>
      </c>
      <c r="BH1312" s="55">
        <f>G1312*AO1312</f>
        <v>0</v>
      </c>
      <c r="BI1312" s="55">
        <f>G1312*AP1312</f>
        <v>0</v>
      </c>
      <c r="BJ1312" s="55">
        <f>G1312*H1312</f>
        <v>0</v>
      </c>
      <c r="BK1312" s="55"/>
      <c r="BL1312" s="55">
        <v>97</v>
      </c>
      <c r="BW1312" s="55">
        <v>21</v>
      </c>
    </row>
    <row r="1313" spans="1:12" ht="14.4">
      <c r="A1313" s="59"/>
      <c r="D1313" s="60" t="s">
        <v>120</v>
      </c>
      <c r="E1313" s="60" t="s">
        <v>4</v>
      </c>
      <c r="G1313" s="68">
        <v>1</v>
      </c>
      <c r="L1313" s="69"/>
    </row>
    <row r="1314" spans="1:75" ht="13.5" customHeight="1">
      <c r="A1314" s="1" t="s">
        <v>2359</v>
      </c>
      <c r="B1314" s="2" t="s">
        <v>116</v>
      </c>
      <c r="C1314" s="2" t="s">
        <v>2483</v>
      </c>
      <c r="D1314" s="147" t="s">
        <v>2484</v>
      </c>
      <c r="E1314" s="148"/>
      <c r="F1314" s="2" t="s">
        <v>993</v>
      </c>
      <c r="G1314" s="55">
        <f>'Stavební rozpočet-vyplnit'!G1314</f>
        <v>1</v>
      </c>
      <c r="H1314" s="55">
        <f>'Stavební rozpočet-vyplnit'!H1314</f>
        <v>0</v>
      </c>
      <c r="I1314" s="55">
        <f>G1314*H1314</f>
        <v>0</v>
      </c>
      <c r="J1314" s="55">
        <f>'Stavební rozpočet-vyplnit'!J1314</f>
        <v>0</v>
      </c>
      <c r="K1314" s="55">
        <f>G1314*J1314</f>
        <v>0</v>
      </c>
      <c r="L1314" s="57" t="s">
        <v>124</v>
      </c>
      <c r="Z1314" s="55">
        <f>IF(AQ1314="5",BJ1314,0)</f>
        <v>0</v>
      </c>
      <c r="AB1314" s="55">
        <f>IF(AQ1314="1",BH1314,0)</f>
        <v>0</v>
      </c>
      <c r="AC1314" s="55">
        <f>IF(AQ1314="1",BI1314,0)</f>
        <v>0</v>
      </c>
      <c r="AD1314" s="55">
        <f>IF(AQ1314="7",BH1314,0)</f>
        <v>0</v>
      </c>
      <c r="AE1314" s="55">
        <f>IF(AQ1314="7",BI1314,0)</f>
        <v>0</v>
      </c>
      <c r="AF1314" s="55">
        <f>IF(AQ1314="2",BH1314,0)</f>
        <v>0</v>
      </c>
      <c r="AG1314" s="55">
        <f>IF(AQ1314="2",BI1314,0)</f>
        <v>0</v>
      </c>
      <c r="AH1314" s="55">
        <f>IF(AQ1314="0",BJ1314,0)</f>
        <v>0</v>
      </c>
      <c r="AI1314" s="34" t="s">
        <v>116</v>
      </c>
      <c r="AJ1314" s="55">
        <f>IF(AN1314=0,I1314,0)</f>
        <v>0</v>
      </c>
      <c r="AK1314" s="55">
        <f>IF(AN1314=12,I1314,0)</f>
        <v>0</v>
      </c>
      <c r="AL1314" s="55">
        <f>IF(AN1314=21,I1314,0)</f>
        <v>0</v>
      </c>
      <c r="AN1314" s="55">
        <v>21</v>
      </c>
      <c r="AO1314" s="55">
        <f>H1314*0</f>
        <v>0</v>
      </c>
      <c r="AP1314" s="55">
        <f>H1314*(1-0)</f>
        <v>0</v>
      </c>
      <c r="AQ1314" s="58" t="s">
        <v>120</v>
      </c>
      <c r="AV1314" s="55">
        <f>AW1314+AX1314</f>
        <v>0</v>
      </c>
      <c r="AW1314" s="55">
        <f>G1314*AO1314</f>
        <v>0</v>
      </c>
      <c r="AX1314" s="55">
        <f>G1314*AP1314</f>
        <v>0</v>
      </c>
      <c r="AY1314" s="58" t="s">
        <v>2476</v>
      </c>
      <c r="AZ1314" s="58" t="s">
        <v>2344</v>
      </c>
      <c r="BA1314" s="34" t="s">
        <v>128</v>
      </c>
      <c r="BC1314" s="55">
        <f>AW1314+AX1314</f>
        <v>0</v>
      </c>
      <c r="BD1314" s="55">
        <f>H1314/(100-BE1314)*100</f>
        <v>0</v>
      </c>
      <c r="BE1314" s="55">
        <v>0</v>
      </c>
      <c r="BF1314" s="55">
        <f>K1314</f>
        <v>0</v>
      </c>
      <c r="BH1314" s="55">
        <f>G1314*AO1314</f>
        <v>0</v>
      </c>
      <c r="BI1314" s="55">
        <f>G1314*AP1314</f>
        <v>0</v>
      </c>
      <c r="BJ1314" s="55">
        <f>G1314*H1314</f>
        <v>0</v>
      </c>
      <c r="BK1314" s="55"/>
      <c r="BL1314" s="55">
        <v>97</v>
      </c>
      <c r="BW1314" s="55">
        <v>21</v>
      </c>
    </row>
    <row r="1315" spans="1:12" ht="14.4">
      <c r="A1315" s="59"/>
      <c r="D1315" s="60" t="s">
        <v>120</v>
      </c>
      <c r="E1315" s="60" t="s">
        <v>4</v>
      </c>
      <c r="G1315" s="68">
        <v>1</v>
      </c>
      <c r="L1315" s="69"/>
    </row>
    <row r="1316" spans="1:75" ht="13.5" customHeight="1">
      <c r="A1316" s="1" t="s">
        <v>2485</v>
      </c>
      <c r="B1316" s="2" t="s">
        <v>116</v>
      </c>
      <c r="C1316" s="2" t="s">
        <v>2486</v>
      </c>
      <c r="D1316" s="147" t="s">
        <v>2487</v>
      </c>
      <c r="E1316" s="148"/>
      <c r="F1316" s="2" t="s">
        <v>939</v>
      </c>
      <c r="G1316" s="55">
        <f>'Stavební rozpočet-vyplnit'!G1316</f>
        <v>64.54</v>
      </c>
      <c r="H1316" s="55">
        <f>'Stavební rozpočet-vyplnit'!H1316</f>
        <v>0</v>
      </c>
      <c r="I1316" s="55">
        <f>G1316*H1316</f>
        <v>0</v>
      </c>
      <c r="J1316" s="55">
        <f>'Stavební rozpočet-vyplnit'!J1316</f>
        <v>0</v>
      </c>
      <c r="K1316" s="55">
        <f>G1316*J1316</f>
        <v>0</v>
      </c>
      <c r="L1316" s="57" t="s">
        <v>785</v>
      </c>
      <c r="Z1316" s="55">
        <f>IF(AQ1316="5",BJ1316,0)</f>
        <v>0</v>
      </c>
      <c r="AB1316" s="55">
        <f>IF(AQ1316="1",BH1316,0)</f>
        <v>0</v>
      </c>
      <c r="AC1316" s="55">
        <f>IF(AQ1316="1",BI1316,0)</f>
        <v>0</v>
      </c>
      <c r="AD1316" s="55">
        <f>IF(AQ1316="7",BH1316,0)</f>
        <v>0</v>
      </c>
      <c r="AE1316" s="55">
        <f>IF(AQ1316="7",BI1316,0)</f>
        <v>0</v>
      </c>
      <c r="AF1316" s="55">
        <f>IF(AQ1316="2",BH1316,0)</f>
        <v>0</v>
      </c>
      <c r="AG1316" s="55">
        <f>IF(AQ1316="2",BI1316,0)</f>
        <v>0</v>
      </c>
      <c r="AH1316" s="55">
        <f>IF(AQ1316="0",BJ1316,0)</f>
        <v>0</v>
      </c>
      <c r="AI1316" s="34" t="s">
        <v>116</v>
      </c>
      <c r="AJ1316" s="55">
        <f>IF(AN1316=0,I1316,0)</f>
        <v>0</v>
      </c>
      <c r="AK1316" s="55">
        <f>IF(AN1316=12,I1316,0)</f>
        <v>0</v>
      </c>
      <c r="AL1316" s="55">
        <f>IF(AN1316=21,I1316,0)</f>
        <v>0</v>
      </c>
      <c r="AN1316" s="55">
        <v>21</v>
      </c>
      <c r="AO1316" s="55">
        <f>H1316*0</f>
        <v>0</v>
      </c>
      <c r="AP1316" s="55">
        <f>H1316*(1-0)</f>
        <v>0</v>
      </c>
      <c r="AQ1316" s="58" t="s">
        <v>120</v>
      </c>
      <c r="AV1316" s="55">
        <f>AW1316+AX1316</f>
        <v>0</v>
      </c>
      <c r="AW1316" s="55">
        <f>G1316*AO1316</f>
        <v>0</v>
      </c>
      <c r="AX1316" s="55">
        <f>G1316*AP1316</f>
        <v>0</v>
      </c>
      <c r="AY1316" s="58" t="s">
        <v>2476</v>
      </c>
      <c r="AZ1316" s="58" t="s">
        <v>2344</v>
      </c>
      <c r="BA1316" s="34" t="s">
        <v>128</v>
      </c>
      <c r="BC1316" s="55">
        <f>AW1316+AX1316</f>
        <v>0</v>
      </c>
      <c r="BD1316" s="55">
        <f>H1316/(100-BE1316)*100</f>
        <v>0</v>
      </c>
      <c r="BE1316" s="55">
        <v>0</v>
      </c>
      <c r="BF1316" s="55">
        <f>K1316</f>
        <v>0</v>
      </c>
      <c r="BH1316" s="55">
        <f>G1316*AO1316</f>
        <v>0</v>
      </c>
      <c r="BI1316" s="55">
        <f>G1316*AP1316</f>
        <v>0</v>
      </c>
      <c r="BJ1316" s="55">
        <f>G1316*H1316</f>
        <v>0</v>
      </c>
      <c r="BK1316" s="55"/>
      <c r="BL1316" s="55">
        <v>97</v>
      </c>
      <c r="BW1316" s="55">
        <v>21</v>
      </c>
    </row>
    <row r="1317" spans="1:12" ht="14.4">
      <c r="A1317" s="59"/>
      <c r="D1317" s="60" t="s">
        <v>2488</v>
      </c>
      <c r="E1317" s="60" t="s">
        <v>2489</v>
      </c>
      <c r="G1317" s="68">
        <v>64.54</v>
      </c>
      <c r="L1317" s="69"/>
    </row>
    <row r="1318" spans="1:75" ht="13.5" customHeight="1">
      <c r="A1318" s="1" t="s">
        <v>2490</v>
      </c>
      <c r="B1318" s="2" t="s">
        <v>116</v>
      </c>
      <c r="C1318" s="2" t="s">
        <v>2491</v>
      </c>
      <c r="D1318" s="147" t="s">
        <v>2492</v>
      </c>
      <c r="E1318" s="148"/>
      <c r="F1318" s="2" t="s">
        <v>939</v>
      </c>
      <c r="G1318" s="55">
        <f>'Stavební rozpočet-vyplnit'!G1318</f>
        <v>64.54</v>
      </c>
      <c r="H1318" s="55">
        <f>'Stavební rozpočet-vyplnit'!H1318</f>
        <v>0</v>
      </c>
      <c r="I1318" s="55">
        <f>G1318*H1318</f>
        <v>0</v>
      </c>
      <c r="J1318" s="55">
        <f>'Stavební rozpočet-vyplnit'!J1318</f>
        <v>0</v>
      </c>
      <c r="K1318" s="55">
        <f>G1318*J1318</f>
        <v>0</v>
      </c>
      <c r="L1318" s="57" t="s">
        <v>785</v>
      </c>
      <c r="Z1318" s="55">
        <f>IF(AQ1318="5",BJ1318,0)</f>
        <v>0</v>
      </c>
      <c r="AB1318" s="55">
        <f>IF(AQ1318="1",BH1318,0)</f>
        <v>0</v>
      </c>
      <c r="AC1318" s="55">
        <f>IF(AQ1318="1",BI1318,0)</f>
        <v>0</v>
      </c>
      <c r="AD1318" s="55">
        <f>IF(AQ1318="7",BH1318,0)</f>
        <v>0</v>
      </c>
      <c r="AE1318" s="55">
        <f>IF(AQ1318="7",BI1318,0)</f>
        <v>0</v>
      </c>
      <c r="AF1318" s="55">
        <f>IF(AQ1318="2",BH1318,0)</f>
        <v>0</v>
      </c>
      <c r="AG1318" s="55">
        <f>IF(AQ1318="2",BI1318,0)</f>
        <v>0</v>
      </c>
      <c r="AH1318" s="55">
        <f>IF(AQ1318="0",BJ1318,0)</f>
        <v>0</v>
      </c>
      <c r="AI1318" s="34" t="s">
        <v>116</v>
      </c>
      <c r="AJ1318" s="55">
        <f>IF(AN1318=0,I1318,0)</f>
        <v>0</v>
      </c>
      <c r="AK1318" s="55">
        <f>IF(AN1318=12,I1318,0)</f>
        <v>0</v>
      </c>
      <c r="AL1318" s="55">
        <f>IF(AN1318=21,I1318,0)</f>
        <v>0</v>
      </c>
      <c r="AN1318" s="55">
        <v>21</v>
      </c>
      <c r="AO1318" s="55">
        <f>H1318*0</f>
        <v>0</v>
      </c>
      <c r="AP1318" s="55">
        <f>H1318*(1-0)</f>
        <v>0</v>
      </c>
      <c r="AQ1318" s="58" t="s">
        <v>120</v>
      </c>
      <c r="AV1318" s="55">
        <f>AW1318+AX1318</f>
        <v>0</v>
      </c>
      <c r="AW1318" s="55">
        <f>G1318*AO1318</f>
        <v>0</v>
      </c>
      <c r="AX1318" s="55">
        <f>G1318*AP1318</f>
        <v>0</v>
      </c>
      <c r="AY1318" s="58" t="s">
        <v>2476</v>
      </c>
      <c r="AZ1318" s="58" t="s">
        <v>2344</v>
      </c>
      <c r="BA1318" s="34" t="s">
        <v>128</v>
      </c>
      <c r="BC1318" s="55">
        <f>AW1318+AX1318</f>
        <v>0</v>
      </c>
      <c r="BD1318" s="55">
        <f>H1318/(100-BE1318)*100</f>
        <v>0</v>
      </c>
      <c r="BE1318" s="55">
        <v>0</v>
      </c>
      <c r="BF1318" s="55">
        <f>K1318</f>
        <v>0</v>
      </c>
      <c r="BH1318" s="55">
        <f>G1318*AO1318</f>
        <v>0</v>
      </c>
      <c r="BI1318" s="55">
        <f>G1318*AP1318</f>
        <v>0</v>
      </c>
      <c r="BJ1318" s="55">
        <f>G1318*H1318</f>
        <v>0</v>
      </c>
      <c r="BK1318" s="55"/>
      <c r="BL1318" s="55">
        <v>97</v>
      </c>
      <c r="BW1318" s="55">
        <v>21</v>
      </c>
    </row>
    <row r="1319" spans="1:12" ht="14.4">
      <c r="A1319" s="59"/>
      <c r="D1319" s="60" t="s">
        <v>2488</v>
      </c>
      <c r="E1319" s="60" t="s">
        <v>2489</v>
      </c>
      <c r="G1319" s="68">
        <v>64.54</v>
      </c>
      <c r="L1319" s="69"/>
    </row>
    <row r="1320" spans="1:75" ht="13.5" customHeight="1">
      <c r="A1320" s="1" t="s">
        <v>2493</v>
      </c>
      <c r="B1320" s="2" t="s">
        <v>116</v>
      </c>
      <c r="C1320" s="2" t="s">
        <v>2494</v>
      </c>
      <c r="D1320" s="147" t="s">
        <v>2495</v>
      </c>
      <c r="E1320" s="148"/>
      <c r="F1320" s="2" t="s">
        <v>939</v>
      </c>
      <c r="G1320" s="55">
        <f>'Stavební rozpočet-vyplnit'!G1320</f>
        <v>64.54</v>
      </c>
      <c r="H1320" s="55">
        <f>'Stavební rozpočet-vyplnit'!H1320</f>
        <v>0</v>
      </c>
      <c r="I1320" s="55">
        <f>G1320*H1320</f>
        <v>0</v>
      </c>
      <c r="J1320" s="55">
        <f>'Stavební rozpočet-vyplnit'!J1320</f>
        <v>0</v>
      </c>
      <c r="K1320" s="55">
        <f>G1320*J1320</f>
        <v>0</v>
      </c>
      <c r="L1320" s="57" t="s">
        <v>785</v>
      </c>
      <c r="Z1320" s="55">
        <f>IF(AQ1320="5",BJ1320,0)</f>
        <v>0</v>
      </c>
      <c r="AB1320" s="55">
        <f>IF(AQ1320="1",BH1320,0)</f>
        <v>0</v>
      </c>
      <c r="AC1320" s="55">
        <f>IF(AQ1320="1",BI1320,0)</f>
        <v>0</v>
      </c>
      <c r="AD1320" s="55">
        <f>IF(AQ1320="7",BH1320,0)</f>
        <v>0</v>
      </c>
      <c r="AE1320" s="55">
        <f>IF(AQ1320="7",BI1320,0)</f>
        <v>0</v>
      </c>
      <c r="AF1320" s="55">
        <f>IF(AQ1320="2",BH1320,0)</f>
        <v>0</v>
      </c>
      <c r="AG1320" s="55">
        <f>IF(AQ1320="2",BI1320,0)</f>
        <v>0</v>
      </c>
      <c r="AH1320" s="55">
        <f>IF(AQ1320="0",BJ1320,0)</f>
        <v>0</v>
      </c>
      <c r="AI1320" s="34" t="s">
        <v>116</v>
      </c>
      <c r="AJ1320" s="55">
        <f>IF(AN1320=0,I1320,0)</f>
        <v>0</v>
      </c>
      <c r="AK1320" s="55">
        <f>IF(AN1320=12,I1320,0)</f>
        <v>0</v>
      </c>
      <c r="AL1320" s="55">
        <f>IF(AN1320=21,I1320,0)</f>
        <v>0</v>
      </c>
      <c r="AN1320" s="55">
        <v>21</v>
      </c>
      <c r="AO1320" s="55">
        <f>H1320*0</f>
        <v>0</v>
      </c>
      <c r="AP1320" s="55">
        <f>H1320*(1-0)</f>
        <v>0</v>
      </c>
      <c r="AQ1320" s="58" t="s">
        <v>120</v>
      </c>
      <c r="AV1320" s="55">
        <f>AW1320+AX1320</f>
        <v>0</v>
      </c>
      <c r="AW1320" s="55">
        <f>G1320*AO1320</f>
        <v>0</v>
      </c>
      <c r="AX1320" s="55">
        <f>G1320*AP1320</f>
        <v>0</v>
      </c>
      <c r="AY1320" s="58" t="s">
        <v>2476</v>
      </c>
      <c r="AZ1320" s="58" t="s">
        <v>2344</v>
      </c>
      <c r="BA1320" s="34" t="s">
        <v>128</v>
      </c>
      <c r="BC1320" s="55">
        <f>AW1320+AX1320</f>
        <v>0</v>
      </c>
      <c r="BD1320" s="55">
        <f>H1320/(100-BE1320)*100</f>
        <v>0</v>
      </c>
      <c r="BE1320" s="55">
        <v>0</v>
      </c>
      <c r="BF1320" s="55">
        <f>K1320</f>
        <v>0</v>
      </c>
      <c r="BH1320" s="55">
        <f>G1320*AO1320</f>
        <v>0</v>
      </c>
      <c r="BI1320" s="55">
        <f>G1320*AP1320</f>
        <v>0</v>
      </c>
      <c r="BJ1320" s="55">
        <f>G1320*H1320</f>
        <v>0</v>
      </c>
      <c r="BK1320" s="55"/>
      <c r="BL1320" s="55">
        <v>97</v>
      </c>
      <c r="BW1320" s="55">
        <v>21</v>
      </c>
    </row>
    <row r="1321" spans="1:12" ht="14.4">
      <c r="A1321" s="59"/>
      <c r="D1321" s="60" t="s">
        <v>2496</v>
      </c>
      <c r="E1321" s="60" t="s">
        <v>4</v>
      </c>
      <c r="G1321" s="68">
        <v>64.54</v>
      </c>
      <c r="L1321" s="69"/>
    </row>
    <row r="1322" spans="1:75" ht="13.5" customHeight="1">
      <c r="A1322" s="1" t="s">
        <v>2497</v>
      </c>
      <c r="B1322" s="2" t="s">
        <v>116</v>
      </c>
      <c r="C1322" s="2" t="s">
        <v>2378</v>
      </c>
      <c r="D1322" s="147" t="s">
        <v>2498</v>
      </c>
      <c r="E1322" s="148"/>
      <c r="F1322" s="2" t="s">
        <v>1791</v>
      </c>
      <c r="G1322" s="55">
        <f>'Stavební rozpočet-vyplnit'!G1322</f>
        <v>40</v>
      </c>
      <c r="H1322" s="55">
        <f>'Stavební rozpočet-vyplnit'!H1322</f>
        <v>0</v>
      </c>
      <c r="I1322" s="55">
        <f>G1322*H1322</f>
        <v>0</v>
      </c>
      <c r="J1322" s="55">
        <f>'Stavební rozpočet-vyplnit'!J1322</f>
        <v>0</v>
      </c>
      <c r="K1322" s="55">
        <f>G1322*J1322</f>
        <v>0</v>
      </c>
      <c r="L1322" s="57" t="s">
        <v>785</v>
      </c>
      <c r="Z1322" s="55">
        <f>IF(AQ1322="5",BJ1322,0)</f>
        <v>0</v>
      </c>
      <c r="AB1322" s="55">
        <f>IF(AQ1322="1",BH1322,0)</f>
        <v>0</v>
      </c>
      <c r="AC1322" s="55">
        <f>IF(AQ1322="1",BI1322,0)</f>
        <v>0</v>
      </c>
      <c r="AD1322" s="55">
        <f>IF(AQ1322="7",BH1322,0)</f>
        <v>0</v>
      </c>
      <c r="AE1322" s="55">
        <f>IF(AQ1322="7",BI1322,0)</f>
        <v>0</v>
      </c>
      <c r="AF1322" s="55">
        <f>IF(AQ1322="2",BH1322,0)</f>
        <v>0</v>
      </c>
      <c r="AG1322" s="55">
        <f>IF(AQ1322="2",BI1322,0)</f>
        <v>0</v>
      </c>
      <c r="AH1322" s="55">
        <f>IF(AQ1322="0",BJ1322,0)</f>
        <v>0</v>
      </c>
      <c r="AI1322" s="34" t="s">
        <v>116</v>
      </c>
      <c r="AJ1322" s="55">
        <f>IF(AN1322=0,I1322,0)</f>
        <v>0</v>
      </c>
      <c r="AK1322" s="55">
        <f>IF(AN1322=12,I1322,0)</f>
        <v>0</v>
      </c>
      <c r="AL1322" s="55">
        <f>IF(AN1322=21,I1322,0)</f>
        <v>0</v>
      </c>
      <c r="AN1322" s="55">
        <v>21</v>
      </c>
      <c r="AO1322" s="55">
        <f>H1322*0</f>
        <v>0</v>
      </c>
      <c r="AP1322" s="55">
        <f>H1322*(1-0)</f>
        <v>0</v>
      </c>
      <c r="AQ1322" s="58" t="s">
        <v>120</v>
      </c>
      <c r="AV1322" s="55">
        <f>AW1322+AX1322</f>
        <v>0</v>
      </c>
      <c r="AW1322" s="55">
        <f>G1322*AO1322</f>
        <v>0</v>
      </c>
      <c r="AX1322" s="55">
        <f>G1322*AP1322</f>
        <v>0</v>
      </c>
      <c r="AY1322" s="58" t="s">
        <v>2476</v>
      </c>
      <c r="AZ1322" s="58" t="s">
        <v>2344</v>
      </c>
      <c r="BA1322" s="34" t="s">
        <v>128</v>
      </c>
      <c r="BB1322" s="67">
        <v>100016</v>
      </c>
      <c r="BC1322" s="55">
        <f>AW1322+AX1322</f>
        <v>0</v>
      </c>
      <c r="BD1322" s="55">
        <f>H1322/(100-BE1322)*100</f>
        <v>0</v>
      </c>
      <c r="BE1322" s="55">
        <v>0</v>
      </c>
      <c r="BF1322" s="55">
        <f>K1322</f>
        <v>0</v>
      </c>
      <c r="BH1322" s="55">
        <f>G1322*AO1322</f>
        <v>0</v>
      </c>
      <c r="BI1322" s="55">
        <f>G1322*AP1322</f>
        <v>0</v>
      </c>
      <c r="BJ1322" s="55">
        <f>G1322*H1322</f>
        <v>0</v>
      </c>
      <c r="BK1322" s="55"/>
      <c r="BL1322" s="55">
        <v>97</v>
      </c>
      <c r="BW1322" s="55">
        <v>21</v>
      </c>
    </row>
    <row r="1323" spans="1:12" ht="14.4">
      <c r="A1323" s="59"/>
      <c r="D1323" s="60" t="s">
        <v>244</v>
      </c>
      <c r="E1323" s="60" t="s">
        <v>4</v>
      </c>
      <c r="G1323" s="68">
        <v>40</v>
      </c>
      <c r="L1323" s="69"/>
    </row>
    <row r="1324" spans="1:47" ht="14.4">
      <c r="A1324" s="50" t="s">
        <v>4</v>
      </c>
      <c r="B1324" s="51" t="s">
        <v>116</v>
      </c>
      <c r="C1324" s="51" t="s">
        <v>2499</v>
      </c>
      <c r="D1324" s="222" t="s">
        <v>2500</v>
      </c>
      <c r="E1324" s="223"/>
      <c r="F1324" s="52" t="s">
        <v>79</v>
      </c>
      <c r="G1324" s="52" t="s">
        <v>79</v>
      </c>
      <c r="H1324" s="52" t="s">
        <v>79</v>
      </c>
      <c r="I1324" s="27">
        <f>SUM(I1325:I1325)</f>
        <v>0</v>
      </c>
      <c r="J1324" s="34" t="s">
        <v>4</v>
      </c>
      <c r="K1324" s="27">
        <f>SUM(K1325:K1325)</f>
        <v>0</v>
      </c>
      <c r="L1324" s="54" t="s">
        <v>4</v>
      </c>
      <c r="AI1324" s="34" t="s">
        <v>116</v>
      </c>
      <c r="AS1324" s="27">
        <f>SUM(AJ1325:AJ1325)</f>
        <v>0</v>
      </c>
      <c r="AT1324" s="27">
        <f>SUM(AK1325:AK1325)</f>
        <v>0</v>
      </c>
      <c r="AU1324" s="27">
        <f>SUM(AL1325:AL1325)</f>
        <v>0</v>
      </c>
    </row>
    <row r="1325" spans="1:75" ht="13.5" customHeight="1">
      <c r="A1325" s="1" t="s">
        <v>2501</v>
      </c>
      <c r="B1325" s="2" t="s">
        <v>116</v>
      </c>
      <c r="C1325" s="2" t="s">
        <v>2502</v>
      </c>
      <c r="D1325" s="147" t="s">
        <v>2503</v>
      </c>
      <c r="E1325" s="148"/>
      <c r="F1325" s="2" t="s">
        <v>939</v>
      </c>
      <c r="G1325" s="55">
        <f>'Stavební rozpočet-vyplnit'!G1325</f>
        <v>92.3</v>
      </c>
      <c r="H1325" s="55">
        <f>'Stavební rozpočet-vyplnit'!H1325</f>
        <v>0</v>
      </c>
      <c r="I1325" s="55">
        <f>G1325*H1325</f>
        <v>0</v>
      </c>
      <c r="J1325" s="55">
        <f>'Stavební rozpočet-vyplnit'!J1325</f>
        <v>0</v>
      </c>
      <c r="K1325" s="55">
        <f>G1325*J1325</f>
        <v>0</v>
      </c>
      <c r="L1325" s="57" t="s">
        <v>785</v>
      </c>
      <c r="Z1325" s="55">
        <f>IF(AQ1325="5",BJ1325,0)</f>
        <v>0</v>
      </c>
      <c r="AB1325" s="55">
        <f>IF(AQ1325="1",BH1325,0)</f>
        <v>0</v>
      </c>
      <c r="AC1325" s="55">
        <f>IF(AQ1325="1",BI1325,0)</f>
        <v>0</v>
      </c>
      <c r="AD1325" s="55">
        <f>IF(AQ1325="7",BH1325,0)</f>
        <v>0</v>
      </c>
      <c r="AE1325" s="55">
        <f>IF(AQ1325="7",BI1325,0)</f>
        <v>0</v>
      </c>
      <c r="AF1325" s="55">
        <f>IF(AQ1325="2",BH1325,0)</f>
        <v>0</v>
      </c>
      <c r="AG1325" s="55">
        <f>IF(AQ1325="2",BI1325,0)</f>
        <v>0</v>
      </c>
      <c r="AH1325" s="55">
        <f>IF(AQ1325="0",BJ1325,0)</f>
        <v>0</v>
      </c>
      <c r="AI1325" s="34" t="s">
        <v>116</v>
      </c>
      <c r="AJ1325" s="55">
        <f>IF(AN1325=0,I1325,0)</f>
        <v>0</v>
      </c>
      <c r="AK1325" s="55">
        <f>IF(AN1325=12,I1325,0)</f>
        <v>0</v>
      </c>
      <c r="AL1325" s="55">
        <f>IF(AN1325=21,I1325,0)</f>
        <v>0</v>
      </c>
      <c r="AN1325" s="55">
        <v>21</v>
      </c>
      <c r="AO1325" s="55">
        <f>H1325*0</f>
        <v>0</v>
      </c>
      <c r="AP1325" s="55">
        <f>H1325*(1-0)</f>
        <v>0</v>
      </c>
      <c r="AQ1325" s="58" t="s">
        <v>139</v>
      </c>
      <c r="AV1325" s="55">
        <f>AW1325+AX1325</f>
        <v>0</v>
      </c>
      <c r="AW1325" s="55">
        <f>G1325*AO1325</f>
        <v>0</v>
      </c>
      <c r="AX1325" s="55">
        <f>G1325*AP1325</f>
        <v>0</v>
      </c>
      <c r="AY1325" s="58" t="s">
        <v>2504</v>
      </c>
      <c r="AZ1325" s="58" t="s">
        <v>2344</v>
      </c>
      <c r="BA1325" s="34" t="s">
        <v>128</v>
      </c>
      <c r="BC1325" s="55">
        <f>AW1325+AX1325</f>
        <v>0</v>
      </c>
      <c r="BD1325" s="55">
        <f>H1325/(100-BE1325)*100</f>
        <v>0</v>
      </c>
      <c r="BE1325" s="55">
        <v>0</v>
      </c>
      <c r="BF1325" s="55">
        <f>K1325</f>
        <v>0</v>
      </c>
      <c r="BH1325" s="55">
        <f>G1325*AO1325</f>
        <v>0</v>
      </c>
      <c r="BI1325" s="55">
        <f>G1325*AP1325</f>
        <v>0</v>
      </c>
      <c r="BJ1325" s="55">
        <f>G1325*H1325</f>
        <v>0</v>
      </c>
      <c r="BK1325" s="55"/>
      <c r="BL1325" s="55"/>
      <c r="BW1325" s="55">
        <v>21</v>
      </c>
    </row>
    <row r="1326" spans="1:12" ht="14.4">
      <c r="A1326" s="59"/>
      <c r="D1326" s="60" t="s">
        <v>2505</v>
      </c>
      <c r="E1326" s="60" t="s">
        <v>4</v>
      </c>
      <c r="G1326" s="68">
        <v>92.3</v>
      </c>
      <c r="L1326" s="69"/>
    </row>
    <row r="1327" spans="1:47" ht="14.4">
      <c r="A1327" s="50" t="s">
        <v>4</v>
      </c>
      <c r="B1327" s="51" t="s">
        <v>116</v>
      </c>
      <c r="C1327" s="51" t="s">
        <v>2506</v>
      </c>
      <c r="D1327" s="222" t="s">
        <v>2507</v>
      </c>
      <c r="E1327" s="223"/>
      <c r="F1327" s="52" t="s">
        <v>79</v>
      </c>
      <c r="G1327" s="52" t="s">
        <v>79</v>
      </c>
      <c r="H1327" s="52" t="s">
        <v>79</v>
      </c>
      <c r="I1327" s="27">
        <f>SUM(I1328:I1329)</f>
        <v>0</v>
      </c>
      <c r="J1327" s="34" t="s">
        <v>4</v>
      </c>
      <c r="K1327" s="27">
        <f>SUM(K1328:K1329)</f>
        <v>0</v>
      </c>
      <c r="L1327" s="54" t="s">
        <v>4</v>
      </c>
      <c r="AI1327" s="34" t="s">
        <v>116</v>
      </c>
      <c r="AS1327" s="27">
        <f>SUM(AJ1328:AJ1329)</f>
        <v>0</v>
      </c>
      <c r="AT1327" s="27">
        <f>SUM(AK1328:AK1329)</f>
        <v>0</v>
      </c>
      <c r="AU1327" s="27">
        <f>SUM(AL1328:AL1329)</f>
        <v>0</v>
      </c>
    </row>
    <row r="1328" spans="1:75" ht="13.5" customHeight="1">
      <c r="A1328" s="1" t="s">
        <v>2508</v>
      </c>
      <c r="B1328" s="2" t="s">
        <v>116</v>
      </c>
      <c r="C1328" s="2" t="s">
        <v>2509</v>
      </c>
      <c r="D1328" s="147" t="s">
        <v>2510</v>
      </c>
      <c r="E1328" s="148"/>
      <c r="F1328" s="2" t="s">
        <v>250</v>
      </c>
      <c r="G1328" s="55">
        <f>'Stavební rozpočet-vyplnit'!G1328</f>
        <v>1</v>
      </c>
      <c r="H1328" s="55">
        <f>'Stavební rozpočet-vyplnit'!H1328</f>
        <v>0</v>
      </c>
      <c r="I1328" s="55">
        <f>G1328*H1328</f>
        <v>0</v>
      </c>
      <c r="J1328" s="55">
        <f>'Stavební rozpočet-vyplnit'!J1328</f>
        <v>0</v>
      </c>
      <c r="K1328" s="55">
        <f>G1328*J1328</f>
        <v>0</v>
      </c>
      <c r="L1328" s="57" t="s">
        <v>124</v>
      </c>
      <c r="Z1328" s="55">
        <f>IF(AQ1328="5",BJ1328,0)</f>
        <v>0</v>
      </c>
      <c r="AB1328" s="55">
        <f>IF(AQ1328="1",BH1328,0)</f>
        <v>0</v>
      </c>
      <c r="AC1328" s="55">
        <f>IF(AQ1328="1",BI1328,0)</f>
        <v>0</v>
      </c>
      <c r="AD1328" s="55">
        <f>IF(AQ1328="7",BH1328,0)</f>
        <v>0</v>
      </c>
      <c r="AE1328" s="55">
        <f>IF(AQ1328="7",BI1328,0)</f>
        <v>0</v>
      </c>
      <c r="AF1328" s="55">
        <f>IF(AQ1328="2",BH1328,0)</f>
        <v>0</v>
      </c>
      <c r="AG1328" s="55">
        <f>IF(AQ1328="2",BI1328,0)</f>
        <v>0</v>
      </c>
      <c r="AH1328" s="55">
        <f>IF(AQ1328="0",BJ1328,0)</f>
        <v>0</v>
      </c>
      <c r="AI1328" s="34" t="s">
        <v>116</v>
      </c>
      <c r="AJ1328" s="55">
        <f>IF(AN1328=0,I1328,0)</f>
        <v>0</v>
      </c>
      <c r="AK1328" s="55">
        <f>IF(AN1328=12,I1328,0)</f>
        <v>0</v>
      </c>
      <c r="AL1328" s="55">
        <f>IF(AN1328=21,I1328,0)</f>
        <v>0</v>
      </c>
      <c r="AN1328" s="55">
        <v>21</v>
      </c>
      <c r="AO1328" s="55">
        <f>H1328*0</f>
        <v>0</v>
      </c>
      <c r="AP1328" s="55">
        <f>H1328*(1-0)</f>
        <v>0</v>
      </c>
      <c r="AQ1328" s="58" t="s">
        <v>130</v>
      </c>
      <c r="AV1328" s="55">
        <f>AW1328+AX1328</f>
        <v>0</v>
      </c>
      <c r="AW1328" s="55">
        <f>G1328*AO1328</f>
        <v>0</v>
      </c>
      <c r="AX1328" s="55">
        <f>G1328*AP1328</f>
        <v>0</v>
      </c>
      <c r="AY1328" s="58" t="s">
        <v>2511</v>
      </c>
      <c r="AZ1328" s="58" t="s">
        <v>2344</v>
      </c>
      <c r="BA1328" s="34" t="s">
        <v>128</v>
      </c>
      <c r="BC1328" s="55">
        <f>AW1328+AX1328</f>
        <v>0</v>
      </c>
      <c r="BD1328" s="55">
        <f>H1328/(100-BE1328)*100</f>
        <v>0</v>
      </c>
      <c r="BE1328" s="55">
        <v>0</v>
      </c>
      <c r="BF1328" s="55">
        <f>K1328</f>
        <v>0</v>
      </c>
      <c r="BH1328" s="55">
        <f>G1328*AO1328</f>
        <v>0</v>
      </c>
      <c r="BI1328" s="55">
        <f>G1328*AP1328</f>
        <v>0</v>
      </c>
      <c r="BJ1328" s="55">
        <f>G1328*H1328</f>
        <v>0</v>
      </c>
      <c r="BK1328" s="55"/>
      <c r="BL1328" s="55"/>
      <c r="BW1328" s="55">
        <v>21</v>
      </c>
    </row>
    <row r="1329" spans="1:75" ht="13.5" customHeight="1">
      <c r="A1329" s="1" t="s">
        <v>2512</v>
      </c>
      <c r="B1329" s="2" t="s">
        <v>116</v>
      </c>
      <c r="C1329" s="2" t="s">
        <v>2513</v>
      </c>
      <c r="D1329" s="147" t="s">
        <v>2514</v>
      </c>
      <c r="E1329" s="148"/>
      <c r="F1329" s="2" t="s">
        <v>250</v>
      </c>
      <c r="G1329" s="55">
        <f>'Stavební rozpočet-vyplnit'!G1329</f>
        <v>1</v>
      </c>
      <c r="H1329" s="55">
        <f>'Stavební rozpočet-vyplnit'!H1329</f>
        <v>0</v>
      </c>
      <c r="I1329" s="55">
        <f>G1329*H1329</f>
        <v>0</v>
      </c>
      <c r="J1329" s="55">
        <f>'Stavební rozpočet-vyplnit'!J1329</f>
        <v>0</v>
      </c>
      <c r="K1329" s="55">
        <f>G1329*J1329</f>
        <v>0</v>
      </c>
      <c r="L1329" s="57" t="s">
        <v>124</v>
      </c>
      <c r="Z1329" s="55">
        <f>IF(AQ1329="5",BJ1329,0)</f>
        <v>0</v>
      </c>
      <c r="AB1329" s="55">
        <f>IF(AQ1329="1",BH1329,0)</f>
        <v>0</v>
      </c>
      <c r="AC1329" s="55">
        <f>IF(AQ1329="1",BI1329,0)</f>
        <v>0</v>
      </c>
      <c r="AD1329" s="55">
        <f>IF(AQ1329="7",BH1329,0)</f>
        <v>0</v>
      </c>
      <c r="AE1329" s="55">
        <f>IF(AQ1329="7",BI1329,0)</f>
        <v>0</v>
      </c>
      <c r="AF1329" s="55">
        <f>IF(AQ1329="2",BH1329,0)</f>
        <v>0</v>
      </c>
      <c r="AG1329" s="55">
        <f>IF(AQ1329="2",BI1329,0)</f>
        <v>0</v>
      </c>
      <c r="AH1329" s="55">
        <f>IF(AQ1329="0",BJ1329,0)</f>
        <v>0</v>
      </c>
      <c r="AI1329" s="34" t="s">
        <v>116</v>
      </c>
      <c r="AJ1329" s="55">
        <f>IF(AN1329=0,I1329,0)</f>
        <v>0</v>
      </c>
      <c r="AK1329" s="55">
        <f>IF(AN1329=12,I1329,0)</f>
        <v>0</v>
      </c>
      <c r="AL1329" s="55">
        <f>IF(AN1329=21,I1329,0)</f>
        <v>0</v>
      </c>
      <c r="AN1329" s="55">
        <v>21</v>
      </c>
      <c r="AO1329" s="55">
        <f>H1329*0</f>
        <v>0</v>
      </c>
      <c r="AP1329" s="55">
        <f>H1329*(1-0)</f>
        <v>0</v>
      </c>
      <c r="AQ1329" s="58" t="s">
        <v>130</v>
      </c>
      <c r="AV1329" s="55">
        <f>AW1329+AX1329</f>
        <v>0</v>
      </c>
      <c r="AW1329" s="55">
        <f>G1329*AO1329</f>
        <v>0</v>
      </c>
      <c r="AX1329" s="55">
        <f>G1329*AP1329</f>
        <v>0</v>
      </c>
      <c r="AY1329" s="58" t="s">
        <v>2511</v>
      </c>
      <c r="AZ1329" s="58" t="s">
        <v>2344</v>
      </c>
      <c r="BA1329" s="34" t="s">
        <v>128</v>
      </c>
      <c r="BC1329" s="55">
        <f>AW1329+AX1329</f>
        <v>0</v>
      </c>
      <c r="BD1329" s="55">
        <f>H1329/(100-BE1329)*100</f>
        <v>0</v>
      </c>
      <c r="BE1329" s="55">
        <v>0</v>
      </c>
      <c r="BF1329" s="55">
        <f>K1329</f>
        <v>0</v>
      </c>
      <c r="BH1329" s="55">
        <f>G1329*AO1329</f>
        <v>0</v>
      </c>
      <c r="BI1329" s="55">
        <f>G1329*AP1329</f>
        <v>0</v>
      </c>
      <c r="BJ1329" s="55">
        <f>G1329*H1329</f>
        <v>0</v>
      </c>
      <c r="BK1329" s="55"/>
      <c r="BL1329" s="55"/>
      <c r="BW1329" s="55">
        <v>21</v>
      </c>
    </row>
    <row r="1330" spans="1:47" ht="14.4">
      <c r="A1330" s="50" t="s">
        <v>4</v>
      </c>
      <c r="B1330" s="51" t="s">
        <v>116</v>
      </c>
      <c r="C1330" s="51" t="s">
        <v>2515</v>
      </c>
      <c r="D1330" s="222" t="s">
        <v>2516</v>
      </c>
      <c r="E1330" s="223"/>
      <c r="F1330" s="52" t="s">
        <v>79</v>
      </c>
      <c r="G1330" s="52" t="s">
        <v>79</v>
      </c>
      <c r="H1330" s="52" t="s">
        <v>79</v>
      </c>
      <c r="I1330" s="27">
        <f>SUM(I1331:I1331)</f>
        <v>0</v>
      </c>
      <c r="J1330" s="34" t="s">
        <v>4</v>
      </c>
      <c r="K1330" s="27">
        <f>SUM(K1331:K1331)</f>
        <v>0.059669999999999994</v>
      </c>
      <c r="L1330" s="54" t="s">
        <v>4</v>
      </c>
      <c r="AI1330" s="34" t="s">
        <v>116</v>
      </c>
      <c r="AS1330" s="27">
        <f>SUM(AJ1331:AJ1331)</f>
        <v>0</v>
      </c>
      <c r="AT1330" s="27">
        <f>SUM(AK1331:AK1331)</f>
        <v>0</v>
      </c>
      <c r="AU1330" s="27">
        <f>SUM(AL1331:AL1331)</f>
        <v>0</v>
      </c>
    </row>
    <row r="1331" spans="1:75" ht="13.5" customHeight="1">
      <c r="A1331" s="1" t="s">
        <v>2517</v>
      </c>
      <c r="B1331" s="2" t="s">
        <v>116</v>
      </c>
      <c r="C1331" s="2" t="s">
        <v>2518</v>
      </c>
      <c r="D1331" s="147" t="s">
        <v>2519</v>
      </c>
      <c r="E1331" s="148"/>
      <c r="F1331" s="2" t="s">
        <v>729</v>
      </c>
      <c r="G1331" s="55">
        <f>'Stavební rozpočet-vyplnit'!G1331</f>
        <v>19.5</v>
      </c>
      <c r="H1331" s="55">
        <f>'Stavební rozpočet-vyplnit'!H1331</f>
        <v>0</v>
      </c>
      <c r="I1331" s="55">
        <f>G1331*H1331</f>
        <v>0</v>
      </c>
      <c r="J1331" s="55">
        <f>'Stavební rozpočet-vyplnit'!J1331</f>
        <v>0.00306</v>
      </c>
      <c r="K1331" s="55">
        <f>G1331*J1331</f>
        <v>0.059669999999999994</v>
      </c>
      <c r="L1331" s="57" t="s">
        <v>785</v>
      </c>
      <c r="Z1331" s="55">
        <f>IF(AQ1331="5",BJ1331,0)</f>
        <v>0</v>
      </c>
      <c r="AB1331" s="55">
        <f>IF(AQ1331="1",BH1331,0)</f>
        <v>0</v>
      </c>
      <c r="AC1331" s="55">
        <f>IF(AQ1331="1",BI1331,0)</f>
        <v>0</v>
      </c>
      <c r="AD1331" s="55">
        <f>IF(AQ1331="7",BH1331,0)</f>
        <v>0</v>
      </c>
      <c r="AE1331" s="55">
        <f>IF(AQ1331="7",BI1331,0)</f>
        <v>0</v>
      </c>
      <c r="AF1331" s="55">
        <f>IF(AQ1331="2",BH1331,0)</f>
        <v>0</v>
      </c>
      <c r="AG1331" s="55">
        <f>IF(AQ1331="2",BI1331,0)</f>
        <v>0</v>
      </c>
      <c r="AH1331" s="55">
        <f>IF(AQ1331="0",BJ1331,0)</f>
        <v>0</v>
      </c>
      <c r="AI1331" s="34" t="s">
        <v>116</v>
      </c>
      <c r="AJ1331" s="55">
        <f>IF(AN1331=0,I1331,0)</f>
        <v>0</v>
      </c>
      <c r="AK1331" s="55">
        <f>IF(AN1331=12,I1331,0)</f>
        <v>0</v>
      </c>
      <c r="AL1331" s="55">
        <f>IF(AN1331=21,I1331,0)</f>
        <v>0</v>
      </c>
      <c r="AN1331" s="55">
        <v>21</v>
      </c>
      <c r="AO1331" s="55">
        <f>H1331*0.784826203</f>
        <v>0</v>
      </c>
      <c r="AP1331" s="55">
        <f>H1331*(1-0.784826203)</f>
        <v>0</v>
      </c>
      <c r="AQ1331" s="58" t="s">
        <v>125</v>
      </c>
      <c r="AV1331" s="55">
        <f>AW1331+AX1331</f>
        <v>0</v>
      </c>
      <c r="AW1331" s="55">
        <f>G1331*AO1331</f>
        <v>0</v>
      </c>
      <c r="AX1331" s="55">
        <f>G1331*AP1331</f>
        <v>0</v>
      </c>
      <c r="AY1331" s="58" t="s">
        <v>2520</v>
      </c>
      <c r="AZ1331" s="58" t="s">
        <v>1669</v>
      </c>
      <c r="BA1331" s="34" t="s">
        <v>128</v>
      </c>
      <c r="BB1331" s="67">
        <v>100012</v>
      </c>
      <c r="BC1331" s="55">
        <f>AW1331+AX1331</f>
        <v>0</v>
      </c>
      <c r="BD1331" s="55">
        <f>H1331/(100-BE1331)*100</f>
        <v>0</v>
      </c>
      <c r="BE1331" s="55">
        <v>0</v>
      </c>
      <c r="BF1331" s="55">
        <f>K1331</f>
        <v>0.059669999999999994</v>
      </c>
      <c r="BH1331" s="55">
        <f>G1331*AO1331</f>
        <v>0</v>
      </c>
      <c r="BI1331" s="55">
        <f>G1331*AP1331</f>
        <v>0</v>
      </c>
      <c r="BJ1331" s="55">
        <f>G1331*H1331</f>
        <v>0</v>
      </c>
      <c r="BK1331" s="55"/>
      <c r="BL1331" s="55">
        <v>765</v>
      </c>
      <c r="BW1331" s="55">
        <v>21</v>
      </c>
    </row>
    <row r="1332" spans="1:12" ht="14.4">
      <c r="A1332" s="59"/>
      <c r="D1332" s="60" t="s">
        <v>2521</v>
      </c>
      <c r="E1332" s="60" t="s">
        <v>4</v>
      </c>
      <c r="G1332" s="68">
        <v>19.5</v>
      </c>
      <c r="L1332" s="69"/>
    </row>
    <row r="1333" spans="1:47" ht="14.4">
      <c r="A1333" s="50" t="s">
        <v>4</v>
      </c>
      <c r="B1333" s="51" t="s">
        <v>116</v>
      </c>
      <c r="C1333" s="51" t="s">
        <v>2522</v>
      </c>
      <c r="D1333" s="222" t="s">
        <v>2523</v>
      </c>
      <c r="E1333" s="223"/>
      <c r="F1333" s="52" t="s">
        <v>79</v>
      </c>
      <c r="G1333" s="52" t="s">
        <v>79</v>
      </c>
      <c r="H1333" s="52" t="s">
        <v>79</v>
      </c>
      <c r="I1333" s="27">
        <f>SUM(I1334:I1334)</f>
        <v>0</v>
      </c>
      <c r="J1333" s="34" t="s">
        <v>4</v>
      </c>
      <c r="K1333" s="27">
        <f>SUM(K1334:K1334)</f>
        <v>0.7</v>
      </c>
      <c r="L1333" s="54" t="s">
        <v>4</v>
      </c>
      <c r="AI1333" s="34" t="s">
        <v>116</v>
      </c>
      <c r="AS1333" s="27">
        <f>SUM(AJ1334:AJ1334)</f>
        <v>0</v>
      </c>
      <c r="AT1333" s="27">
        <f>SUM(AK1334:AK1334)</f>
        <v>0</v>
      </c>
      <c r="AU1333" s="27">
        <f>SUM(AL1334:AL1334)</f>
        <v>0</v>
      </c>
    </row>
    <row r="1334" spans="1:75" ht="13.5" customHeight="1">
      <c r="A1334" s="1" t="s">
        <v>2524</v>
      </c>
      <c r="B1334" s="2" t="s">
        <v>116</v>
      </c>
      <c r="C1334" s="2" t="s">
        <v>2525</v>
      </c>
      <c r="D1334" s="147" t="s">
        <v>2526</v>
      </c>
      <c r="E1334" s="148"/>
      <c r="F1334" s="2" t="s">
        <v>374</v>
      </c>
      <c r="G1334" s="55">
        <f>'Stavební rozpočet-vyplnit'!G1334</f>
        <v>1</v>
      </c>
      <c r="H1334" s="55">
        <f>'Stavební rozpočet-vyplnit'!H1334</f>
        <v>0</v>
      </c>
      <c r="I1334" s="55">
        <f>G1334*H1334</f>
        <v>0</v>
      </c>
      <c r="J1334" s="55">
        <f>'Stavební rozpočet-vyplnit'!J1334</f>
        <v>0.7</v>
      </c>
      <c r="K1334" s="55">
        <f>G1334*J1334</f>
        <v>0.7</v>
      </c>
      <c r="L1334" s="57" t="s">
        <v>124</v>
      </c>
      <c r="Z1334" s="55">
        <f>IF(AQ1334="5",BJ1334,0)</f>
        <v>0</v>
      </c>
      <c r="AB1334" s="55">
        <f>IF(AQ1334="1",BH1334,0)</f>
        <v>0</v>
      </c>
      <c r="AC1334" s="55">
        <f>IF(AQ1334="1",BI1334,0)</f>
        <v>0</v>
      </c>
      <c r="AD1334" s="55">
        <f>IF(AQ1334="7",BH1334,0)</f>
        <v>0</v>
      </c>
      <c r="AE1334" s="55">
        <f>IF(AQ1334="7",BI1334,0)</f>
        <v>0</v>
      </c>
      <c r="AF1334" s="55">
        <f>IF(AQ1334="2",BH1334,0)</f>
        <v>0</v>
      </c>
      <c r="AG1334" s="55">
        <f>IF(AQ1334="2",BI1334,0)</f>
        <v>0</v>
      </c>
      <c r="AH1334" s="55">
        <f>IF(AQ1334="0",BJ1334,0)</f>
        <v>0</v>
      </c>
      <c r="AI1334" s="34" t="s">
        <v>116</v>
      </c>
      <c r="AJ1334" s="55">
        <f>IF(AN1334=0,I1334,0)</f>
        <v>0</v>
      </c>
      <c r="AK1334" s="55">
        <f>IF(AN1334=12,I1334,0)</f>
        <v>0</v>
      </c>
      <c r="AL1334" s="55">
        <f>IF(AN1334=21,I1334,0)</f>
        <v>0</v>
      </c>
      <c r="AN1334" s="55">
        <v>21</v>
      </c>
      <c r="AO1334" s="55">
        <f>H1334*0.904365904</f>
        <v>0</v>
      </c>
      <c r="AP1334" s="55">
        <f>H1334*(1-0.904365904)</f>
        <v>0</v>
      </c>
      <c r="AQ1334" s="58" t="s">
        <v>130</v>
      </c>
      <c r="AV1334" s="55">
        <f>AW1334+AX1334</f>
        <v>0</v>
      </c>
      <c r="AW1334" s="55">
        <f>G1334*AO1334</f>
        <v>0</v>
      </c>
      <c r="AX1334" s="55">
        <f>G1334*AP1334</f>
        <v>0</v>
      </c>
      <c r="AY1334" s="58" t="s">
        <v>2527</v>
      </c>
      <c r="AZ1334" s="58" t="s">
        <v>2344</v>
      </c>
      <c r="BA1334" s="34" t="s">
        <v>128</v>
      </c>
      <c r="BB1334" s="67">
        <v>100026</v>
      </c>
      <c r="BC1334" s="55">
        <f>AW1334+AX1334</f>
        <v>0</v>
      </c>
      <c r="BD1334" s="55">
        <f>H1334/(100-BE1334)*100</f>
        <v>0</v>
      </c>
      <c r="BE1334" s="55">
        <v>0</v>
      </c>
      <c r="BF1334" s="55">
        <f>K1334</f>
        <v>0.7</v>
      </c>
      <c r="BH1334" s="55">
        <f>G1334*AO1334</f>
        <v>0</v>
      </c>
      <c r="BI1334" s="55">
        <f>G1334*AP1334</f>
        <v>0</v>
      </c>
      <c r="BJ1334" s="55">
        <f>G1334*H1334</f>
        <v>0</v>
      </c>
      <c r="BK1334" s="55"/>
      <c r="BL1334" s="55"/>
      <c r="BW1334" s="55">
        <v>21</v>
      </c>
    </row>
    <row r="1335" spans="1:12" ht="40.5" customHeight="1">
      <c r="A1335" s="59"/>
      <c r="D1335" s="218" t="s">
        <v>2528</v>
      </c>
      <c r="E1335" s="219"/>
      <c r="F1335" s="219"/>
      <c r="G1335" s="219"/>
      <c r="H1335" s="219"/>
      <c r="I1335" s="219"/>
      <c r="J1335" s="219"/>
      <c r="K1335" s="219"/>
      <c r="L1335" s="221"/>
    </row>
    <row r="1336" spans="1:12" ht="14.4">
      <c r="A1336" s="59"/>
      <c r="D1336" s="60" t="s">
        <v>120</v>
      </c>
      <c r="E1336" s="60" t="s">
        <v>4</v>
      </c>
      <c r="G1336" s="68">
        <v>1</v>
      </c>
      <c r="L1336" s="69"/>
    </row>
    <row r="1337" spans="1:47" ht="14.4">
      <c r="A1337" s="50" t="s">
        <v>4</v>
      </c>
      <c r="B1337" s="51" t="s">
        <v>116</v>
      </c>
      <c r="C1337" s="51" t="s">
        <v>2529</v>
      </c>
      <c r="D1337" s="222" t="s">
        <v>2530</v>
      </c>
      <c r="E1337" s="223"/>
      <c r="F1337" s="52" t="s">
        <v>79</v>
      </c>
      <c r="G1337" s="52" t="s">
        <v>79</v>
      </c>
      <c r="H1337" s="52" t="s">
        <v>79</v>
      </c>
      <c r="I1337" s="27">
        <f>SUM(I1338:I1358)</f>
        <v>0</v>
      </c>
      <c r="J1337" s="34" t="s">
        <v>4</v>
      </c>
      <c r="K1337" s="27">
        <f>SUM(K1338:K1358)</f>
        <v>0.05</v>
      </c>
      <c r="L1337" s="54" t="s">
        <v>4</v>
      </c>
      <c r="AI1337" s="34" t="s">
        <v>116</v>
      </c>
      <c r="AS1337" s="27">
        <f>SUM(AJ1338:AJ1358)</f>
        <v>0</v>
      </c>
      <c r="AT1337" s="27">
        <f>SUM(AK1338:AK1358)</f>
        <v>0</v>
      </c>
      <c r="AU1337" s="27">
        <f>SUM(AL1338:AL1358)</f>
        <v>0</v>
      </c>
    </row>
    <row r="1338" spans="1:75" ht="13.5" customHeight="1">
      <c r="A1338" s="1" t="s">
        <v>2531</v>
      </c>
      <c r="B1338" s="2" t="s">
        <v>116</v>
      </c>
      <c r="C1338" s="2" t="s">
        <v>2532</v>
      </c>
      <c r="D1338" s="147" t="s">
        <v>2533</v>
      </c>
      <c r="E1338" s="148"/>
      <c r="F1338" s="2" t="s">
        <v>400</v>
      </c>
      <c r="G1338" s="55">
        <f>'Stavební rozpočet-vyplnit'!G1338</f>
        <v>1</v>
      </c>
      <c r="H1338" s="55">
        <f>'Stavební rozpočet-vyplnit'!H1338</f>
        <v>0</v>
      </c>
      <c r="I1338" s="55">
        <f>G1338*H1338</f>
        <v>0</v>
      </c>
      <c r="J1338" s="55">
        <f>'Stavební rozpočet-vyplnit'!J1338</f>
        <v>0</v>
      </c>
      <c r="K1338" s="55">
        <f>G1338*J1338</f>
        <v>0</v>
      </c>
      <c r="L1338" s="57" t="s">
        <v>124</v>
      </c>
      <c r="Z1338" s="55">
        <f>IF(AQ1338="5",BJ1338,0)</f>
        <v>0</v>
      </c>
      <c r="AB1338" s="55">
        <f>IF(AQ1338="1",BH1338,0)</f>
        <v>0</v>
      </c>
      <c r="AC1338" s="55">
        <f>IF(AQ1338="1",BI1338,0)</f>
        <v>0</v>
      </c>
      <c r="AD1338" s="55">
        <f>IF(AQ1338="7",BH1338,0)</f>
        <v>0</v>
      </c>
      <c r="AE1338" s="55">
        <f>IF(AQ1338="7",BI1338,0)</f>
        <v>0</v>
      </c>
      <c r="AF1338" s="55">
        <f>IF(AQ1338="2",BH1338,0)</f>
        <v>0</v>
      </c>
      <c r="AG1338" s="55">
        <f>IF(AQ1338="2",BI1338,0)</f>
        <v>0</v>
      </c>
      <c r="AH1338" s="55">
        <f>IF(AQ1338="0",BJ1338,0)</f>
        <v>0</v>
      </c>
      <c r="AI1338" s="34" t="s">
        <v>116</v>
      </c>
      <c r="AJ1338" s="55">
        <f>IF(AN1338=0,I1338,0)</f>
        <v>0</v>
      </c>
      <c r="AK1338" s="55">
        <f>IF(AN1338=12,I1338,0)</f>
        <v>0</v>
      </c>
      <c r="AL1338" s="55">
        <f>IF(AN1338=21,I1338,0)</f>
        <v>0</v>
      </c>
      <c r="AN1338" s="55">
        <v>21</v>
      </c>
      <c r="AO1338" s="55">
        <f>H1338*0</f>
        <v>0</v>
      </c>
      <c r="AP1338" s="55">
        <f>H1338*(1-0)</f>
        <v>0</v>
      </c>
      <c r="AQ1338" s="58" t="s">
        <v>130</v>
      </c>
      <c r="AV1338" s="55">
        <f>AW1338+AX1338</f>
        <v>0</v>
      </c>
      <c r="AW1338" s="55">
        <f>G1338*AO1338</f>
        <v>0</v>
      </c>
      <c r="AX1338" s="55">
        <f>G1338*AP1338</f>
        <v>0</v>
      </c>
      <c r="AY1338" s="58" t="s">
        <v>2534</v>
      </c>
      <c r="AZ1338" s="58" t="s">
        <v>2344</v>
      </c>
      <c r="BA1338" s="34" t="s">
        <v>128</v>
      </c>
      <c r="BB1338" s="67">
        <v>100025</v>
      </c>
      <c r="BC1338" s="55">
        <f>AW1338+AX1338</f>
        <v>0</v>
      </c>
      <c r="BD1338" s="55">
        <f>H1338/(100-BE1338)*100</f>
        <v>0</v>
      </c>
      <c r="BE1338" s="55">
        <v>0</v>
      </c>
      <c r="BF1338" s="55">
        <f>K1338</f>
        <v>0</v>
      </c>
      <c r="BH1338" s="55">
        <f>G1338*AO1338</f>
        <v>0</v>
      </c>
      <c r="BI1338" s="55">
        <f>G1338*AP1338</f>
        <v>0</v>
      </c>
      <c r="BJ1338" s="55">
        <f>G1338*H1338</f>
        <v>0</v>
      </c>
      <c r="BK1338" s="55"/>
      <c r="BL1338" s="55"/>
      <c r="BW1338" s="55">
        <v>21</v>
      </c>
    </row>
    <row r="1339" spans="1:12" ht="14.4">
      <c r="A1339" s="59"/>
      <c r="D1339" s="60" t="s">
        <v>120</v>
      </c>
      <c r="E1339" s="60" t="s">
        <v>4</v>
      </c>
      <c r="G1339" s="68">
        <v>1</v>
      </c>
      <c r="L1339" s="69"/>
    </row>
    <row r="1340" spans="1:75" ht="13.5" customHeight="1">
      <c r="A1340" s="1" t="s">
        <v>2535</v>
      </c>
      <c r="B1340" s="2" t="s">
        <v>116</v>
      </c>
      <c r="C1340" s="2" t="s">
        <v>2536</v>
      </c>
      <c r="D1340" s="147" t="s">
        <v>2537</v>
      </c>
      <c r="E1340" s="148"/>
      <c r="F1340" s="2" t="s">
        <v>400</v>
      </c>
      <c r="G1340" s="55">
        <f>'Stavební rozpočet-vyplnit'!G1340</f>
        <v>1</v>
      </c>
      <c r="H1340" s="55">
        <f>'Stavební rozpočet-vyplnit'!H1340</f>
        <v>0</v>
      </c>
      <c r="I1340" s="55">
        <f>G1340*H1340</f>
        <v>0</v>
      </c>
      <c r="J1340" s="55">
        <f>'Stavební rozpočet-vyplnit'!J1340</f>
        <v>0</v>
      </c>
      <c r="K1340" s="55">
        <f>G1340*J1340</f>
        <v>0</v>
      </c>
      <c r="L1340" s="57" t="s">
        <v>124</v>
      </c>
      <c r="Z1340" s="55">
        <f>IF(AQ1340="5",BJ1340,0)</f>
        <v>0</v>
      </c>
      <c r="AB1340" s="55">
        <f>IF(AQ1340="1",BH1340,0)</f>
        <v>0</v>
      </c>
      <c r="AC1340" s="55">
        <f>IF(AQ1340="1",BI1340,0)</f>
        <v>0</v>
      </c>
      <c r="AD1340" s="55">
        <f>IF(AQ1340="7",BH1340,0)</f>
        <v>0</v>
      </c>
      <c r="AE1340" s="55">
        <f>IF(AQ1340="7",BI1340,0)</f>
        <v>0</v>
      </c>
      <c r="AF1340" s="55">
        <f>IF(AQ1340="2",BH1340,0)</f>
        <v>0</v>
      </c>
      <c r="AG1340" s="55">
        <f>IF(AQ1340="2",BI1340,0)</f>
        <v>0</v>
      </c>
      <c r="AH1340" s="55">
        <f>IF(AQ1340="0",BJ1340,0)</f>
        <v>0</v>
      </c>
      <c r="AI1340" s="34" t="s">
        <v>116</v>
      </c>
      <c r="AJ1340" s="55">
        <f>IF(AN1340=0,I1340,0)</f>
        <v>0</v>
      </c>
      <c r="AK1340" s="55">
        <f>IF(AN1340=12,I1340,0)</f>
        <v>0</v>
      </c>
      <c r="AL1340" s="55">
        <f>IF(AN1340=21,I1340,0)</f>
        <v>0</v>
      </c>
      <c r="AN1340" s="55">
        <v>21</v>
      </c>
      <c r="AO1340" s="55">
        <f>H1340*0</f>
        <v>0</v>
      </c>
      <c r="AP1340" s="55">
        <f>H1340*(1-0)</f>
        <v>0</v>
      </c>
      <c r="AQ1340" s="58" t="s">
        <v>120</v>
      </c>
      <c r="AV1340" s="55">
        <f>AW1340+AX1340</f>
        <v>0</v>
      </c>
      <c r="AW1340" s="55">
        <f>G1340*AO1340</f>
        <v>0</v>
      </c>
      <c r="AX1340" s="55">
        <f>G1340*AP1340</f>
        <v>0</v>
      </c>
      <c r="AY1340" s="58" t="s">
        <v>2534</v>
      </c>
      <c r="AZ1340" s="58" t="s">
        <v>2344</v>
      </c>
      <c r="BA1340" s="34" t="s">
        <v>128</v>
      </c>
      <c r="BB1340" s="67">
        <v>100025</v>
      </c>
      <c r="BC1340" s="55">
        <f>AW1340+AX1340</f>
        <v>0</v>
      </c>
      <c r="BD1340" s="55">
        <f>H1340/(100-BE1340)*100</f>
        <v>0</v>
      </c>
      <c r="BE1340" s="55">
        <v>0</v>
      </c>
      <c r="BF1340" s="55">
        <f>K1340</f>
        <v>0</v>
      </c>
      <c r="BH1340" s="55">
        <f>G1340*AO1340</f>
        <v>0</v>
      </c>
      <c r="BI1340" s="55">
        <f>G1340*AP1340</f>
        <v>0</v>
      </c>
      <c r="BJ1340" s="55">
        <f>G1340*H1340</f>
        <v>0</v>
      </c>
      <c r="BK1340" s="55"/>
      <c r="BL1340" s="55"/>
      <c r="BW1340" s="55">
        <v>21</v>
      </c>
    </row>
    <row r="1341" spans="1:12" ht="14.4">
      <c r="A1341" s="59"/>
      <c r="D1341" s="60" t="s">
        <v>120</v>
      </c>
      <c r="E1341" s="60" t="s">
        <v>4</v>
      </c>
      <c r="G1341" s="68">
        <v>1</v>
      </c>
      <c r="L1341" s="69"/>
    </row>
    <row r="1342" spans="1:75" ht="13.5" customHeight="1">
      <c r="A1342" s="1" t="s">
        <v>2538</v>
      </c>
      <c r="B1342" s="2" t="s">
        <v>116</v>
      </c>
      <c r="C1342" s="2" t="s">
        <v>2539</v>
      </c>
      <c r="D1342" s="147" t="s">
        <v>2540</v>
      </c>
      <c r="E1342" s="148"/>
      <c r="F1342" s="2" t="s">
        <v>729</v>
      </c>
      <c r="G1342" s="55">
        <f>'Stavební rozpočet-vyplnit'!G1342</f>
        <v>14.7</v>
      </c>
      <c r="H1342" s="55">
        <f>'Stavební rozpočet-vyplnit'!H1342</f>
        <v>0</v>
      </c>
      <c r="I1342" s="55">
        <f>G1342*H1342</f>
        <v>0</v>
      </c>
      <c r="J1342" s="55">
        <f>'Stavební rozpočet-vyplnit'!J1342</f>
        <v>0</v>
      </c>
      <c r="K1342" s="55">
        <f>G1342*J1342</f>
        <v>0</v>
      </c>
      <c r="L1342" s="57" t="s">
        <v>124</v>
      </c>
      <c r="Z1342" s="55">
        <f>IF(AQ1342="5",BJ1342,0)</f>
        <v>0</v>
      </c>
      <c r="AB1342" s="55">
        <f>IF(AQ1342="1",BH1342,0)</f>
        <v>0</v>
      </c>
      <c r="AC1342" s="55">
        <f>IF(AQ1342="1",BI1342,0)</f>
        <v>0</v>
      </c>
      <c r="AD1342" s="55">
        <f>IF(AQ1342="7",BH1342,0)</f>
        <v>0</v>
      </c>
      <c r="AE1342" s="55">
        <f>IF(AQ1342="7",BI1342,0)</f>
        <v>0</v>
      </c>
      <c r="AF1342" s="55">
        <f>IF(AQ1342="2",BH1342,0)</f>
        <v>0</v>
      </c>
      <c r="AG1342" s="55">
        <f>IF(AQ1342="2",BI1342,0)</f>
        <v>0</v>
      </c>
      <c r="AH1342" s="55">
        <f>IF(AQ1342="0",BJ1342,0)</f>
        <v>0</v>
      </c>
      <c r="AI1342" s="34" t="s">
        <v>116</v>
      </c>
      <c r="AJ1342" s="55">
        <f>IF(AN1342=0,I1342,0)</f>
        <v>0</v>
      </c>
      <c r="AK1342" s="55">
        <f>IF(AN1342=12,I1342,0)</f>
        <v>0</v>
      </c>
      <c r="AL1342" s="55">
        <f>IF(AN1342=21,I1342,0)</f>
        <v>0</v>
      </c>
      <c r="AN1342" s="55">
        <v>21</v>
      </c>
      <c r="AO1342" s="55">
        <f>H1342*0</f>
        <v>0</v>
      </c>
      <c r="AP1342" s="55">
        <f>H1342*(1-0)</f>
        <v>0</v>
      </c>
      <c r="AQ1342" s="58" t="s">
        <v>130</v>
      </c>
      <c r="AV1342" s="55">
        <f>AW1342+AX1342</f>
        <v>0</v>
      </c>
      <c r="AW1342" s="55">
        <f>G1342*AO1342</f>
        <v>0</v>
      </c>
      <c r="AX1342" s="55">
        <f>G1342*AP1342</f>
        <v>0</v>
      </c>
      <c r="AY1342" s="58" t="s">
        <v>2534</v>
      </c>
      <c r="AZ1342" s="58" t="s">
        <v>2344</v>
      </c>
      <c r="BA1342" s="34" t="s">
        <v>128</v>
      </c>
      <c r="BB1342" s="67">
        <v>100025</v>
      </c>
      <c r="BC1342" s="55">
        <f>AW1342+AX1342</f>
        <v>0</v>
      </c>
      <c r="BD1342" s="55">
        <f>H1342/(100-BE1342)*100</f>
        <v>0</v>
      </c>
      <c r="BE1342" s="55">
        <v>0</v>
      </c>
      <c r="BF1342" s="55">
        <f>K1342</f>
        <v>0</v>
      </c>
      <c r="BH1342" s="55">
        <f>G1342*AO1342</f>
        <v>0</v>
      </c>
      <c r="BI1342" s="55">
        <f>G1342*AP1342</f>
        <v>0</v>
      </c>
      <c r="BJ1342" s="55">
        <f>G1342*H1342</f>
        <v>0</v>
      </c>
      <c r="BK1342" s="55"/>
      <c r="BL1342" s="55"/>
      <c r="BW1342" s="55">
        <v>21</v>
      </c>
    </row>
    <row r="1343" spans="1:12" ht="14.4">
      <c r="A1343" s="59"/>
      <c r="D1343" s="60" t="s">
        <v>2541</v>
      </c>
      <c r="E1343" s="60" t="s">
        <v>4</v>
      </c>
      <c r="G1343" s="68">
        <v>14.7</v>
      </c>
      <c r="L1343" s="69"/>
    </row>
    <row r="1344" spans="1:75" ht="13.5" customHeight="1">
      <c r="A1344" s="61" t="s">
        <v>2542</v>
      </c>
      <c r="B1344" s="62" t="s">
        <v>116</v>
      </c>
      <c r="C1344" s="62" t="s">
        <v>2543</v>
      </c>
      <c r="D1344" s="224" t="s">
        <v>2544</v>
      </c>
      <c r="E1344" s="225"/>
      <c r="F1344" s="62" t="s">
        <v>939</v>
      </c>
      <c r="G1344" s="63">
        <f>'Stavební rozpočet-vyplnit'!G1344</f>
        <v>0.05</v>
      </c>
      <c r="H1344" s="63">
        <f>'Stavební rozpočet-vyplnit'!H1344</f>
        <v>0</v>
      </c>
      <c r="I1344" s="63">
        <f>G1344*H1344</f>
        <v>0</v>
      </c>
      <c r="J1344" s="63">
        <f>'Stavební rozpočet-vyplnit'!J1344</f>
        <v>1</v>
      </c>
      <c r="K1344" s="63">
        <f>G1344*J1344</f>
        <v>0.05</v>
      </c>
      <c r="L1344" s="65" t="s">
        <v>785</v>
      </c>
      <c r="Z1344" s="55">
        <f>IF(AQ1344="5",BJ1344,0)</f>
        <v>0</v>
      </c>
      <c r="AB1344" s="55">
        <f>IF(AQ1344="1",BH1344,0)</f>
        <v>0</v>
      </c>
      <c r="AC1344" s="55">
        <f>IF(AQ1344="1",BI1344,0)</f>
        <v>0</v>
      </c>
      <c r="AD1344" s="55">
        <f>IF(AQ1344="7",BH1344,0)</f>
        <v>0</v>
      </c>
      <c r="AE1344" s="55">
        <f>IF(AQ1344="7",BI1344,0)</f>
        <v>0</v>
      </c>
      <c r="AF1344" s="55">
        <f>IF(AQ1344="2",BH1344,0)</f>
        <v>0</v>
      </c>
      <c r="AG1344" s="55">
        <f>IF(AQ1344="2",BI1344,0)</f>
        <v>0</v>
      </c>
      <c r="AH1344" s="55">
        <f>IF(AQ1344="0",BJ1344,0)</f>
        <v>0</v>
      </c>
      <c r="AI1344" s="34" t="s">
        <v>116</v>
      </c>
      <c r="AJ1344" s="63">
        <f>IF(AN1344=0,I1344,0)</f>
        <v>0</v>
      </c>
      <c r="AK1344" s="63">
        <f>IF(AN1344=12,I1344,0)</f>
        <v>0</v>
      </c>
      <c r="AL1344" s="63">
        <f>IF(AN1344=21,I1344,0)</f>
        <v>0</v>
      </c>
      <c r="AN1344" s="55">
        <v>21</v>
      </c>
      <c r="AO1344" s="55">
        <f>H1344*1</f>
        <v>0</v>
      </c>
      <c r="AP1344" s="55">
        <f>H1344*(1-1)</f>
        <v>0</v>
      </c>
      <c r="AQ1344" s="66" t="s">
        <v>120</v>
      </c>
      <c r="AV1344" s="55">
        <f>AW1344+AX1344</f>
        <v>0</v>
      </c>
      <c r="AW1344" s="55">
        <f>G1344*AO1344</f>
        <v>0</v>
      </c>
      <c r="AX1344" s="55">
        <f>G1344*AP1344</f>
        <v>0</v>
      </c>
      <c r="AY1344" s="58" t="s">
        <v>2534</v>
      </c>
      <c r="AZ1344" s="58" t="s">
        <v>2344</v>
      </c>
      <c r="BA1344" s="34" t="s">
        <v>128</v>
      </c>
      <c r="BC1344" s="55">
        <f>AW1344+AX1344</f>
        <v>0</v>
      </c>
      <c r="BD1344" s="55">
        <f>H1344/(100-BE1344)*100</f>
        <v>0</v>
      </c>
      <c r="BE1344" s="55">
        <v>0</v>
      </c>
      <c r="BF1344" s="55">
        <f>K1344</f>
        <v>0.05</v>
      </c>
      <c r="BH1344" s="63">
        <f>G1344*AO1344</f>
        <v>0</v>
      </c>
      <c r="BI1344" s="63">
        <f>G1344*AP1344</f>
        <v>0</v>
      </c>
      <c r="BJ1344" s="63">
        <f>G1344*H1344</f>
        <v>0</v>
      </c>
      <c r="BK1344" s="63"/>
      <c r="BL1344" s="55"/>
      <c r="BW1344" s="55">
        <v>21</v>
      </c>
    </row>
    <row r="1345" spans="1:12" ht="14.4">
      <c r="A1345" s="59"/>
      <c r="D1345" s="60" t="s">
        <v>2545</v>
      </c>
      <c r="E1345" s="60" t="s">
        <v>4</v>
      </c>
      <c r="G1345" s="68">
        <v>0.05</v>
      </c>
      <c r="L1345" s="69"/>
    </row>
    <row r="1346" spans="1:75" ht="27" customHeight="1">
      <c r="A1346" s="1" t="s">
        <v>2546</v>
      </c>
      <c r="B1346" s="2" t="s">
        <v>116</v>
      </c>
      <c r="C1346" s="2" t="s">
        <v>2547</v>
      </c>
      <c r="D1346" s="147" t="s">
        <v>2548</v>
      </c>
      <c r="E1346" s="148"/>
      <c r="F1346" s="2" t="s">
        <v>1731</v>
      </c>
      <c r="G1346" s="55">
        <f>'Stavební rozpočet-vyplnit'!G1346</f>
        <v>1863.2</v>
      </c>
      <c r="H1346" s="55">
        <f>'Stavební rozpočet-vyplnit'!H1346</f>
        <v>0</v>
      </c>
      <c r="I1346" s="55">
        <f>G1346*H1346</f>
        <v>0</v>
      </c>
      <c r="J1346" s="55">
        <f>'Stavební rozpočet-vyplnit'!J1346</f>
        <v>0</v>
      </c>
      <c r="K1346" s="55">
        <f>G1346*J1346</f>
        <v>0</v>
      </c>
      <c r="L1346" s="57" t="s">
        <v>124</v>
      </c>
      <c r="Z1346" s="55">
        <f>IF(AQ1346="5",BJ1346,0)</f>
        <v>0</v>
      </c>
      <c r="AB1346" s="55">
        <f>IF(AQ1346="1",BH1346,0)</f>
        <v>0</v>
      </c>
      <c r="AC1346" s="55">
        <f>IF(AQ1346="1",BI1346,0)</f>
        <v>0</v>
      </c>
      <c r="AD1346" s="55">
        <f>IF(AQ1346="7",BH1346,0)</f>
        <v>0</v>
      </c>
      <c r="AE1346" s="55">
        <f>IF(AQ1346="7",BI1346,0)</f>
        <v>0</v>
      </c>
      <c r="AF1346" s="55">
        <f>IF(AQ1346="2",BH1346,0)</f>
        <v>0</v>
      </c>
      <c r="AG1346" s="55">
        <f>IF(AQ1346="2",BI1346,0)</f>
        <v>0</v>
      </c>
      <c r="AH1346" s="55">
        <f>IF(AQ1346="0",BJ1346,0)</f>
        <v>0</v>
      </c>
      <c r="AI1346" s="34" t="s">
        <v>116</v>
      </c>
      <c r="AJ1346" s="55">
        <f>IF(AN1346=0,I1346,0)</f>
        <v>0</v>
      </c>
      <c r="AK1346" s="55">
        <f>IF(AN1346=12,I1346,0)</f>
        <v>0</v>
      </c>
      <c r="AL1346" s="55">
        <f>IF(AN1346=21,I1346,0)</f>
        <v>0</v>
      </c>
      <c r="AN1346" s="55">
        <v>21</v>
      </c>
      <c r="AO1346" s="55">
        <f>H1346*0.581081081</f>
        <v>0</v>
      </c>
      <c r="AP1346" s="55">
        <f>H1346*(1-0.581081081)</f>
        <v>0</v>
      </c>
      <c r="AQ1346" s="58" t="s">
        <v>130</v>
      </c>
      <c r="AV1346" s="55">
        <f>AW1346+AX1346</f>
        <v>0</v>
      </c>
      <c r="AW1346" s="55">
        <f>G1346*AO1346</f>
        <v>0</v>
      </c>
      <c r="AX1346" s="55">
        <f>G1346*AP1346</f>
        <v>0</v>
      </c>
      <c r="AY1346" s="58" t="s">
        <v>2534</v>
      </c>
      <c r="AZ1346" s="58" t="s">
        <v>2344</v>
      </c>
      <c r="BA1346" s="34" t="s">
        <v>128</v>
      </c>
      <c r="BB1346" s="67">
        <v>100025</v>
      </c>
      <c r="BC1346" s="55">
        <f>AW1346+AX1346</f>
        <v>0</v>
      </c>
      <c r="BD1346" s="55">
        <f>H1346/(100-BE1346)*100</f>
        <v>0</v>
      </c>
      <c r="BE1346" s="55">
        <v>0</v>
      </c>
      <c r="BF1346" s="55">
        <f>K1346</f>
        <v>0</v>
      </c>
      <c r="BH1346" s="55">
        <f>G1346*AO1346</f>
        <v>0</v>
      </c>
      <c r="BI1346" s="55">
        <f>G1346*AP1346</f>
        <v>0</v>
      </c>
      <c r="BJ1346" s="55">
        <f>G1346*H1346</f>
        <v>0</v>
      </c>
      <c r="BK1346" s="55"/>
      <c r="BL1346" s="55"/>
      <c r="BW1346" s="55">
        <v>21</v>
      </c>
    </row>
    <row r="1347" spans="1:12" ht="54" customHeight="1">
      <c r="A1347" s="59"/>
      <c r="D1347" s="218" t="s">
        <v>2549</v>
      </c>
      <c r="E1347" s="219"/>
      <c r="F1347" s="219"/>
      <c r="G1347" s="219"/>
      <c r="H1347" s="219"/>
      <c r="I1347" s="219"/>
      <c r="J1347" s="219"/>
      <c r="K1347" s="219"/>
      <c r="L1347" s="221"/>
    </row>
    <row r="1348" spans="1:12" ht="14.4">
      <c r="A1348" s="59"/>
      <c r="D1348" s="60" t="s">
        <v>2550</v>
      </c>
      <c r="E1348" s="60" t="s">
        <v>4</v>
      </c>
      <c r="G1348" s="68">
        <v>1863.2</v>
      </c>
      <c r="L1348" s="69"/>
    </row>
    <row r="1349" spans="1:75" ht="13.5" customHeight="1">
      <c r="A1349" s="1" t="s">
        <v>2551</v>
      </c>
      <c r="B1349" s="2" t="s">
        <v>116</v>
      </c>
      <c r="C1349" s="2" t="s">
        <v>2552</v>
      </c>
      <c r="D1349" s="147" t="s">
        <v>2553</v>
      </c>
      <c r="E1349" s="148"/>
      <c r="F1349" s="2" t="s">
        <v>1731</v>
      </c>
      <c r="G1349" s="55">
        <f>'Stavební rozpočet-vyplnit'!G1349</f>
        <v>983.24</v>
      </c>
      <c r="H1349" s="55">
        <f>'Stavební rozpočet-vyplnit'!H1349</f>
        <v>0</v>
      </c>
      <c r="I1349" s="55">
        <f>G1349*H1349</f>
        <v>0</v>
      </c>
      <c r="J1349" s="55">
        <f>'Stavební rozpočet-vyplnit'!J1349</f>
        <v>0</v>
      </c>
      <c r="K1349" s="55">
        <f>G1349*J1349</f>
        <v>0</v>
      </c>
      <c r="L1349" s="57" t="s">
        <v>124</v>
      </c>
      <c r="Z1349" s="55">
        <f>IF(AQ1349="5",BJ1349,0)</f>
        <v>0</v>
      </c>
      <c r="AB1349" s="55">
        <f>IF(AQ1349="1",BH1349,0)</f>
        <v>0</v>
      </c>
      <c r="AC1349" s="55">
        <f>IF(AQ1349="1",BI1349,0)</f>
        <v>0</v>
      </c>
      <c r="AD1349" s="55">
        <f>IF(AQ1349="7",BH1349,0)</f>
        <v>0</v>
      </c>
      <c r="AE1349" s="55">
        <f>IF(AQ1349="7",BI1349,0)</f>
        <v>0</v>
      </c>
      <c r="AF1349" s="55">
        <f>IF(AQ1349="2",BH1349,0)</f>
        <v>0</v>
      </c>
      <c r="AG1349" s="55">
        <f>IF(AQ1349="2",BI1349,0)</f>
        <v>0</v>
      </c>
      <c r="AH1349" s="55">
        <f>IF(AQ1349="0",BJ1349,0)</f>
        <v>0</v>
      </c>
      <c r="AI1349" s="34" t="s">
        <v>116</v>
      </c>
      <c r="AJ1349" s="55">
        <f>IF(AN1349=0,I1349,0)</f>
        <v>0</v>
      </c>
      <c r="AK1349" s="55">
        <f>IF(AN1349=12,I1349,0)</f>
        <v>0</v>
      </c>
      <c r="AL1349" s="55">
        <f>IF(AN1349=21,I1349,0)</f>
        <v>0</v>
      </c>
      <c r="AN1349" s="55">
        <v>21</v>
      </c>
      <c r="AO1349" s="55">
        <f>H1349*0.036981592</f>
        <v>0</v>
      </c>
      <c r="AP1349" s="55">
        <f>H1349*(1-0.036981592)</f>
        <v>0</v>
      </c>
      <c r="AQ1349" s="58" t="s">
        <v>130</v>
      </c>
      <c r="AV1349" s="55">
        <f>AW1349+AX1349</f>
        <v>0</v>
      </c>
      <c r="AW1349" s="55">
        <f>G1349*AO1349</f>
        <v>0</v>
      </c>
      <c r="AX1349" s="55">
        <f>G1349*AP1349</f>
        <v>0</v>
      </c>
      <c r="AY1349" s="58" t="s">
        <v>2534</v>
      </c>
      <c r="AZ1349" s="58" t="s">
        <v>2344</v>
      </c>
      <c r="BA1349" s="34" t="s">
        <v>128</v>
      </c>
      <c r="BB1349" s="67">
        <v>100025</v>
      </c>
      <c r="BC1349" s="55">
        <f>AW1349+AX1349</f>
        <v>0</v>
      </c>
      <c r="BD1349" s="55">
        <f>H1349/(100-BE1349)*100</f>
        <v>0</v>
      </c>
      <c r="BE1349" s="55">
        <v>0</v>
      </c>
      <c r="BF1349" s="55">
        <f>K1349</f>
        <v>0</v>
      </c>
      <c r="BH1349" s="55">
        <f>G1349*AO1349</f>
        <v>0</v>
      </c>
      <c r="BI1349" s="55">
        <f>G1349*AP1349</f>
        <v>0</v>
      </c>
      <c r="BJ1349" s="55">
        <f>G1349*H1349</f>
        <v>0</v>
      </c>
      <c r="BK1349" s="55"/>
      <c r="BL1349" s="55"/>
      <c r="BW1349" s="55">
        <v>21</v>
      </c>
    </row>
    <row r="1350" spans="1:12" ht="14.4">
      <c r="A1350" s="59"/>
      <c r="D1350" s="60" t="s">
        <v>2554</v>
      </c>
      <c r="E1350" s="60" t="s">
        <v>2555</v>
      </c>
      <c r="G1350" s="68">
        <v>983.24</v>
      </c>
      <c r="L1350" s="69"/>
    </row>
    <row r="1351" spans="1:75" ht="13.5" customHeight="1">
      <c r="A1351" s="1" t="s">
        <v>2556</v>
      </c>
      <c r="B1351" s="2" t="s">
        <v>116</v>
      </c>
      <c r="C1351" s="2" t="s">
        <v>2557</v>
      </c>
      <c r="D1351" s="147" t="s">
        <v>2558</v>
      </c>
      <c r="E1351" s="148"/>
      <c r="F1351" s="2" t="s">
        <v>1731</v>
      </c>
      <c r="G1351" s="55">
        <f>'Stavební rozpočet-vyplnit'!G1351</f>
        <v>2846.44</v>
      </c>
      <c r="H1351" s="55">
        <f>'Stavební rozpočet-vyplnit'!H1351</f>
        <v>0</v>
      </c>
      <c r="I1351" s="55">
        <f>G1351*H1351</f>
        <v>0</v>
      </c>
      <c r="J1351" s="55">
        <f>'Stavební rozpočet-vyplnit'!J1351</f>
        <v>0</v>
      </c>
      <c r="K1351" s="55">
        <f>G1351*J1351</f>
        <v>0</v>
      </c>
      <c r="L1351" s="57" t="s">
        <v>124</v>
      </c>
      <c r="Z1351" s="55">
        <f>IF(AQ1351="5",BJ1351,0)</f>
        <v>0</v>
      </c>
      <c r="AB1351" s="55">
        <f>IF(AQ1351="1",BH1351,0)</f>
        <v>0</v>
      </c>
      <c r="AC1351" s="55">
        <f>IF(AQ1351="1",BI1351,0)</f>
        <v>0</v>
      </c>
      <c r="AD1351" s="55">
        <f>IF(AQ1351="7",BH1351,0)</f>
        <v>0</v>
      </c>
      <c r="AE1351" s="55">
        <f>IF(AQ1351="7",BI1351,0)</f>
        <v>0</v>
      </c>
      <c r="AF1351" s="55">
        <f>IF(AQ1351="2",BH1351,0)</f>
        <v>0</v>
      </c>
      <c r="AG1351" s="55">
        <f>IF(AQ1351="2",BI1351,0)</f>
        <v>0</v>
      </c>
      <c r="AH1351" s="55">
        <f>IF(AQ1351="0",BJ1351,0)</f>
        <v>0</v>
      </c>
      <c r="AI1351" s="34" t="s">
        <v>116</v>
      </c>
      <c r="AJ1351" s="55">
        <f>IF(AN1351=0,I1351,0)</f>
        <v>0</v>
      </c>
      <c r="AK1351" s="55">
        <f>IF(AN1351=12,I1351,0)</f>
        <v>0</v>
      </c>
      <c r="AL1351" s="55">
        <f>IF(AN1351=21,I1351,0)</f>
        <v>0</v>
      </c>
      <c r="AN1351" s="55">
        <v>21</v>
      </c>
      <c r="AO1351" s="55">
        <f>H1351*0.036981486</f>
        <v>0</v>
      </c>
      <c r="AP1351" s="55">
        <f>H1351*(1-0.036981486)</f>
        <v>0</v>
      </c>
      <c r="AQ1351" s="58" t="s">
        <v>130</v>
      </c>
      <c r="AV1351" s="55">
        <f>AW1351+AX1351</f>
        <v>0</v>
      </c>
      <c r="AW1351" s="55">
        <f>G1351*AO1351</f>
        <v>0</v>
      </c>
      <c r="AX1351" s="55">
        <f>G1351*AP1351</f>
        <v>0</v>
      </c>
      <c r="AY1351" s="58" t="s">
        <v>2534</v>
      </c>
      <c r="AZ1351" s="58" t="s">
        <v>2344</v>
      </c>
      <c r="BA1351" s="34" t="s">
        <v>128</v>
      </c>
      <c r="BB1351" s="67">
        <v>100025</v>
      </c>
      <c r="BC1351" s="55">
        <f>AW1351+AX1351</f>
        <v>0</v>
      </c>
      <c r="BD1351" s="55">
        <f>H1351/(100-BE1351)*100</f>
        <v>0</v>
      </c>
      <c r="BE1351" s="55">
        <v>0</v>
      </c>
      <c r="BF1351" s="55">
        <f>K1351</f>
        <v>0</v>
      </c>
      <c r="BH1351" s="55">
        <f>G1351*AO1351</f>
        <v>0</v>
      </c>
      <c r="BI1351" s="55">
        <f>G1351*AP1351</f>
        <v>0</v>
      </c>
      <c r="BJ1351" s="55">
        <f>G1351*H1351</f>
        <v>0</v>
      </c>
      <c r="BK1351" s="55"/>
      <c r="BL1351" s="55"/>
      <c r="BW1351" s="55">
        <v>21</v>
      </c>
    </row>
    <row r="1352" spans="1:12" ht="13.5" customHeight="1">
      <c r="A1352" s="59"/>
      <c r="D1352" s="218" t="s">
        <v>2559</v>
      </c>
      <c r="E1352" s="219"/>
      <c r="F1352" s="219"/>
      <c r="G1352" s="219"/>
      <c r="H1352" s="219"/>
      <c r="I1352" s="219"/>
      <c r="J1352" s="219"/>
      <c r="K1352" s="219"/>
      <c r="L1352" s="221"/>
    </row>
    <row r="1353" spans="1:12" ht="14.4">
      <c r="A1353" s="59"/>
      <c r="D1353" s="60" t="s">
        <v>2560</v>
      </c>
      <c r="E1353" s="60" t="s">
        <v>2561</v>
      </c>
      <c r="G1353" s="68">
        <v>1863.2</v>
      </c>
      <c r="L1353" s="69"/>
    </row>
    <row r="1354" spans="1:12" ht="14.4">
      <c r="A1354" s="59"/>
      <c r="D1354" s="60" t="s">
        <v>2554</v>
      </c>
      <c r="E1354" s="60" t="s">
        <v>2555</v>
      </c>
      <c r="G1354" s="68">
        <v>983.24</v>
      </c>
      <c r="L1354" s="69"/>
    </row>
    <row r="1355" spans="1:75" ht="13.5" customHeight="1">
      <c r="A1355" s="1" t="s">
        <v>2562</v>
      </c>
      <c r="B1355" s="2" t="s">
        <v>116</v>
      </c>
      <c r="C1355" s="2" t="s">
        <v>2563</v>
      </c>
      <c r="D1355" s="147" t="s">
        <v>2564</v>
      </c>
      <c r="E1355" s="148"/>
      <c r="F1355" s="2" t="s">
        <v>1731</v>
      </c>
      <c r="G1355" s="55">
        <f>'Stavební rozpočet-vyplnit'!G1355</f>
        <v>800</v>
      </c>
      <c r="H1355" s="55">
        <f>'Stavební rozpočet-vyplnit'!H1355</f>
        <v>0</v>
      </c>
      <c r="I1355" s="55">
        <f>G1355*H1355</f>
        <v>0</v>
      </c>
      <c r="J1355" s="55">
        <f>'Stavební rozpočet-vyplnit'!J1355</f>
        <v>0</v>
      </c>
      <c r="K1355" s="55">
        <f>G1355*J1355</f>
        <v>0</v>
      </c>
      <c r="L1355" s="57" t="s">
        <v>124</v>
      </c>
      <c r="Z1355" s="55">
        <f>IF(AQ1355="5",BJ1355,0)</f>
        <v>0</v>
      </c>
      <c r="AB1355" s="55">
        <f>IF(AQ1355="1",BH1355,0)</f>
        <v>0</v>
      </c>
      <c r="AC1355" s="55">
        <f>IF(AQ1355="1",BI1355,0)</f>
        <v>0</v>
      </c>
      <c r="AD1355" s="55">
        <f>IF(AQ1355="7",BH1355,0)</f>
        <v>0</v>
      </c>
      <c r="AE1355" s="55">
        <f>IF(AQ1355="7",BI1355,0)</f>
        <v>0</v>
      </c>
      <c r="AF1355" s="55">
        <f>IF(AQ1355="2",BH1355,0)</f>
        <v>0</v>
      </c>
      <c r="AG1355" s="55">
        <f>IF(AQ1355="2",BI1355,0)</f>
        <v>0</v>
      </c>
      <c r="AH1355" s="55">
        <f>IF(AQ1355="0",BJ1355,0)</f>
        <v>0</v>
      </c>
      <c r="AI1355" s="34" t="s">
        <v>116</v>
      </c>
      <c r="AJ1355" s="55">
        <f>IF(AN1355=0,I1355,0)</f>
        <v>0</v>
      </c>
      <c r="AK1355" s="55">
        <f>IF(AN1355=12,I1355,0)</f>
        <v>0</v>
      </c>
      <c r="AL1355" s="55">
        <f>IF(AN1355=21,I1355,0)</f>
        <v>0</v>
      </c>
      <c r="AN1355" s="55">
        <v>21</v>
      </c>
      <c r="AO1355" s="55">
        <f>H1355*0.465517241</f>
        <v>0</v>
      </c>
      <c r="AP1355" s="55">
        <f>H1355*(1-0.465517241)</f>
        <v>0</v>
      </c>
      <c r="AQ1355" s="58" t="s">
        <v>130</v>
      </c>
      <c r="AV1355" s="55">
        <f>AW1355+AX1355</f>
        <v>0</v>
      </c>
      <c r="AW1355" s="55">
        <f>G1355*AO1355</f>
        <v>0</v>
      </c>
      <c r="AX1355" s="55">
        <f>G1355*AP1355</f>
        <v>0</v>
      </c>
      <c r="AY1355" s="58" t="s">
        <v>2534</v>
      </c>
      <c r="AZ1355" s="58" t="s">
        <v>2344</v>
      </c>
      <c r="BA1355" s="34" t="s">
        <v>128</v>
      </c>
      <c r="BB1355" s="67">
        <v>100025</v>
      </c>
      <c r="BC1355" s="55">
        <f>AW1355+AX1355</f>
        <v>0</v>
      </c>
      <c r="BD1355" s="55">
        <f>H1355/(100-BE1355)*100</f>
        <v>0</v>
      </c>
      <c r="BE1355" s="55">
        <v>0</v>
      </c>
      <c r="BF1355" s="55">
        <f>K1355</f>
        <v>0</v>
      </c>
      <c r="BH1355" s="55">
        <f>G1355*AO1355</f>
        <v>0</v>
      </c>
      <c r="BI1355" s="55">
        <f>G1355*AP1355</f>
        <v>0</v>
      </c>
      <c r="BJ1355" s="55">
        <f>G1355*H1355</f>
        <v>0</v>
      </c>
      <c r="BK1355" s="55"/>
      <c r="BL1355" s="55"/>
      <c r="BW1355" s="55">
        <v>21</v>
      </c>
    </row>
    <row r="1356" spans="1:12" ht="40.5" customHeight="1">
      <c r="A1356" s="59"/>
      <c r="D1356" s="218" t="s">
        <v>2565</v>
      </c>
      <c r="E1356" s="219"/>
      <c r="F1356" s="219"/>
      <c r="G1356" s="219"/>
      <c r="H1356" s="219"/>
      <c r="I1356" s="219"/>
      <c r="J1356" s="219"/>
      <c r="K1356" s="219"/>
      <c r="L1356" s="221"/>
    </row>
    <row r="1357" spans="1:12" ht="14.4">
      <c r="A1357" s="59"/>
      <c r="D1357" s="60" t="s">
        <v>2566</v>
      </c>
      <c r="E1357" s="60" t="s">
        <v>4</v>
      </c>
      <c r="G1357" s="68">
        <v>800</v>
      </c>
      <c r="L1357" s="69"/>
    </row>
    <row r="1358" spans="1:75" ht="13.5" customHeight="1">
      <c r="A1358" s="1" t="s">
        <v>2567</v>
      </c>
      <c r="B1358" s="2" t="s">
        <v>116</v>
      </c>
      <c r="C1358" s="2" t="s">
        <v>2568</v>
      </c>
      <c r="D1358" s="147" t="s">
        <v>2569</v>
      </c>
      <c r="E1358" s="148"/>
      <c r="F1358" s="2" t="s">
        <v>1731</v>
      </c>
      <c r="G1358" s="55">
        <f>'Stavební rozpočet-vyplnit'!G1358</f>
        <v>800</v>
      </c>
      <c r="H1358" s="55">
        <f>'Stavební rozpočet-vyplnit'!H1358</f>
        <v>0</v>
      </c>
      <c r="I1358" s="55">
        <f>G1358*H1358</f>
        <v>0</v>
      </c>
      <c r="J1358" s="55">
        <f>'Stavební rozpočet-vyplnit'!J1358</f>
        <v>0</v>
      </c>
      <c r="K1358" s="55">
        <f>G1358*J1358</f>
        <v>0</v>
      </c>
      <c r="L1358" s="57" t="s">
        <v>124</v>
      </c>
      <c r="Z1358" s="55">
        <f>IF(AQ1358="5",BJ1358,0)</f>
        <v>0</v>
      </c>
      <c r="AB1358" s="55">
        <f>IF(AQ1358="1",BH1358,0)</f>
        <v>0</v>
      </c>
      <c r="AC1358" s="55">
        <f>IF(AQ1358="1",BI1358,0)</f>
        <v>0</v>
      </c>
      <c r="AD1358" s="55">
        <f>IF(AQ1358="7",BH1358,0)</f>
        <v>0</v>
      </c>
      <c r="AE1358" s="55">
        <f>IF(AQ1358="7",BI1358,0)</f>
        <v>0</v>
      </c>
      <c r="AF1358" s="55">
        <f>IF(AQ1358="2",BH1358,0)</f>
        <v>0</v>
      </c>
      <c r="AG1358" s="55">
        <f>IF(AQ1358="2",BI1358,0)</f>
        <v>0</v>
      </c>
      <c r="AH1358" s="55">
        <f>IF(AQ1358="0",BJ1358,0)</f>
        <v>0</v>
      </c>
      <c r="AI1358" s="34" t="s">
        <v>116</v>
      </c>
      <c r="AJ1358" s="55">
        <f>IF(AN1358=0,I1358,0)</f>
        <v>0</v>
      </c>
      <c r="AK1358" s="55">
        <f>IF(AN1358=12,I1358,0)</f>
        <v>0</v>
      </c>
      <c r="AL1358" s="55">
        <f>IF(AN1358=21,I1358,0)</f>
        <v>0</v>
      </c>
      <c r="AN1358" s="55">
        <v>21</v>
      </c>
      <c r="AO1358" s="55">
        <f>H1358*0.036981509</f>
        <v>0</v>
      </c>
      <c r="AP1358" s="55">
        <f>H1358*(1-0.036981509)</f>
        <v>0</v>
      </c>
      <c r="AQ1358" s="58" t="s">
        <v>130</v>
      </c>
      <c r="AV1358" s="55">
        <f>AW1358+AX1358</f>
        <v>0</v>
      </c>
      <c r="AW1358" s="55">
        <f>G1358*AO1358</f>
        <v>0</v>
      </c>
      <c r="AX1358" s="55">
        <f>G1358*AP1358</f>
        <v>0</v>
      </c>
      <c r="AY1358" s="58" t="s">
        <v>2534</v>
      </c>
      <c r="AZ1358" s="58" t="s">
        <v>2344</v>
      </c>
      <c r="BA1358" s="34" t="s">
        <v>128</v>
      </c>
      <c r="BB1358" s="67">
        <v>100025</v>
      </c>
      <c r="BC1358" s="55">
        <f>AW1358+AX1358</f>
        <v>0</v>
      </c>
      <c r="BD1358" s="55">
        <f>H1358/(100-BE1358)*100</f>
        <v>0</v>
      </c>
      <c r="BE1358" s="55">
        <v>0</v>
      </c>
      <c r="BF1358" s="55">
        <f>K1358</f>
        <v>0</v>
      </c>
      <c r="BH1358" s="55">
        <f>G1358*AO1358</f>
        <v>0</v>
      </c>
      <c r="BI1358" s="55">
        <f>G1358*AP1358</f>
        <v>0</v>
      </c>
      <c r="BJ1358" s="55">
        <f>G1358*H1358</f>
        <v>0</v>
      </c>
      <c r="BK1358" s="55"/>
      <c r="BL1358" s="55"/>
      <c r="BW1358" s="55">
        <v>21</v>
      </c>
    </row>
    <row r="1359" spans="1:12" ht="13.5" customHeight="1">
      <c r="A1359" s="59"/>
      <c r="D1359" s="218" t="s">
        <v>2570</v>
      </c>
      <c r="E1359" s="219"/>
      <c r="F1359" s="219"/>
      <c r="G1359" s="219"/>
      <c r="H1359" s="219"/>
      <c r="I1359" s="219"/>
      <c r="J1359" s="219"/>
      <c r="K1359" s="219"/>
      <c r="L1359" s="221"/>
    </row>
    <row r="1360" spans="1:12" ht="14.4">
      <c r="A1360" s="59"/>
      <c r="D1360" s="60" t="s">
        <v>2566</v>
      </c>
      <c r="E1360" s="60" t="s">
        <v>4</v>
      </c>
      <c r="G1360" s="68">
        <v>800</v>
      </c>
      <c r="L1360" s="69"/>
    </row>
    <row r="1361" spans="1:47" ht="14.4">
      <c r="A1361" s="50" t="s">
        <v>4</v>
      </c>
      <c r="B1361" s="51" t="s">
        <v>116</v>
      </c>
      <c r="C1361" s="51" t="s">
        <v>2571</v>
      </c>
      <c r="D1361" s="222" t="s">
        <v>2572</v>
      </c>
      <c r="E1361" s="223"/>
      <c r="F1361" s="52" t="s">
        <v>79</v>
      </c>
      <c r="G1361" s="52" t="s">
        <v>79</v>
      </c>
      <c r="H1361" s="52" t="s">
        <v>79</v>
      </c>
      <c r="I1361" s="27">
        <f>SUM(I1362:I1388)</f>
        <v>0</v>
      </c>
      <c r="J1361" s="34" t="s">
        <v>4</v>
      </c>
      <c r="K1361" s="27">
        <f>SUM(K1362:K1388)</f>
        <v>0</v>
      </c>
      <c r="L1361" s="54" t="s">
        <v>4</v>
      </c>
      <c r="AI1361" s="34" t="s">
        <v>116</v>
      </c>
      <c r="AS1361" s="27">
        <f>SUM(AJ1362:AJ1388)</f>
        <v>0</v>
      </c>
      <c r="AT1361" s="27">
        <f>SUM(AK1362:AK1388)</f>
        <v>0</v>
      </c>
      <c r="AU1361" s="27">
        <f>SUM(AL1362:AL1388)</f>
        <v>0</v>
      </c>
    </row>
    <row r="1362" spans="1:75" ht="13.5" customHeight="1">
      <c r="A1362" s="1" t="s">
        <v>2573</v>
      </c>
      <c r="B1362" s="2" t="s">
        <v>116</v>
      </c>
      <c r="C1362" s="2" t="s">
        <v>2574</v>
      </c>
      <c r="D1362" s="147" t="s">
        <v>2575</v>
      </c>
      <c r="E1362" s="148"/>
      <c r="F1362" s="2" t="s">
        <v>939</v>
      </c>
      <c r="G1362" s="55">
        <f>'Stavební rozpočet-vyplnit'!G1362</f>
        <v>87.39</v>
      </c>
      <c r="H1362" s="55">
        <f>'Stavební rozpočet-vyplnit'!H1362</f>
        <v>0</v>
      </c>
      <c r="I1362" s="55">
        <f>G1362*H1362</f>
        <v>0</v>
      </c>
      <c r="J1362" s="55">
        <f>'Stavební rozpočet-vyplnit'!J1362</f>
        <v>0</v>
      </c>
      <c r="K1362" s="55">
        <f>G1362*J1362</f>
        <v>0</v>
      </c>
      <c r="L1362" s="57" t="s">
        <v>785</v>
      </c>
      <c r="Z1362" s="55">
        <f>IF(AQ1362="5",BJ1362,0)</f>
        <v>0</v>
      </c>
      <c r="AB1362" s="55">
        <f>IF(AQ1362="1",BH1362,0)</f>
        <v>0</v>
      </c>
      <c r="AC1362" s="55">
        <f>IF(AQ1362="1",BI1362,0)</f>
        <v>0</v>
      </c>
      <c r="AD1362" s="55">
        <f>IF(AQ1362="7",BH1362,0)</f>
        <v>0</v>
      </c>
      <c r="AE1362" s="55">
        <f>IF(AQ1362="7",BI1362,0)</f>
        <v>0</v>
      </c>
      <c r="AF1362" s="55">
        <f>IF(AQ1362="2",BH1362,0)</f>
        <v>0</v>
      </c>
      <c r="AG1362" s="55">
        <f>IF(AQ1362="2",BI1362,0)</f>
        <v>0</v>
      </c>
      <c r="AH1362" s="55">
        <f>IF(AQ1362="0",BJ1362,0)</f>
        <v>0</v>
      </c>
      <c r="AI1362" s="34" t="s">
        <v>116</v>
      </c>
      <c r="AJ1362" s="55">
        <f>IF(AN1362=0,I1362,0)</f>
        <v>0</v>
      </c>
      <c r="AK1362" s="55">
        <f>IF(AN1362=12,I1362,0)</f>
        <v>0</v>
      </c>
      <c r="AL1362" s="55">
        <f>IF(AN1362=21,I1362,0)</f>
        <v>0</v>
      </c>
      <c r="AN1362" s="55">
        <v>21</v>
      </c>
      <c r="AO1362" s="55">
        <f>H1362*0</f>
        <v>0</v>
      </c>
      <c r="AP1362" s="55">
        <f>H1362*(1-0)</f>
        <v>0</v>
      </c>
      <c r="AQ1362" s="58" t="s">
        <v>139</v>
      </c>
      <c r="AV1362" s="55">
        <f>AW1362+AX1362</f>
        <v>0</v>
      </c>
      <c r="AW1362" s="55">
        <f>G1362*AO1362</f>
        <v>0</v>
      </c>
      <c r="AX1362" s="55">
        <f>G1362*AP1362</f>
        <v>0</v>
      </c>
      <c r="AY1362" s="58" t="s">
        <v>2576</v>
      </c>
      <c r="AZ1362" s="58" t="s">
        <v>2344</v>
      </c>
      <c r="BA1362" s="34" t="s">
        <v>128</v>
      </c>
      <c r="BC1362" s="55">
        <f>AW1362+AX1362</f>
        <v>0</v>
      </c>
      <c r="BD1362" s="55">
        <f>H1362/(100-BE1362)*100</f>
        <v>0</v>
      </c>
      <c r="BE1362" s="55">
        <v>0</v>
      </c>
      <c r="BF1362" s="55">
        <f>K1362</f>
        <v>0</v>
      </c>
      <c r="BH1362" s="55">
        <f>G1362*AO1362</f>
        <v>0</v>
      </c>
      <c r="BI1362" s="55">
        <f>G1362*AP1362</f>
        <v>0</v>
      </c>
      <c r="BJ1362" s="55">
        <f>G1362*H1362</f>
        <v>0</v>
      </c>
      <c r="BK1362" s="55"/>
      <c r="BL1362" s="55"/>
      <c r="BW1362" s="55">
        <v>21</v>
      </c>
    </row>
    <row r="1363" spans="1:12" ht="14.4">
      <c r="A1363" s="59"/>
      <c r="D1363" s="60" t="s">
        <v>2577</v>
      </c>
      <c r="E1363" s="60" t="s">
        <v>4</v>
      </c>
      <c r="G1363" s="68">
        <v>87.39</v>
      </c>
      <c r="L1363" s="69"/>
    </row>
    <row r="1364" spans="1:75" ht="13.5" customHeight="1">
      <c r="A1364" s="1" t="s">
        <v>2578</v>
      </c>
      <c r="B1364" s="2" t="s">
        <v>116</v>
      </c>
      <c r="C1364" s="2" t="s">
        <v>2579</v>
      </c>
      <c r="D1364" s="147" t="s">
        <v>2580</v>
      </c>
      <c r="E1364" s="148"/>
      <c r="F1364" s="2" t="s">
        <v>374</v>
      </c>
      <c r="G1364" s="55">
        <f>'Stavební rozpočet-vyplnit'!G1364</f>
        <v>2</v>
      </c>
      <c r="H1364" s="55">
        <f>'Stavební rozpočet-vyplnit'!H1364</f>
        <v>0</v>
      </c>
      <c r="I1364" s="55">
        <f>G1364*H1364</f>
        <v>0</v>
      </c>
      <c r="J1364" s="55">
        <f>'Stavební rozpočet-vyplnit'!J1364</f>
        <v>0</v>
      </c>
      <c r="K1364" s="55">
        <f>G1364*J1364</f>
        <v>0</v>
      </c>
      <c r="L1364" s="57" t="s">
        <v>785</v>
      </c>
      <c r="Z1364" s="55">
        <f>IF(AQ1364="5",BJ1364,0)</f>
        <v>0</v>
      </c>
      <c r="AB1364" s="55">
        <f>IF(AQ1364="1",BH1364,0)</f>
        <v>0</v>
      </c>
      <c r="AC1364" s="55">
        <f>IF(AQ1364="1",BI1364,0)</f>
        <v>0</v>
      </c>
      <c r="AD1364" s="55">
        <f>IF(AQ1364="7",BH1364,0)</f>
        <v>0</v>
      </c>
      <c r="AE1364" s="55">
        <f>IF(AQ1364="7",BI1364,0)</f>
        <v>0</v>
      </c>
      <c r="AF1364" s="55">
        <f>IF(AQ1364="2",BH1364,0)</f>
        <v>0</v>
      </c>
      <c r="AG1364" s="55">
        <f>IF(AQ1364="2",BI1364,0)</f>
        <v>0</v>
      </c>
      <c r="AH1364" s="55">
        <f>IF(AQ1364="0",BJ1364,0)</f>
        <v>0</v>
      </c>
      <c r="AI1364" s="34" t="s">
        <v>116</v>
      </c>
      <c r="AJ1364" s="55">
        <f>IF(AN1364=0,I1364,0)</f>
        <v>0</v>
      </c>
      <c r="AK1364" s="55">
        <f>IF(AN1364=12,I1364,0)</f>
        <v>0</v>
      </c>
      <c r="AL1364" s="55">
        <f>IF(AN1364=21,I1364,0)</f>
        <v>0</v>
      </c>
      <c r="AN1364" s="55">
        <v>21</v>
      </c>
      <c r="AO1364" s="55">
        <f>H1364*0</f>
        <v>0</v>
      </c>
      <c r="AP1364" s="55">
        <f>H1364*(1-0)</f>
        <v>0</v>
      </c>
      <c r="AQ1364" s="58" t="s">
        <v>120</v>
      </c>
      <c r="AV1364" s="55">
        <f>AW1364+AX1364</f>
        <v>0</v>
      </c>
      <c r="AW1364" s="55">
        <f>G1364*AO1364</f>
        <v>0</v>
      </c>
      <c r="AX1364" s="55">
        <f>G1364*AP1364</f>
        <v>0</v>
      </c>
      <c r="AY1364" s="58" t="s">
        <v>2576</v>
      </c>
      <c r="AZ1364" s="58" t="s">
        <v>2344</v>
      </c>
      <c r="BA1364" s="34" t="s">
        <v>128</v>
      </c>
      <c r="BC1364" s="55">
        <f>AW1364+AX1364</f>
        <v>0</v>
      </c>
      <c r="BD1364" s="55">
        <f>H1364/(100-BE1364)*100</f>
        <v>0</v>
      </c>
      <c r="BE1364" s="55">
        <v>0</v>
      </c>
      <c r="BF1364" s="55">
        <f>K1364</f>
        <v>0</v>
      </c>
      <c r="BH1364" s="55">
        <f>G1364*AO1364</f>
        <v>0</v>
      </c>
      <c r="BI1364" s="55">
        <f>G1364*AP1364</f>
        <v>0</v>
      </c>
      <c r="BJ1364" s="55">
        <f>G1364*H1364</f>
        <v>0</v>
      </c>
      <c r="BK1364" s="55"/>
      <c r="BL1364" s="55"/>
      <c r="BW1364" s="55">
        <v>21</v>
      </c>
    </row>
    <row r="1365" spans="1:12" ht="14.4">
      <c r="A1365" s="59"/>
      <c r="D1365" s="60" t="s">
        <v>130</v>
      </c>
      <c r="E1365" s="60" t="s">
        <v>4</v>
      </c>
      <c r="G1365" s="68">
        <v>2</v>
      </c>
      <c r="L1365" s="69"/>
    </row>
    <row r="1366" spans="1:75" ht="13.5" customHeight="1">
      <c r="A1366" s="1" t="s">
        <v>2581</v>
      </c>
      <c r="B1366" s="2" t="s">
        <v>116</v>
      </c>
      <c r="C1366" s="2" t="s">
        <v>2582</v>
      </c>
      <c r="D1366" s="147" t="s">
        <v>2583</v>
      </c>
      <c r="E1366" s="148"/>
      <c r="F1366" s="2" t="s">
        <v>2584</v>
      </c>
      <c r="G1366" s="55">
        <f>'Stavební rozpočet-vyplnit'!G1366</f>
        <v>4</v>
      </c>
      <c r="H1366" s="55">
        <f>'Stavební rozpočet-vyplnit'!H1366</f>
        <v>0</v>
      </c>
      <c r="I1366" s="55">
        <f>G1366*H1366</f>
        <v>0</v>
      </c>
      <c r="J1366" s="55">
        <f>'Stavební rozpočet-vyplnit'!J1366</f>
        <v>0</v>
      </c>
      <c r="K1366" s="55">
        <f>G1366*J1366</f>
        <v>0</v>
      </c>
      <c r="L1366" s="57" t="s">
        <v>785</v>
      </c>
      <c r="Z1366" s="55">
        <f>IF(AQ1366="5",BJ1366,0)</f>
        <v>0</v>
      </c>
      <c r="AB1366" s="55">
        <f>IF(AQ1366="1",BH1366,0)</f>
        <v>0</v>
      </c>
      <c r="AC1366" s="55">
        <f>IF(AQ1366="1",BI1366,0)</f>
        <v>0</v>
      </c>
      <c r="AD1366" s="55">
        <f>IF(AQ1366="7",BH1366,0)</f>
        <v>0</v>
      </c>
      <c r="AE1366" s="55">
        <f>IF(AQ1366="7",BI1366,0)</f>
        <v>0</v>
      </c>
      <c r="AF1366" s="55">
        <f>IF(AQ1366="2",BH1366,0)</f>
        <v>0</v>
      </c>
      <c r="AG1366" s="55">
        <f>IF(AQ1366="2",BI1366,0)</f>
        <v>0</v>
      </c>
      <c r="AH1366" s="55">
        <f>IF(AQ1366="0",BJ1366,0)</f>
        <v>0</v>
      </c>
      <c r="AI1366" s="34" t="s">
        <v>116</v>
      </c>
      <c r="AJ1366" s="55">
        <f>IF(AN1366=0,I1366,0)</f>
        <v>0</v>
      </c>
      <c r="AK1366" s="55">
        <f>IF(AN1366=12,I1366,0)</f>
        <v>0</v>
      </c>
      <c r="AL1366" s="55">
        <f>IF(AN1366=21,I1366,0)</f>
        <v>0</v>
      </c>
      <c r="AN1366" s="55">
        <v>21</v>
      </c>
      <c r="AO1366" s="55">
        <f>H1366*0</f>
        <v>0</v>
      </c>
      <c r="AP1366" s="55">
        <f>H1366*(1-0)</f>
        <v>0</v>
      </c>
      <c r="AQ1366" s="58" t="s">
        <v>120</v>
      </c>
      <c r="AV1366" s="55">
        <f>AW1366+AX1366</f>
        <v>0</v>
      </c>
      <c r="AW1366" s="55">
        <f>G1366*AO1366</f>
        <v>0</v>
      </c>
      <c r="AX1366" s="55">
        <f>G1366*AP1366</f>
        <v>0</v>
      </c>
      <c r="AY1366" s="58" t="s">
        <v>2576</v>
      </c>
      <c r="AZ1366" s="58" t="s">
        <v>2344</v>
      </c>
      <c r="BA1366" s="34" t="s">
        <v>128</v>
      </c>
      <c r="BC1366" s="55">
        <f>AW1366+AX1366</f>
        <v>0</v>
      </c>
      <c r="BD1366" s="55">
        <f>H1366/(100-BE1366)*100</f>
        <v>0</v>
      </c>
      <c r="BE1366" s="55">
        <v>0</v>
      </c>
      <c r="BF1366" s="55">
        <f>K1366</f>
        <v>0</v>
      </c>
      <c r="BH1366" s="55">
        <f>G1366*AO1366</f>
        <v>0</v>
      </c>
      <c r="BI1366" s="55">
        <f>G1366*AP1366</f>
        <v>0</v>
      </c>
      <c r="BJ1366" s="55">
        <f>G1366*H1366</f>
        <v>0</v>
      </c>
      <c r="BK1366" s="55"/>
      <c r="BL1366" s="55"/>
      <c r="BW1366" s="55">
        <v>21</v>
      </c>
    </row>
    <row r="1367" spans="1:12" ht="14.4">
      <c r="A1367" s="59"/>
      <c r="D1367" s="60" t="s">
        <v>2585</v>
      </c>
      <c r="E1367" s="60" t="s">
        <v>4</v>
      </c>
      <c r="G1367" s="68">
        <v>4</v>
      </c>
      <c r="L1367" s="69"/>
    </row>
    <row r="1368" spans="1:75" ht="13.5" customHeight="1">
      <c r="A1368" s="1" t="s">
        <v>2586</v>
      </c>
      <c r="B1368" s="2" t="s">
        <v>116</v>
      </c>
      <c r="C1368" s="2" t="s">
        <v>2587</v>
      </c>
      <c r="D1368" s="147" t="s">
        <v>2588</v>
      </c>
      <c r="E1368" s="148"/>
      <c r="F1368" s="2" t="s">
        <v>939</v>
      </c>
      <c r="G1368" s="55">
        <f>'Stavební rozpočet-vyplnit'!G1368</f>
        <v>7.98</v>
      </c>
      <c r="H1368" s="55">
        <f>'Stavební rozpočet-vyplnit'!H1368</f>
        <v>0</v>
      </c>
      <c r="I1368" s="55">
        <f>G1368*H1368</f>
        <v>0</v>
      </c>
      <c r="J1368" s="55">
        <f>'Stavební rozpočet-vyplnit'!J1368</f>
        <v>0</v>
      </c>
      <c r="K1368" s="55">
        <f>G1368*J1368</f>
        <v>0</v>
      </c>
      <c r="L1368" s="57" t="s">
        <v>785</v>
      </c>
      <c r="Z1368" s="55">
        <f>IF(AQ1368="5",BJ1368,0)</f>
        <v>0</v>
      </c>
      <c r="AB1368" s="55">
        <f>IF(AQ1368="1",BH1368,0)</f>
        <v>0</v>
      </c>
      <c r="AC1368" s="55">
        <f>IF(AQ1368="1",BI1368,0)</f>
        <v>0</v>
      </c>
      <c r="AD1368" s="55">
        <f>IF(AQ1368="7",BH1368,0)</f>
        <v>0</v>
      </c>
      <c r="AE1368" s="55">
        <f>IF(AQ1368="7",BI1368,0)</f>
        <v>0</v>
      </c>
      <c r="AF1368" s="55">
        <f>IF(AQ1368="2",BH1368,0)</f>
        <v>0</v>
      </c>
      <c r="AG1368" s="55">
        <f>IF(AQ1368="2",BI1368,0)</f>
        <v>0</v>
      </c>
      <c r="AH1368" s="55">
        <f>IF(AQ1368="0",BJ1368,0)</f>
        <v>0</v>
      </c>
      <c r="AI1368" s="34" t="s">
        <v>116</v>
      </c>
      <c r="AJ1368" s="55">
        <f>IF(AN1368=0,I1368,0)</f>
        <v>0</v>
      </c>
      <c r="AK1368" s="55">
        <f>IF(AN1368=12,I1368,0)</f>
        <v>0</v>
      </c>
      <c r="AL1368" s="55">
        <f>IF(AN1368=21,I1368,0)</f>
        <v>0</v>
      </c>
      <c r="AN1368" s="55">
        <v>21</v>
      </c>
      <c r="AO1368" s="55">
        <f>H1368*0</f>
        <v>0</v>
      </c>
      <c r="AP1368" s="55">
        <f>H1368*(1-0)</f>
        <v>0</v>
      </c>
      <c r="AQ1368" s="58" t="s">
        <v>139</v>
      </c>
      <c r="AV1368" s="55">
        <f>AW1368+AX1368</f>
        <v>0</v>
      </c>
      <c r="AW1368" s="55">
        <f>G1368*AO1368</f>
        <v>0</v>
      </c>
      <c r="AX1368" s="55">
        <f>G1368*AP1368</f>
        <v>0</v>
      </c>
      <c r="AY1368" s="58" t="s">
        <v>2576</v>
      </c>
      <c r="AZ1368" s="58" t="s">
        <v>2344</v>
      </c>
      <c r="BA1368" s="34" t="s">
        <v>128</v>
      </c>
      <c r="BC1368" s="55">
        <f>AW1368+AX1368</f>
        <v>0</v>
      </c>
      <c r="BD1368" s="55">
        <f>H1368/(100-BE1368)*100</f>
        <v>0</v>
      </c>
      <c r="BE1368" s="55">
        <v>0</v>
      </c>
      <c r="BF1368" s="55">
        <f>K1368</f>
        <v>0</v>
      </c>
      <c r="BH1368" s="55">
        <f>G1368*AO1368</f>
        <v>0</v>
      </c>
      <c r="BI1368" s="55">
        <f>G1368*AP1368</f>
        <v>0</v>
      </c>
      <c r="BJ1368" s="55">
        <f>G1368*H1368</f>
        <v>0</v>
      </c>
      <c r="BK1368" s="55"/>
      <c r="BL1368" s="55"/>
      <c r="BW1368" s="55">
        <v>21</v>
      </c>
    </row>
    <row r="1369" spans="1:12" ht="14.4">
      <c r="A1369" s="59"/>
      <c r="D1369" s="60" t="s">
        <v>2589</v>
      </c>
      <c r="E1369" s="60" t="s">
        <v>2590</v>
      </c>
      <c r="G1369" s="68">
        <v>7.98</v>
      </c>
      <c r="L1369" s="69"/>
    </row>
    <row r="1370" spans="1:75" ht="13.5" customHeight="1">
      <c r="A1370" s="1" t="s">
        <v>2591</v>
      </c>
      <c r="B1370" s="2" t="s">
        <v>116</v>
      </c>
      <c r="C1370" s="2" t="s">
        <v>2592</v>
      </c>
      <c r="D1370" s="147" t="s">
        <v>2593</v>
      </c>
      <c r="E1370" s="148"/>
      <c r="F1370" s="2" t="s">
        <v>939</v>
      </c>
      <c r="G1370" s="55">
        <f>'Stavební rozpočet-vyplnit'!G1370</f>
        <v>31.92</v>
      </c>
      <c r="H1370" s="55">
        <f>'Stavební rozpočet-vyplnit'!H1370</f>
        <v>0</v>
      </c>
      <c r="I1370" s="55">
        <f>G1370*H1370</f>
        <v>0</v>
      </c>
      <c r="J1370" s="55">
        <f>'Stavební rozpočet-vyplnit'!J1370</f>
        <v>0</v>
      </c>
      <c r="K1370" s="55">
        <f>G1370*J1370</f>
        <v>0</v>
      </c>
      <c r="L1370" s="57" t="s">
        <v>785</v>
      </c>
      <c r="Z1370" s="55">
        <f>IF(AQ1370="5",BJ1370,0)</f>
        <v>0</v>
      </c>
      <c r="AB1370" s="55">
        <f>IF(AQ1370="1",BH1370,0)</f>
        <v>0</v>
      </c>
      <c r="AC1370" s="55">
        <f>IF(AQ1370="1",BI1370,0)</f>
        <v>0</v>
      </c>
      <c r="AD1370" s="55">
        <f>IF(AQ1370="7",BH1370,0)</f>
        <v>0</v>
      </c>
      <c r="AE1370" s="55">
        <f>IF(AQ1370="7",BI1370,0)</f>
        <v>0</v>
      </c>
      <c r="AF1370" s="55">
        <f>IF(AQ1370="2",BH1370,0)</f>
        <v>0</v>
      </c>
      <c r="AG1370" s="55">
        <f>IF(AQ1370="2",BI1370,0)</f>
        <v>0</v>
      </c>
      <c r="AH1370" s="55">
        <f>IF(AQ1370="0",BJ1370,0)</f>
        <v>0</v>
      </c>
      <c r="AI1370" s="34" t="s">
        <v>116</v>
      </c>
      <c r="AJ1370" s="55">
        <f>IF(AN1370=0,I1370,0)</f>
        <v>0</v>
      </c>
      <c r="AK1370" s="55">
        <f>IF(AN1370=12,I1370,0)</f>
        <v>0</v>
      </c>
      <c r="AL1370" s="55">
        <f>IF(AN1370=21,I1370,0)</f>
        <v>0</v>
      </c>
      <c r="AN1370" s="55">
        <v>21</v>
      </c>
      <c r="AO1370" s="55">
        <f>H1370*0</f>
        <v>0</v>
      </c>
      <c r="AP1370" s="55">
        <f>H1370*(1-0)</f>
        <v>0</v>
      </c>
      <c r="AQ1370" s="58" t="s">
        <v>139</v>
      </c>
      <c r="AV1370" s="55">
        <f>AW1370+AX1370</f>
        <v>0</v>
      </c>
      <c r="AW1370" s="55">
        <f>G1370*AO1370</f>
        <v>0</v>
      </c>
      <c r="AX1370" s="55">
        <f>G1370*AP1370</f>
        <v>0</v>
      </c>
      <c r="AY1370" s="58" t="s">
        <v>2576</v>
      </c>
      <c r="AZ1370" s="58" t="s">
        <v>2344</v>
      </c>
      <c r="BA1370" s="34" t="s">
        <v>128</v>
      </c>
      <c r="BC1370" s="55">
        <f>AW1370+AX1370</f>
        <v>0</v>
      </c>
      <c r="BD1370" s="55">
        <f>H1370/(100-BE1370)*100</f>
        <v>0</v>
      </c>
      <c r="BE1370" s="55">
        <v>0</v>
      </c>
      <c r="BF1370" s="55">
        <f>K1370</f>
        <v>0</v>
      </c>
      <c r="BH1370" s="55">
        <f>G1370*AO1370</f>
        <v>0</v>
      </c>
      <c r="BI1370" s="55">
        <f>G1370*AP1370</f>
        <v>0</v>
      </c>
      <c r="BJ1370" s="55">
        <f>G1370*H1370</f>
        <v>0</v>
      </c>
      <c r="BK1370" s="55"/>
      <c r="BL1370" s="55"/>
      <c r="BW1370" s="55">
        <v>21</v>
      </c>
    </row>
    <row r="1371" spans="1:12" ht="13.5" customHeight="1">
      <c r="A1371" s="59"/>
      <c r="D1371" s="218" t="s">
        <v>2594</v>
      </c>
      <c r="E1371" s="219"/>
      <c r="F1371" s="219"/>
      <c r="G1371" s="219"/>
      <c r="H1371" s="219"/>
      <c r="I1371" s="219"/>
      <c r="J1371" s="219"/>
      <c r="K1371" s="219"/>
      <c r="L1371" s="221"/>
    </row>
    <row r="1372" spans="1:12" ht="14.4">
      <c r="A1372" s="59"/>
      <c r="D1372" s="60" t="s">
        <v>2595</v>
      </c>
      <c r="E1372" s="60" t="s">
        <v>4</v>
      </c>
      <c r="G1372" s="68">
        <v>31.92</v>
      </c>
      <c r="L1372" s="69"/>
    </row>
    <row r="1373" spans="1:75" ht="13.5" customHeight="1">
      <c r="A1373" s="1" t="s">
        <v>2596</v>
      </c>
      <c r="B1373" s="2" t="s">
        <v>116</v>
      </c>
      <c r="C1373" s="2" t="s">
        <v>2597</v>
      </c>
      <c r="D1373" s="147" t="s">
        <v>2598</v>
      </c>
      <c r="E1373" s="148"/>
      <c r="F1373" s="2" t="s">
        <v>939</v>
      </c>
      <c r="G1373" s="55">
        <f>'Stavební rozpočet-vyplnit'!G1373</f>
        <v>24.45</v>
      </c>
      <c r="H1373" s="55">
        <f>'Stavební rozpočet-vyplnit'!H1373</f>
        <v>0</v>
      </c>
      <c r="I1373" s="55">
        <f>G1373*H1373</f>
        <v>0</v>
      </c>
      <c r="J1373" s="55">
        <f>'Stavební rozpočet-vyplnit'!J1373</f>
        <v>0</v>
      </c>
      <c r="K1373" s="55">
        <f>G1373*J1373</f>
        <v>0</v>
      </c>
      <c r="L1373" s="57" t="s">
        <v>785</v>
      </c>
      <c r="Z1373" s="55">
        <f>IF(AQ1373="5",BJ1373,0)</f>
        <v>0</v>
      </c>
      <c r="AB1373" s="55">
        <f>IF(AQ1373="1",BH1373,0)</f>
        <v>0</v>
      </c>
      <c r="AC1373" s="55">
        <f>IF(AQ1373="1",BI1373,0)</f>
        <v>0</v>
      </c>
      <c r="AD1373" s="55">
        <f>IF(AQ1373="7",BH1373,0)</f>
        <v>0</v>
      </c>
      <c r="AE1373" s="55">
        <f>IF(AQ1373="7",BI1373,0)</f>
        <v>0</v>
      </c>
      <c r="AF1373" s="55">
        <f>IF(AQ1373="2",BH1373,0)</f>
        <v>0</v>
      </c>
      <c r="AG1373" s="55">
        <f>IF(AQ1373="2",BI1373,0)</f>
        <v>0</v>
      </c>
      <c r="AH1373" s="55">
        <f>IF(AQ1373="0",BJ1373,0)</f>
        <v>0</v>
      </c>
      <c r="AI1373" s="34" t="s">
        <v>116</v>
      </c>
      <c r="AJ1373" s="55">
        <f>IF(AN1373=0,I1373,0)</f>
        <v>0</v>
      </c>
      <c r="AK1373" s="55">
        <f>IF(AN1373=12,I1373,0)</f>
        <v>0</v>
      </c>
      <c r="AL1373" s="55">
        <f>IF(AN1373=21,I1373,0)</f>
        <v>0</v>
      </c>
      <c r="AN1373" s="55">
        <v>21</v>
      </c>
      <c r="AO1373" s="55">
        <f>H1373*0</f>
        <v>0</v>
      </c>
      <c r="AP1373" s="55">
        <f>H1373*(1-0)</f>
        <v>0</v>
      </c>
      <c r="AQ1373" s="58" t="s">
        <v>139</v>
      </c>
      <c r="AV1373" s="55">
        <f>AW1373+AX1373</f>
        <v>0</v>
      </c>
      <c r="AW1373" s="55">
        <f>G1373*AO1373</f>
        <v>0</v>
      </c>
      <c r="AX1373" s="55">
        <f>G1373*AP1373</f>
        <v>0</v>
      </c>
      <c r="AY1373" s="58" t="s">
        <v>2576</v>
      </c>
      <c r="AZ1373" s="58" t="s">
        <v>2344</v>
      </c>
      <c r="BA1373" s="34" t="s">
        <v>128</v>
      </c>
      <c r="BC1373" s="55">
        <f>AW1373+AX1373</f>
        <v>0</v>
      </c>
      <c r="BD1373" s="55">
        <f>H1373/(100-BE1373)*100</f>
        <v>0</v>
      </c>
      <c r="BE1373" s="55">
        <v>0</v>
      </c>
      <c r="BF1373" s="55">
        <f>K1373</f>
        <v>0</v>
      </c>
      <c r="BH1373" s="55">
        <f>G1373*AO1373</f>
        <v>0</v>
      </c>
      <c r="BI1373" s="55">
        <f>G1373*AP1373</f>
        <v>0</v>
      </c>
      <c r="BJ1373" s="55">
        <f>G1373*H1373</f>
        <v>0</v>
      </c>
      <c r="BK1373" s="55"/>
      <c r="BL1373" s="55"/>
      <c r="BW1373" s="55">
        <v>21</v>
      </c>
    </row>
    <row r="1374" spans="1:12" ht="13.5" customHeight="1">
      <c r="A1374" s="59"/>
      <c r="D1374" s="218" t="s">
        <v>2599</v>
      </c>
      <c r="E1374" s="219"/>
      <c r="F1374" s="219"/>
      <c r="G1374" s="219"/>
      <c r="H1374" s="219"/>
      <c r="I1374" s="219"/>
      <c r="J1374" s="219"/>
      <c r="K1374" s="219"/>
      <c r="L1374" s="221"/>
    </row>
    <row r="1375" spans="1:12" ht="14.4">
      <c r="A1375" s="59"/>
      <c r="D1375" s="60" t="s">
        <v>2600</v>
      </c>
      <c r="E1375" s="60" t="s">
        <v>2601</v>
      </c>
      <c r="G1375" s="68">
        <v>1.6</v>
      </c>
      <c r="L1375" s="69"/>
    </row>
    <row r="1376" spans="1:12" ht="14.4">
      <c r="A1376" s="59"/>
      <c r="D1376" s="60" t="s">
        <v>2602</v>
      </c>
      <c r="E1376" s="60" t="s">
        <v>2603</v>
      </c>
      <c r="G1376" s="68">
        <v>6.71</v>
      </c>
      <c r="L1376" s="69"/>
    </row>
    <row r="1377" spans="1:12" ht="14.4">
      <c r="A1377" s="59"/>
      <c r="D1377" s="60" t="s">
        <v>2604</v>
      </c>
      <c r="E1377" s="60" t="s">
        <v>2605</v>
      </c>
      <c r="G1377" s="68">
        <v>16.14</v>
      </c>
      <c r="L1377" s="69"/>
    </row>
    <row r="1378" spans="1:75" ht="13.5" customHeight="1">
      <c r="A1378" s="1" t="s">
        <v>2606</v>
      </c>
      <c r="B1378" s="2" t="s">
        <v>116</v>
      </c>
      <c r="C1378" s="2" t="s">
        <v>2607</v>
      </c>
      <c r="D1378" s="147" t="s">
        <v>2608</v>
      </c>
      <c r="E1378" s="148"/>
      <c r="F1378" s="2" t="s">
        <v>939</v>
      </c>
      <c r="G1378" s="55">
        <f>'Stavební rozpočet-vyplnit'!G1378</f>
        <v>122.25</v>
      </c>
      <c r="H1378" s="55">
        <f>'Stavební rozpočet-vyplnit'!H1378</f>
        <v>0</v>
      </c>
      <c r="I1378" s="55">
        <f>G1378*H1378</f>
        <v>0</v>
      </c>
      <c r="J1378" s="55">
        <f>'Stavební rozpočet-vyplnit'!J1378</f>
        <v>0</v>
      </c>
      <c r="K1378" s="55">
        <f>G1378*J1378</f>
        <v>0</v>
      </c>
      <c r="L1378" s="57" t="s">
        <v>785</v>
      </c>
      <c r="Z1378" s="55">
        <f>IF(AQ1378="5",BJ1378,0)</f>
        <v>0</v>
      </c>
      <c r="AB1378" s="55">
        <f>IF(AQ1378="1",BH1378,0)</f>
        <v>0</v>
      </c>
      <c r="AC1378" s="55">
        <f>IF(AQ1378="1",BI1378,0)</f>
        <v>0</v>
      </c>
      <c r="AD1378" s="55">
        <f>IF(AQ1378="7",BH1378,0)</f>
        <v>0</v>
      </c>
      <c r="AE1378" s="55">
        <f>IF(AQ1378="7",BI1378,0)</f>
        <v>0</v>
      </c>
      <c r="AF1378" s="55">
        <f>IF(AQ1378="2",BH1378,0)</f>
        <v>0</v>
      </c>
      <c r="AG1378" s="55">
        <f>IF(AQ1378="2",BI1378,0)</f>
        <v>0</v>
      </c>
      <c r="AH1378" s="55">
        <f>IF(AQ1378="0",BJ1378,0)</f>
        <v>0</v>
      </c>
      <c r="AI1378" s="34" t="s">
        <v>116</v>
      </c>
      <c r="AJ1378" s="55">
        <f>IF(AN1378=0,I1378,0)</f>
        <v>0</v>
      </c>
      <c r="AK1378" s="55">
        <f>IF(AN1378=12,I1378,0)</f>
        <v>0</v>
      </c>
      <c r="AL1378" s="55">
        <f>IF(AN1378=21,I1378,0)</f>
        <v>0</v>
      </c>
      <c r="AN1378" s="55">
        <v>21</v>
      </c>
      <c r="AO1378" s="55">
        <f>H1378*0</f>
        <v>0</v>
      </c>
      <c r="AP1378" s="55">
        <f>H1378*(1-0)</f>
        <v>0</v>
      </c>
      <c r="AQ1378" s="58" t="s">
        <v>139</v>
      </c>
      <c r="AV1378" s="55">
        <f>AW1378+AX1378</f>
        <v>0</v>
      </c>
      <c r="AW1378" s="55">
        <f>G1378*AO1378</f>
        <v>0</v>
      </c>
      <c r="AX1378" s="55">
        <f>G1378*AP1378</f>
        <v>0</v>
      </c>
      <c r="AY1378" s="58" t="s">
        <v>2576</v>
      </c>
      <c r="AZ1378" s="58" t="s">
        <v>2344</v>
      </c>
      <c r="BA1378" s="34" t="s">
        <v>128</v>
      </c>
      <c r="BC1378" s="55">
        <f>AW1378+AX1378</f>
        <v>0</v>
      </c>
      <c r="BD1378" s="55">
        <f>H1378/(100-BE1378)*100</f>
        <v>0</v>
      </c>
      <c r="BE1378" s="55">
        <v>0</v>
      </c>
      <c r="BF1378" s="55">
        <f>K1378</f>
        <v>0</v>
      </c>
      <c r="BH1378" s="55">
        <f>G1378*AO1378</f>
        <v>0</v>
      </c>
      <c r="BI1378" s="55">
        <f>G1378*AP1378</f>
        <v>0</v>
      </c>
      <c r="BJ1378" s="55">
        <f>G1378*H1378</f>
        <v>0</v>
      </c>
      <c r="BK1378" s="55"/>
      <c r="BL1378" s="55"/>
      <c r="BW1378" s="55">
        <v>21</v>
      </c>
    </row>
    <row r="1379" spans="1:12" ht="14.4">
      <c r="A1379" s="59"/>
      <c r="D1379" s="60" t="s">
        <v>2609</v>
      </c>
      <c r="E1379" s="60" t="s">
        <v>4</v>
      </c>
      <c r="G1379" s="68">
        <v>122.25</v>
      </c>
      <c r="L1379" s="69"/>
    </row>
    <row r="1380" spans="1:75" ht="13.5" customHeight="1">
      <c r="A1380" s="1" t="s">
        <v>2610</v>
      </c>
      <c r="B1380" s="2" t="s">
        <v>116</v>
      </c>
      <c r="C1380" s="2" t="s">
        <v>2611</v>
      </c>
      <c r="D1380" s="147" t="s">
        <v>2612</v>
      </c>
      <c r="E1380" s="148"/>
      <c r="F1380" s="2" t="s">
        <v>939</v>
      </c>
      <c r="G1380" s="55">
        <f>'Stavební rozpočet-vyplnit'!G1380</f>
        <v>95.37</v>
      </c>
      <c r="H1380" s="55">
        <f>'Stavební rozpočet-vyplnit'!H1380</f>
        <v>0</v>
      </c>
      <c r="I1380" s="55">
        <f>G1380*H1380</f>
        <v>0</v>
      </c>
      <c r="J1380" s="55">
        <f>'Stavební rozpočet-vyplnit'!J1380</f>
        <v>0</v>
      </c>
      <c r="K1380" s="55">
        <f>G1380*J1380</f>
        <v>0</v>
      </c>
      <c r="L1380" s="57" t="s">
        <v>785</v>
      </c>
      <c r="Z1380" s="55">
        <f>IF(AQ1380="5",BJ1380,0)</f>
        <v>0</v>
      </c>
      <c r="AB1380" s="55">
        <f>IF(AQ1380="1",BH1380,0)</f>
        <v>0</v>
      </c>
      <c r="AC1380" s="55">
        <f>IF(AQ1380="1",BI1380,0)</f>
        <v>0</v>
      </c>
      <c r="AD1380" s="55">
        <f>IF(AQ1380="7",BH1380,0)</f>
        <v>0</v>
      </c>
      <c r="AE1380" s="55">
        <f>IF(AQ1380="7",BI1380,0)</f>
        <v>0</v>
      </c>
      <c r="AF1380" s="55">
        <f>IF(AQ1380="2",BH1380,0)</f>
        <v>0</v>
      </c>
      <c r="AG1380" s="55">
        <f>IF(AQ1380="2",BI1380,0)</f>
        <v>0</v>
      </c>
      <c r="AH1380" s="55">
        <f>IF(AQ1380="0",BJ1380,0)</f>
        <v>0</v>
      </c>
      <c r="AI1380" s="34" t="s">
        <v>116</v>
      </c>
      <c r="AJ1380" s="55">
        <f>IF(AN1380=0,I1380,0)</f>
        <v>0</v>
      </c>
      <c r="AK1380" s="55">
        <f>IF(AN1380=12,I1380,0)</f>
        <v>0</v>
      </c>
      <c r="AL1380" s="55">
        <f>IF(AN1380=21,I1380,0)</f>
        <v>0</v>
      </c>
      <c r="AN1380" s="55">
        <v>21</v>
      </c>
      <c r="AO1380" s="55">
        <f>H1380*0</f>
        <v>0</v>
      </c>
      <c r="AP1380" s="55">
        <f>H1380*(1-0)</f>
        <v>0</v>
      </c>
      <c r="AQ1380" s="58" t="s">
        <v>139</v>
      </c>
      <c r="AV1380" s="55">
        <f>AW1380+AX1380</f>
        <v>0</v>
      </c>
      <c r="AW1380" s="55">
        <f>G1380*AO1380</f>
        <v>0</v>
      </c>
      <c r="AX1380" s="55">
        <f>G1380*AP1380</f>
        <v>0</v>
      </c>
      <c r="AY1380" s="58" t="s">
        <v>2576</v>
      </c>
      <c r="AZ1380" s="58" t="s">
        <v>2344</v>
      </c>
      <c r="BA1380" s="34" t="s">
        <v>128</v>
      </c>
      <c r="BC1380" s="55">
        <f>AW1380+AX1380</f>
        <v>0</v>
      </c>
      <c r="BD1380" s="55">
        <f>H1380/(100-BE1380)*100</f>
        <v>0</v>
      </c>
      <c r="BE1380" s="55">
        <v>0</v>
      </c>
      <c r="BF1380" s="55">
        <f>K1380</f>
        <v>0</v>
      </c>
      <c r="BH1380" s="55">
        <f>G1380*AO1380</f>
        <v>0</v>
      </c>
      <c r="BI1380" s="55">
        <f>G1380*AP1380</f>
        <v>0</v>
      </c>
      <c r="BJ1380" s="55">
        <f>G1380*H1380</f>
        <v>0</v>
      </c>
      <c r="BK1380" s="55"/>
      <c r="BL1380" s="55"/>
      <c r="BW1380" s="55">
        <v>21</v>
      </c>
    </row>
    <row r="1381" spans="1:12" ht="14.4">
      <c r="A1381" s="59"/>
      <c r="D1381" s="60" t="s">
        <v>2613</v>
      </c>
      <c r="E1381" s="60" t="s">
        <v>4</v>
      </c>
      <c r="G1381" s="68">
        <v>95.37</v>
      </c>
      <c r="L1381" s="69"/>
    </row>
    <row r="1382" spans="1:75" ht="13.5" customHeight="1">
      <c r="A1382" s="1" t="s">
        <v>2614</v>
      </c>
      <c r="B1382" s="2" t="s">
        <v>116</v>
      </c>
      <c r="C1382" s="2" t="s">
        <v>2615</v>
      </c>
      <c r="D1382" s="147" t="s">
        <v>2616</v>
      </c>
      <c r="E1382" s="148"/>
      <c r="F1382" s="2" t="s">
        <v>939</v>
      </c>
      <c r="G1382" s="55">
        <f>'Stavební rozpočet-vyplnit'!G1382</f>
        <v>286.11</v>
      </c>
      <c r="H1382" s="55">
        <f>'Stavební rozpočet-vyplnit'!H1382</f>
        <v>0</v>
      </c>
      <c r="I1382" s="55">
        <f>G1382*H1382</f>
        <v>0</v>
      </c>
      <c r="J1382" s="55">
        <f>'Stavební rozpočet-vyplnit'!J1382</f>
        <v>0</v>
      </c>
      <c r="K1382" s="55">
        <f>G1382*J1382</f>
        <v>0</v>
      </c>
      <c r="L1382" s="57" t="s">
        <v>785</v>
      </c>
      <c r="Z1382" s="55">
        <f>IF(AQ1382="5",BJ1382,0)</f>
        <v>0</v>
      </c>
      <c r="AB1382" s="55">
        <f>IF(AQ1382="1",BH1382,0)</f>
        <v>0</v>
      </c>
      <c r="AC1382" s="55">
        <f>IF(AQ1382="1",BI1382,0)</f>
        <v>0</v>
      </c>
      <c r="AD1382" s="55">
        <f>IF(AQ1382="7",BH1382,0)</f>
        <v>0</v>
      </c>
      <c r="AE1382" s="55">
        <f>IF(AQ1382="7",BI1382,0)</f>
        <v>0</v>
      </c>
      <c r="AF1382" s="55">
        <f>IF(AQ1382="2",BH1382,0)</f>
        <v>0</v>
      </c>
      <c r="AG1382" s="55">
        <f>IF(AQ1382="2",BI1382,0)</f>
        <v>0</v>
      </c>
      <c r="AH1382" s="55">
        <f>IF(AQ1382="0",BJ1382,0)</f>
        <v>0</v>
      </c>
      <c r="AI1382" s="34" t="s">
        <v>116</v>
      </c>
      <c r="AJ1382" s="55">
        <f>IF(AN1382=0,I1382,0)</f>
        <v>0</v>
      </c>
      <c r="AK1382" s="55">
        <f>IF(AN1382=12,I1382,0)</f>
        <v>0</v>
      </c>
      <c r="AL1382" s="55">
        <f>IF(AN1382=21,I1382,0)</f>
        <v>0</v>
      </c>
      <c r="AN1382" s="55">
        <v>21</v>
      </c>
      <c r="AO1382" s="55">
        <f>H1382*0</f>
        <v>0</v>
      </c>
      <c r="AP1382" s="55">
        <f>H1382*(1-0)</f>
        <v>0</v>
      </c>
      <c r="AQ1382" s="58" t="s">
        <v>139</v>
      </c>
      <c r="AV1382" s="55">
        <f>AW1382+AX1382</f>
        <v>0</v>
      </c>
      <c r="AW1382" s="55">
        <f>G1382*AO1382</f>
        <v>0</v>
      </c>
      <c r="AX1382" s="55">
        <f>G1382*AP1382</f>
        <v>0</v>
      </c>
      <c r="AY1382" s="58" t="s">
        <v>2576</v>
      </c>
      <c r="AZ1382" s="58" t="s">
        <v>2344</v>
      </c>
      <c r="BA1382" s="34" t="s">
        <v>128</v>
      </c>
      <c r="BC1382" s="55">
        <f>AW1382+AX1382</f>
        <v>0</v>
      </c>
      <c r="BD1382" s="55">
        <f>H1382/(100-BE1382)*100</f>
        <v>0</v>
      </c>
      <c r="BE1382" s="55">
        <v>0</v>
      </c>
      <c r="BF1382" s="55">
        <f>K1382</f>
        <v>0</v>
      </c>
      <c r="BH1382" s="55">
        <f>G1382*AO1382</f>
        <v>0</v>
      </c>
      <c r="BI1382" s="55">
        <f>G1382*AP1382</f>
        <v>0</v>
      </c>
      <c r="BJ1382" s="55">
        <f>G1382*H1382</f>
        <v>0</v>
      </c>
      <c r="BK1382" s="55"/>
      <c r="BL1382" s="55"/>
      <c r="BW1382" s="55">
        <v>21</v>
      </c>
    </row>
    <row r="1383" spans="1:12" ht="14.4">
      <c r="A1383" s="59"/>
      <c r="D1383" s="60" t="s">
        <v>2617</v>
      </c>
      <c r="E1383" s="60" t="s">
        <v>4</v>
      </c>
      <c r="G1383" s="68">
        <v>286.11</v>
      </c>
      <c r="L1383" s="69"/>
    </row>
    <row r="1384" spans="1:75" ht="13.5" customHeight="1">
      <c r="A1384" s="1" t="s">
        <v>2618</v>
      </c>
      <c r="B1384" s="2" t="s">
        <v>116</v>
      </c>
      <c r="C1384" s="2" t="s">
        <v>2619</v>
      </c>
      <c r="D1384" s="147" t="s">
        <v>2620</v>
      </c>
      <c r="E1384" s="148"/>
      <c r="F1384" s="2" t="s">
        <v>939</v>
      </c>
      <c r="G1384" s="55">
        <f>'Stavební rozpočet-vyplnit'!G1384</f>
        <v>70.92</v>
      </c>
      <c r="H1384" s="55">
        <f>'Stavební rozpočet-vyplnit'!H1384</f>
        <v>0</v>
      </c>
      <c r="I1384" s="55">
        <f>G1384*H1384</f>
        <v>0</v>
      </c>
      <c r="J1384" s="55">
        <f>'Stavební rozpočet-vyplnit'!J1384</f>
        <v>0</v>
      </c>
      <c r="K1384" s="55">
        <f>G1384*J1384</f>
        <v>0</v>
      </c>
      <c r="L1384" s="57" t="s">
        <v>785</v>
      </c>
      <c r="Z1384" s="55">
        <f>IF(AQ1384="5",BJ1384,0)</f>
        <v>0</v>
      </c>
      <c r="AB1384" s="55">
        <f>IF(AQ1384="1",BH1384,0)</f>
        <v>0</v>
      </c>
      <c r="AC1384" s="55">
        <f>IF(AQ1384="1",BI1384,0)</f>
        <v>0</v>
      </c>
      <c r="AD1384" s="55">
        <f>IF(AQ1384="7",BH1384,0)</f>
        <v>0</v>
      </c>
      <c r="AE1384" s="55">
        <f>IF(AQ1384="7",BI1384,0)</f>
        <v>0</v>
      </c>
      <c r="AF1384" s="55">
        <f>IF(AQ1384="2",BH1384,0)</f>
        <v>0</v>
      </c>
      <c r="AG1384" s="55">
        <f>IF(AQ1384="2",BI1384,0)</f>
        <v>0</v>
      </c>
      <c r="AH1384" s="55">
        <f>IF(AQ1384="0",BJ1384,0)</f>
        <v>0</v>
      </c>
      <c r="AI1384" s="34" t="s">
        <v>116</v>
      </c>
      <c r="AJ1384" s="55">
        <f>IF(AN1384=0,I1384,0)</f>
        <v>0</v>
      </c>
      <c r="AK1384" s="55">
        <f>IF(AN1384=12,I1384,0)</f>
        <v>0</v>
      </c>
      <c r="AL1384" s="55">
        <f>IF(AN1384=21,I1384,0)</f>
        <v>0</v>
      </c>
      <c r="AN1384" s="55">
        <v>21</v>
      </c>
      <c r="AO1384" s="55">
        <f>H1384*0.011728355</f>
        <v>0</v>
      </c>
      <c r="AP1384" s="55">
        <f>H1384*(1-0.011728355)</f>
        <v>0</v>
      </c>
      <c r="AQ1384" s="58" t="s">
        <v>139</v>
      </c>
      <c r="AV1384" s="55">
        <f>AW1384+AX1384</f>
        <v>0</v>
      </c>
      <c r="AW1384" s="55">
        <f>G1384*AO1384</f>
        <v>0</v>
      </c>
      <c r="AX1384" s="55">
        <f>G1384*AP1384</f>
        <v>0</v>
      </c>
      <c r="AY1384" s="58" t="s">
        <v>2576</v>
      </c>
      <c r="AZ1384" s="58" t="s">
        <v>2344</v>
      </c>
      <c r="BA1384" s="34" t="s">
        <v>128</v>
      </c>
      <c r="BC1384" s="55">
        <f>AW1384+AX1384</f>
        <v>0</v>
      </c>
      <c r="BD1384" s="55">
        <f>H1384/(100-BE1384)*100</f>
        <v>0</v>
      </c>
      <c r="BE1384" s="55">
        <v>0</v>
      </c>
      <c r="BF1384" s="55">
        <f>K1384</f>
        <v>0</v>
      </c>
      <c r="BH1384" s="55">
        <f>G1384*AO1384</f>
        <v>0</v>
      </c>
      <c r="BI1384" s="55">
        <f>G1384*AP1384</f>
        <v>0</v>
      </c>
      <c r="BJ1384" s="55">
        <f>G1384*H1384</f>
        <v>0</v>
      </c>
      <c r="BK1384" s="55"/>
      <c r="BL1384" s="55"/>
      <c r="BW1384" s="55">
        <v>21</v>
      </c>
    </row>
    <row r="1385" spans="1:12" ht="13.5" customHeight="1">
      <c r="A1385" s="59"/>
      <c r="D1385" s="218" t="s">
        <v>2621</v>
      </c>
      <c r="E1385" s="219"/>
      <c r="F1385" s="219"/>
      <c r="G1385" s="219"/>
      <c r="H1385" s="219"/>
      <c r="I1385" s="219"/>
      <c r="J1385" s="219"/>
      <c r="K1385" s="219"/>
      <c r="L1385" s="221"/>
    </row>
    <row r="1386" spans="1:12" ht="14.4">
      <c r="A1386" s="59"/>
      <c r="D1386" s="60" t="s">
        <v>2496</v>
      </c>
      <c r="E1386" s="60" t="s">
        <v>2622</v>
      </c>
      <c r="G1386" s="68">
        <v>64.54</v>
      </c>
      <c r="L1386" s="69"/>
    </row>
    <row r="1387" spans="1:12" ht="14.4">
      <c r="A1387" s="59"/>
      <c r="D1387" s="60" t="s">
        <v>2623</v>
      </c>
      <c r="E1387" s="60" t="s">
        <v>2624</v>
      </c>
      <c r="G1387" s="68">
        <v>6.38</v>
      </c>
      <c r="L1387" s="69"/>
    </row>
    <row r="1388" spans="1:75" ht="27" customHeight="1">
      <c r="A1388" s="1" t="s">
        <v>2625</v>
      </c>
      <c r="B1388" s="2" t="s">
        <v>116</v>
      </c>
      <c r="C1388" s="2" t="s">
        <v>2626</v>
      </c>
      <c r="D1388" s="147" t="s">
        <v>2627</v>
      </c>
      <c r="E1388" s="148"/>
      <c r="F1388" s="2" t="s">
        <v>939</v>
      </c>
      <c r="G1388" s="55">
        <f>'Stavební rozpočet-vyplnit'!G1388</f>
        <v>24.45</v>
      </c>
      <c r="H1388" s="55">
        <f>'Stavební rozpočet-vyplnit'!H1388</f>
        <v>0</v>
      </c>
      <c r="I1388" s="55">
        <f>G1388*H1388</f>
        <v>0</v>
      </c>
      <c r="J1388" s="55">
        <f>'Stavební rozpočet-vyplnit'!J1388</f>
        <v>0</v>
      </c>
      <c r="K1388" s="55">
        <f>G1388*J1388</f>
        <v>0</v>
      </c>
      <c r="L1388" s="57" t="s">
        <v>124</v>
      </c>
      <c r="Z1388" s="55">
        <f>IF(AQ1388="5",BJ1388,0)</f>
        <v>0</v>
      </c>
      <c r="AB1388" s="55">
        <f>IF(AQ1388="1",BH1388,0)</f>
        <v>0</v>
      </c>
      <c r="AC1388" s="55">
        <f>IF(AQ1388="1",BI1388,0)</f>
        <v>0</v>
      </c>
      <c r="AD1388" s="55">
        <f>IF(AQ1388="7",BH1388,0)</f>
        <v>0</v>
      </c>
      <c r="AE1388" s="55">
        <f>IF(AQ1388="7",BI1388,0)</f>
        <v>0</v>
      </c>
      <c r="AF1388" s="55">
        <f>IF(AQ1388="2",BH1388,0)</f>
        <v>0</v>
      </c>
      <c r="AG1388" s="55">
        <f>IF(AQ1388="2",BI1388,0)</f>
        <v>0</v>
      </c>
      <c r="AH1388" s="55">
        <f>IF(AQ1388="0",BJ1388,0)</f>
        <v>0</v>
      </c>
      <c r="AI1388" s="34" t="s">
        <v>116</v>
      </c>
      <c r="AJ1388" s="55">
        <f>IF(AN1388=0,I1388,0)</f>
        <v>0</v>
      </c>
      <c r="AK1388" s="55">
        <f>IF(AN1388=12,I1388,0)</f>
        <v>0</v>
      </c>
      <c r="AL1388" s="55">
        <f>IF(AN1388=21,I1388,0)</f>
        <v>0</v>
      </c>
      <c r="AN1388" s="55">
        <v>21</v>
      </c>
      <c r="AO1388" s="55">
        <f>H1388*0</f>
        <v>0</v>
      </c>
      <c r="AP1388" s="55">
        <f>H1388*(1-0)</f>
        <v>0</v>
      </c>
      <c r="AQ1388" s="58" t="s">
        <v>139</v>
      </c>
      <c r="AV1388" s="55">
        <f>AW1388+AX1388</f>
        <v>0</v>
      </c>
      <c r="AW1388" s="55">
        <f>G1388*AO1388</f>
        <v>0</v>
      </c>
      <c r="AX1388" s="55">
        <f>G1388*AP1388</f>
        <v>0</v>
      </c>
      <c r="AY1388" s="58" t="s">
        <v>2576</v>
      </c>
      <c r="AZ1388" s="58" t="s">
        <v>2344</v>
      </c>
      <c r="BA1388" s="34" t="s">
        <v>128</v>
      </c>
      <c r="BC1388" s="55">
        <f>AW1388+AX1388</f>
        <v>0</v>
      </c>
      <c r="BD1388" s="55">
        <f>H1388/(100-BE1388)*100</f>
        <v>0</v>
      </c>
      <c r="BE1388" s="55">
        <v>0</v>
      </c>
      <c r="BF1388" s="55">
        <f>K1388</f>
        <v>0</v>
      </c>
      <c r="BH1388" s="55">
        <f>G1388*AO1388</f>
        <v>0</v>
      </c>
      <c r="BI1388" s="55">
        <f>G1388*AP1388</f>
        <v>0</v>
      </c>
      <c r="BJ1388" s="55">
        <f>G1388*H1388</f>
        <v>0</v>
      </c>
      <c r="BK1388" s="55"/>
      <c r="BL1388" s="55"/>
      <c r="BW1388" s="55">
        <v>21</v>
      </c>
    </row>
    <row r="1389" spans="1:12" ht="14.4">
      <c r="A1389" s="108"/>
      <c r="B1389" s="109"/>
      <c r="C1389" s="109"/>
      <c r="D1389" s="110" t="s">
        <v>2628</v>
      </c>
      <c r="E1389" s="110" t="s">
        <v>4</v>
      </c>
      <c r="F1389" s="109"/>
      <c r="G1389" s="111">
        <v>24.45</v>
      </c>
      <c r="H1389" s="109"/>
      <c r="I1389" s="109"/>
      <c r="J1389" s="109"/>
      <c r="K1389" s="109"/>
      <c r="L1389" s="112"/>
    </row>
    <row r="1390" ht="14.4">
      <c r="I1390" s="113">
        <f>ROUND(I13+I153+I157+I179+I249+I289+I335+I356+I365+I369+I440+I450+I459+I481+I500+I521+I538+I671+I676+I692+I715+I717+I732+I746+I753+I757+I766+I776+I791+I802+I899+I927+I943+I1050+I1112+I1132+I1150+I1174+I1192+I1204+I1215+I1222+I1228+I1243+I1276+I1308+I1324+I1327+I1330+I1333+I1337+I1361,0)</f>
        <v>0</v>
      </c>
    </row>
    <row r="1391" ht="14.4">
      <c r="A1391" s="114" t="s">
        <v>56</v>
      </c>
    </row>
    <row r="1392" spans="1:12" ht="12.75" customHeight="1">
      <c r="A1392" s="147" t="s">
        <v>4</v>
      </c>
      <c r="B1392" s="148"/>
      <c r="C1392" s="148"/>
      <c r="D1392" s="148"/>
      <c r="E1392" s="148"/>
      <c r="F1392" s="148"/>
      <c r="G1392" s="148"/>
      <c r="H1392" s="148"/>
      <c r="I1392" s="148"/>
      <c r="J1392" s="148"/>
      <c r="K1392" s="148"/>
      <c r="L1392" s="148"/>
    </row>
  </sheetData>
  <sheetProtection password="F483" sheet="1" objects="1" scenarios="1"/>
  <mergeCells count="988">
    <mergeCell ref="J2:L3"/>
    <mergeCell ref="J4:L5"/>
    <mergeCell ref="J6:L7"/>
    <mergeCell ref="J8:L9"/>
    <mergeCell ref="D8:E9"/>
    <mergeCell ref="H2:H3"/>
    <mergeCell ref="H4:H5"/>
    <mergeCell ref="H6:H7"/>
    <mergeCell ref="H8:H9"/>
    <mergeCell ref="D15:L15"/>
    <mergeCell ref="D16:E16"/>
    <mergeCell ref="D17:L17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  <mergeCell ref="D18:E18"/>
    <mergeCell ref="D19:L19"/>
    <mergeCell ref="D11:E11"/>
    <mergeCell ref="J10:K10"/>
    <mergeCell ref="D12:E12"/>
    <mergeCell ref="D13:E13"/>
    <mergeCell ref="D14:E14"/>
    <mergeCell ref="D25:L25"/>
    <mergeCell ref="D26:E26"/>
    <mergeCell ref="D10:E10"/>
    <mergeCell ref="D27:L27"/>
    <mergeCell ref="D28:E28"/>
    <mergeCell ref="D29:L29"/>
    <mergeCell ref="D20:E20"/>
    <mergeCell ref="D21:L21"/>
    <mergeCell ref="D22:E22"/>
    <mergeCell ref="D23:L23"/>
    <mergeCell ref="D24:E24"/>
    <mergeCell ref="D35:L35"/>
    <mergeCell ref="D36:E36"/>
    <mergeCell ref="D37:L37"/>
    <mergeCell ref="D38:E38"/>
    <mergeCell ref="D39:L39"/>
    <mergeCell ref="D30:E30"/>
    <mergeCell ref="D31:L31"/>
    <mergeCell ref="D32:E32"/>
    <mergeCell ref="D33:L33"/>
    <mergeCell ref="D34:E34"/>
    <mergeCell ref="D45:L45"/>
    <mergeCell ref="D46:E46"/>
    <mergeCell ref="D47:L47"/>
    <mergeCell ref="D48:E48"/>
    <mergeCell ref="D49:L49"/>
    <mergeCell ref="D40:E40"/>
    <mergeCell ref="D41:L41"/>
    <mergeCell ref="D42:E42"/>
    <mergeCell ref="D43:L43"/>
    <mergeCell ref="D44:E44"/>
    <mergeCell ref="D55:L55"/>
    <mergeCell ref="D56:E56"/>
    <mergeCell ref="D57:L57"/>
    <mergeCell ref="D58:E58"/>
    <mergeCell ref="D59:L59"/>
    <mergeCell ref="D50:E50"/>
    <mergeCell ref="D51:L51"/>
    <mergeCell ref="D52:E52"/>
    <mergeCell ref="D53:L53"/>
    <mergeCell ref="D54:E54"/>
    <mergeCell ref="D65:L65"/>
    <mergeCell ref="D66:E66"/>
    <mergeCell ref="D67:L67"/>
    <mergeCell ref="D68:E68"/>
    <mergeCell ref="D69:L69"/>
    <mergeCell ref="D60:E60"/>
    <mergeCell ref="D61:L61"/>
    <mergeCell ref="D62:E62"/>
    <mergeCell ref="D63:L63"/>
    <mergeCell ref="D64:E64"/>
    <mergeCell ref="D75:L75"/>
    <mergeCell ref="D76:E76"/>
    <mergeCell ref="D77:L77"/>
    <mergeCell ref="D78:E78"/>
    <mergeCell ref="D79:L79"/>
    <mergeCell ref="D70:E70"/>
    <mergeCell ref="D71:L71"/>
    <mergeCell ref="D72:E72"/>
    <mergeCell ref="D73:L73"/>
    <mergeCell ref="D74:E74"/>
    <mergeCell ref="D85:L85"/>
    <mergeCell ref="D86:E86"/>
    <mergeCell ref="D87:L87"/>
    <mergeCell ref="D88:E88"/>
    <mergeCell ref="D89:L89"/>
    <mergeCell ref="D80:E80"/>
    <mergeCell ref="D81:L81"/>
    <mergeCell ref="D82:E82"/>
    <mergeCell ref="D83:L83"/>
    <mergeCell ref="D84:E84"/>
    <mergeCell ref="D95:L95"/>
    <mergeCell ref="D96:E96"/>
    <mergeCell ref="D97:L97"/>
    <mergeCell ref="D98:E98"/>
    <mergeCell ref="D99:L99"/>
    <mergeCell ref="D90:E90"/>
    <mergeCell ref="D91:L91"/>
    <mergeCell ref="D92:E92"/>
    <mergeCell ref="D93:L93"/>
    <mergeCell ref="D94:E94"/>
    <mergeCell ref="D105:L105"/>
    <mergeCell ref="D106:E106"/>
    <mergeCell ref="D107:L107"/>
    <mergeCell ref="D108:E108"/>
    <mergeCell ref="D109:L109"/>
    <mergeCell ref="D100:E100"/>
    <mergeCell ref="D101:L101"/>
    <mergeCell ref="D102:E102"/>
    <mergeCell ref="D103:L103"/>
    <mergeCell ref="D104:E104"/>
    <mergeCell ref="D115:L115"/>
    <mergeCell ref="D116:E116"/>
    <mergeCell ref="D117:L117"/>
    <mergeCell ref="D118:E118"/>
    <mergeCell ref="D119:L119"/>
    <mergeCell ref="D110:E110"/>
    <mergeCell ref="D111:E111"/>
    <mergeCell ref="D112:E112"/>
    <mergeCell ref="D113:E113"/>
    <mergeCell ref="D114:E114"/>
    <mergeCell ref="D125:L125"/>
    <mergeCell ref="D126:E126"/>
    <mergeCell ref="D127:L127"/>
    <mergeCell ref="D128:E128"/>
    <mergeCell ref="D129:L129"/>
    <mergeCell ref="D120:E120"/>
    <mergeCell ref="D121:L121"/>
    <mergeCell ref="D122:E122"/>
    <mergeCell ref="D123:L123"/>
    <mergeCell ref="D124:E124"/>
    <mergeCell ref="D135:L135"/>
    <mergeCell ref="D136:E136"/>
    <mergeCell ref="D137:L137"/>
    <mergeCell ref="D138:E138"/>
    <mergeCell ref="D139:L139"/>
    <mergeCell ref="D130:E130"/>
    <mergeCell ref="D131:L131"/>
    <mergeCell ref="D132:E132"/>
    <mergeCell ref="D133:L133"/>
    <mergeCell ref="D134:E134"/>
    <mergeCell ref="D145:L145"/>
    <mergeCell ref="D146:E146"/>
    <mergeCell ref="D147:L147"/>
    <mergeCell ref="D148:E148"/>
    <mergeCell ref="D149:E149"/>
    <mergeCell ref="D140:E140"/>
    <mergeCell ref="D141:L141"/>
    <mergeCell ref="D142:E142"/>
    <mergeCell ref="D143:L143"/>
    <mergeCell ref="D144:E14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95:E195"/>
    <mergeCell ref="D196:E196"/>
    <mergeCell ref="D197:E197"/>
    <mergeCell ref="D198:E198"/>
    <mergeCell ref="D199:E199"/>
    <mergeCell ref="D190:E190"/>
    <mergeCell ref="D191:E191"/>
    <mergeCell ref="D192:L192"/>
    <mergeCell ref="D193:E193"/>
    <mergeCell ref="D194:E194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  <mergeCell ref="D215:E215"/>
    <mergeCell ref="D216:L216"/>
    <mergeCell ref="D217:E217"/>
    <mergeCell ref="D218:L218"/>
    <mergeCell ref="D219:E219"/>
    <mergeCell ref="D210:E210"/>
    <mergeCell ref="D211:E211"/>
    <mergeCell ref="D212:L212"/>
    <mergeCell ref="D213:E213"/>
    <mergeCell ref="D214:L214"/>
    <mergeCell ref="D225:E225"/>
    <mergeCell ref="D226:L226"/>
    <mergeCell ref="D227:E227"/>
    <mergeCell ref="D228:L228"/>
    <mergeCell ref="D229:E229"/>
    <mergeCell ref="D220:L220"/>
    <mergeCell ref="D221:E221"/>
    <mergeCell ref="D222:L222"/>
    <mergeCell ref="D223:E223"/>
    <mergeCell ref="D224:L224"/>
    <mergeCell ref="D235:E235"/>
    <mergeCell ref="D236:L236"/>
    <mergeCell ref="D237:E237"/>
    <mergeCell ref="D238:L238"/>
    <mergeCell ref="D239:E239"/>
    <mergeCell ref="D230:L230"/>
    <mergeCell ref="D231:E231"/>
    <mergeCell ref="D232:L232"/>
    <mergeCell ref="D233:E233"/>
    <mergeCell ref="D234:L234"/>
    <mergeCell ref="D245:E245"/>
    <mergeCell ref="D246:E246"/>
    <mergeCell ref="D247:E247"/>
    <mergeCell ref="D248:E248"/>
    <mergeCell ref="D249:E249"/>
    <mergeCell ref="D240:L240"/>
    <mergeCell ref="D241:E241"/>
    <mergeCell ref="D242:L242"/>
    <mergeCell ref="D243:E243"/>
    <mergeCell ref="D244:L244"/>
    <mergeCell ref="D255:L255"/>
    <mergeCell ref="D256:E256"/>
    <mergeCell ref="D257:L257"/>
    <mergeCell ref="D258:E258"/>
    <mergeCell ref="D259:L259"/>
    <mergeCell ref="D250:E250"/>
    <mergeCell ref="D251:L251"/>
    <mergeCell ref="D252:E252"/>
    <mergeCell ref="D253:L253"/>
    <mergeCell ref="D254:E254"/>
    <mergeCell ref="D265:L265"/>
    <mergeCell ref="D266:E266"/>
    <mergeCell ref="D267:L267"/>
    <mergeCell ref="D268:E268"/>
    <mergeCell ref="D269:L269"/>
    <mergeCell ref="D260:E260"/>
    <mergeCell ref="D261:L261"/>
    <mergeCell ref="D262:E262"/>
    <mergeCell ref="D263:L263"/>
    <mergeCell ref="D264:E264"/>
    <mergeCell ref="D275:L275"/>
    <mergeCell ref="D276:E276"/>
    <mergeCell ref="D277:L277"/>
    <mergeCell ref="D278:E278"/>
    <mergeCell ref="D279:L279"/>
    <mergeCell ref="D270:E270"/>
    <mergeCell ref="D271:L271"/>
    <mergeCell ref="D272:E272"/>
    <mergeCell ref="D273:L273"/>
    <mergeCell ref="D274:E274"/>
    <mergeCell ref="D285:E285"/>
    <mergeCell ref="D286:E286"/>
    <mergeCell ref="D287:E287"/>
    <mergeCell ref="D288:E288"/>
    <mergeCell ref="D289:E289"/>
    <mergeCell ref="D280:E280"/>
    <mergeCell ref="D281:L281"/>
    <mergeCell ref="D282:E282"/>
    <mergeCell ref="D283:L283"/>
    <mergeCell ref="D284:E284"/>
    <mergeCell ref="D295:L295"/>
    <mergeCell ref="D296:E296"/>
    <mergeCell ref="D297:L297"/>
    <mergeCell ref="D298:E298"/>
    <mergeCell ref="D299:L299"/>
    <mergeCell ref="D290:E290"/>
    <mergeCell ref="D291:L291"/>
    <mergeCell ref="D292:E292"/>
    <mergeCell ref="D293:L293"/>
    <mergeCell ref="D294:E294"/>
    <mergeCell ref="D305:L305"/>
    <mergeCell ref="D306:E306"/>
    <mergeCell ref="D307:L307"/>
    <mergeCell ref="D308:E308"/>
    <mergeCell ref="D309:L309"/>
    <mergeCell ref="D300:E300"/>
    <mergeCell ref="D301:L301"/>
    <mergeCell ref="D302:E302"/>
    <mergeCell ref="D303:L303"/>
    <mergeCell ref="D304:E304"/>
    <mergeCell ref="D315:L315"/>
    <mergeCell ref="D316:E316"/>
    <mergeCell ref="D317:L317"/>
    <mergeCell ref="D318:E318"/>
    <mergeCell ref="D319:L319"/>
    <mergeCell ref="D310:E310"/>
    <mergeCell ref="D311:L311"/>
    <mergeCell ref="D312:E312"/>
    <mergeCell ref="D313:L313"/>
    <mergeCell ref="D314:E314"/>
    <mergeCell ref="D325:L325"/>
    <mergeCell ref="D326:E326"/>
    <mergeCell ref="D327:L327"/>
    <mergeCell ref="D328:E328"/>
    <mergeCell ref="D329:L329"/>
    <mergeCell ref="D320:E320"/>
    <mergeCell ref="D321:L321"/>
    <mergeCell ref="D322:E322"/>
    <mergeCell ref="D323:L323"/>
    <mergeCell ref="D324:E324"/>
    <mergeCell ref="D335:E335"/>
    <mergeCell ref="D336:E336"/>
    <mergeCell ref="D337:L337"/>
    <mergeCell ref="D338:E338"/>
    <mergeCell ref="D339:L339"/>
    <mergeCell ref="D330:E330"/>
    <mergeCell ref="D331:E331"/>
    <mergeCell ref="D332:E332"/>
    <mergeCell ref="D333:E333"/>
    <mergeCell ref="D334:E334"/>
    <mergeCell ref="D345:L345"/>
    <mergeCell ref="D346:E346"/>
    <mergeCell ref="D347:L347"/>
    <mergeCell ref="D348:E348"/>
    <mergeCell ref="D349:L349"/>
    <mergeCell ref="D340:E340"/>
    <mergeCell ref="D341:L341"/>
    <mergeCell ref="D342:E342"/>
    <mergeCell ref="D343:L343"/>
    <mergeCell ref="D344:E344"/>
    <mergeCell ref="D355:E355"/>
    <mergeCell ref="D356:E356"/>
    <mergeCell ref="D357:E357"/>
    <mergeCell ref="D358:L358"/>
    <mergeCell ref="D360:E360"/>
    <mergeCell ref="D350:E350"/>
    <mergeCell ref="D351:L351"/>
    <mergeCell ref="D352:E352"/>
    <mergeCell ref="D353:E353"/>
    <mergeCell ref="D354:E354"/>
    <mergeCell ref="D370:E370"/>
    <mergeCell ref="D371:L371"/>
    <mergeCell ref="D373:E373"/>
    <mergeCell ref="D374:L374"/>
    <mergeCell ref="D376:E376"/>
    <mergeCell ref="D361:L361"/>
    <mergeCell ref="D363:E363"/>
    <mergeCell ref="D365:E365"/>
    <mergeCell ref="D366:E366"/>
    <mergeCell ref="D369:E369"/>
    <mergeCell ref="D388:E388"/>
    <mergeCell ref="D389:L389"/>
    <mergeCell ref="D391:E391"/>
    <mergeCell ref="D392:L392"/>
    <mergeCell ref="D394:E394"/>
    <mergeCell ref="D378:E378"/>
    <mergeCell ref="D380:E380"/>
    <mergeCell ref="D382:E382"/>
    <mergeCell ref="D385:E385"/>
    <mergeCell ref="D386:L386"/>
    <mergeCell ref="D406:L406"/>
    <mergeCell ref="D408:E408"/>
    <mergeCell ref="D409:L409"/>
    <mergeCell ref="D411:E411"/>
    <mergeCell ref="D412:L412"/>
    <mergeCell ref="D395:L395"/>
    <mergeCell ref="D397:E397"/>
    <mergeCell ref="D398:L398"/>
    <mergeCell ref="D403:E403"/>
    <mergeCell ref="D405:E405"/>
    <mergeCell ref="D421:L421"/>
    <mergeCell ref="D426:E426"/>
    <mergeCell ref="D427:L427"/>
    <mergeCell ref="D429:E429"/>
    <mergeCell ref="D437:E437"/>
    <mergeCell ref="D414:E414"/>
    <mergeCell ref="D415:L415"/>
    <mergeCell ref="D417:E417"/>
    <mergeCell ref="D418:L418"/>
    <mergeCell ref="D420:E420"/>
    <mergeCell ref="D447:E447"/>
    <mergeCell ref="D448:L448"/>
    <mergeCell ref="D450:E450"/>
    <mergeCell ref="D451:E451"/>
    <mergeCell ref="D453:E453"/>
    <mergeCell ref="D438:L438"/>
    <mergeCell ref="D440:E440"/>
    <mergeCell ref="D441:E441"/>
    <mergeCell ref="D443:E443"/>
    <mergeCell ref="D445:E445"/>
    <mergeCell ref="D461:L461"/>
    <mergeCell ref="D463:E463"/>
    <mergeCell ref="D464:L464"/>
    <mergeCell ref="D466:E466"/>
    <mergeCell ref="D467:L467"/>
    <mergeCell ref="D454:L454"/>
    <mergeCell ref="D456:E456"/>
    <mergeCell ref="D457:L457"/>
    <mergeCell ref="D459:E459"/>
    <mergeCell ref="D460:E460"/>
    <mergeCell ref="D478:E478"/>
    <mergeCell ref="D479:L479"/>
    <mergeCell ref="D481:E481"/>
    <mergeCell ref="D482:E482"/>
    <mergeCell ref="D484:E484"/>
    <mergeCell ref="D469:E469"/>
    <mergeCell ref="D472:E472"/>
    <mergeCell ref="D473:L473"/>
    <mergeCell ref="D475:E475"/>
    <mergeCell ref="D476:L476"/>
    <mergeCell ref="D494:E494"/>
    <mergeCell ref="D495:L495"/>
    <mergeCell ref="D497:E497"/>
    <mergeCell ref="D498:L498"/>
    <mergeCell ref="D500:E500"/>
    <mergeCell ref="D486:E486"/>
    <mergeCell ref="D487:L487"/>
    <mergeCell ref="D489:E489"/>
    <mergeCell ref="D491:E491"/>
    <mergeCell ref="D492:L492"/>
    <mergeCell ref="D511:E511"/>
    <mergeCell ref="D513:E513"/>
    <mergeCell ref="D515:E515"/>
    <mergeCell ref="D516:L516"/>
    <mergeCell ref="D518:E518"/>
    <mergeCell ref="D501:E501"/>
    <mergeCell ref="D503:E503"/>
    <mergeCell ref="D505:E505"/>
    <mergeCell ref="D507:E507"/>
    <mergeCell ref="D509:E509"/>
    <mergeCell ref="D529:L529"/>
    <mergeCell ref="D531:E531"/>
    <mergeCell ref="D532:L532"/>
    <mergeCell ref="D536:E536"/>
    <mergeCell ref="D538:E538"/>
    <mergeCell ref="D519:L519"/>
    <mergeCell ref="D521:E521"/>
    <mergeCell ref="D522:E522"/>
    <mergeCell ref="D523:L523"/>
    <mergeCell ref="D528:E528"/>
    <mergeCell ref="D550:E550"/>
    <mergeCell ref="D553:E553"/>
    <mergeCell ref="D556:E556"/>
    <mergeCell ref="D557:L557"/>
    <mergeCell ref="D559:E559"/>
    <mergeCell ref="D539:E539"/>
    <mergeCell ref="D540:L540"/>
    <mergeCell ref="D542:E542"/>
    <mergeCell ref="D543:L543"/>
    <mergeCell ref="D547:E547"/>
    <mergeCell ref="D569:L569"/>
    <mergeCell ref="D575:E575"/>
    <mergeCell ref="D576:L576"/>
    <mergeCell ref="D580:E580"/>
    <mergeCell ref="D581:L581"/>
    <mergeCell ref="D560:L560"/>
    <mergeCell ref="D562:E562"/>
    <mergeCell ref="D565:E565"/>
    <mergeCell ref="D566:L566"/>
    <mergeCell ref="D568:E568"/>
    <mergeCell ref="D594:E594"/>
    <mergeCell ref="D600:E600"/>
    <mergeCell ref="D603:E603"/>
    <mergeCell ref="D606:E606"/>
    <mergeCell ref="D609:E609"/>
    <mergeCell ref="D584:E584"/>
    <mergeCell ref="D586:E586"/>
    <mergeCell ref="D589:E589"/>
    <mergeCell ref="D591:E591"/>
    <mergeCell ref="D592:L592"/>
    <mergeCell ref="D623:E623"/>
    <mergeCell ref="D626:E626"/>
    <mergeCell ref="D627:L627"/>
    <mergeCell ref="D629:E629"/>
    <mergeCell ref="D632:E632"/>
    <mergeCell ref="D612:E612"/>
    <mergeCell ref="D613:L613"/>
    <mergeCell ref="D617:E617"/>
    <mergeCell ref="D618:L618"/>
    <mergeCell ref="D620:E620"/>
    <mergeCell ref="D644:E644"/>
    <mergeCell ref="D647:E647"/>
    <mergeCell ref="D648:L648"/>
    <mergeCell ref="D650:E650"/>
    <mergeCell ref="D651:L651"/>
    <mergeCell ref="D633:L633"/>
    <mergeCell ref="D635:E635"/>
    <mergeCell ref="D636:L636"/>
    <mergeCell ref="D641:E641"/>
    <mergeCell ref="D642:L642"/>
    <mergeCell ref="D658:E658"/>
    <mergeCell ref="D659:L659"/>
    <mergeCell ref="D660:E660"/>
    <mergeCell ref="D661:E661"/>
    <mergeCell ref="D662:L662"/>
    <mergeCell ref="D653:E653"/>
    <mergeCell ref="D654:L654"/>
    <mergeCell ref="D655:E655"/>
    <mergeCell ref="D656:E656"/>
    <mergeCell ref="D657:E657"/>
    <mergeCell ref="D668:E668"/>
    <mergeCell ref="D669:E669"/>
    <mergeCell ref="D671:E671"/>
    <mergeCell ref="D672:E672"/>
    <mergeCell ref="D673:E673"/>
    <mergeCell ref="D663:E663"/>
    <mergeCell ref="D664:E664"/>
    <mergeCell ref="D665:E665"/>
    <mergeCell ref="D666:E666"/>
    <mergeCell ref="D667:E667"/>
    <mergeCell ref="D679:E679"/>
    <mergeCell ref="D680:E680"/>
    <mergeCell ref="D681:E681"/>
    <mergeCell ref="D682:E682"/>
    <mergeCell ref="D683:E683"/>
    <mergeCell ref="D674:E674"/>
    <mergeCell ref="D675:E675"/>
    <mergeCell ref="D676:E676"/>
    <mergeCell ref="D677:E677"/>
    <mergeCell ref="D678:E678"/>
    <mergeCell ref="D689:E689"/>
    <mergeCell ref="D690:E690"/>
    <mergeCell ref="D691:E691"/>
    <mergeCell ref="D692:E692"/>
    <mergeCell ref="D693:E693"/>
    <mergeCell ref="D684:E684"/>
    <mergeCell ref="D685:E685"/>
    <mergeCell ref="D686:E686"/>
    <mergeCell ref="D687:E687"/>
    <mergeCell ref="D688:E688"/>
    <mergeCell ref="D699:E699"/>
    <mergeCell ref="D700:E700"/>
    <mergeCell ref="D701:E701"/>
    <mergeCell ref="D702:E702"/>
    <mergeCell ref="D703:E703"/>
    <mergeCell ref="D694:E694"/>
    <mergeCell ref="D695:E695"/>
    <mergeCell ref="D696:E696"/>
    <mergeCell ref="D697:E697"/>
    <mergeCell ref="D698:E698"/>
    <mergeCell ref="D709:E709"/>
    <mergeCell ref="D710:E710"/>
    <mergeCell ref="D711:E711"/>
    <mergeCell ref="D712:E712"/>
    <mergeCell ref="D713:E713"/>
    <mergeCell ref="D704:E704"/>
    <mergeCell ref="D705:E705"/>
    <mergeCell ref="D706:E706"/>
    <mergeCell ref="D707:E707"/>
    <mergeCell ref="D708:E708"/>
    <mergeCell ref="D719:E719"/>
    <mergeCell ref="D720:E720"/>
    <mergeCell ref="D721:E721"/>
    <mergeCell ref="D722:E722"/>
    <mergeCell ref="D723:E723"/>
    <mergeCell ref="D714:E714"/>
    <mergeCell ref="D715:E715"/>
    <mergeCell ref="D716:E716"/>
    <mergeCell ref="D717:E717"/>
    <mergeCell ref="D718:E718"/>
    <mergeCell ref="D729:E729"/>
    <mergeCell ref="D730:E730"/>
    <mergeCell ref="D731:E731"/>
    <mergeCell ref="D732:E732"/>
    <mergeCell ref="D733:E733"/>
    <mergeCell ref="D724:E724"/>
    <mergeCell ref="D725:E725"/>
    <mergeCell ref="D726:E726"/>
    <mergeCell ref="D727:E727"/>
    <mergeCell ref="D728:E728"/>
    <mergeCell ref="D744:E744"/>
    <mergeCell ref="D746:E746"/>
    <mergeCell ref="D747:E747"/>
    <mergeCell ref="D748:L748"/>
    <mergeCell ref="D749:E749"/>
    <mergeCell ref="D735:E735"/>
    <mergeCell ref="D736:L736"/>
    <mergeCell ref="D738:E738"/>
    <mergeCell ref="D740:E740"/>
    <mergeCell ref="D742:E742"/>
    <mergeCell ref="D757:E757"/>
    <mergeCell ref="D758:E758"/>
    <mergeCell ref="D759:E759"/>
    <mergeCell ref="D760:E760"/>
    <mergeCell ref="D761:E761"/>
    <mergeCell ref="D751:E751"/>
    <mergeCell ref="D753:E753"/>
    <mergeCell ref="D754:E754"/>
    <mergeCell ref="D755:E755"/>
    <mergeCell ref="D756:E756"/>
    <mergeCell ref="D767:E767"/>
    <mergeCell ref="D768:E768"/>
    <mergeCell ref="D769:E769"/>
    <mergeCell ref="D770:E770"/>
    <mergeCell ref="D771:E771"/>
    <mergeCell ref="D762:E762"/>
    <mergeCell ref="D763:E763"/>
    <mergeCell ref="D764:E764"/>
    <mergeCell ref="D765:E765"/>
    <mergeCell ref="D766:E766"/>
    <mergeCell ref="D777:E777"/>
    <mergeCell ref="D778:E778"/>
    <mergeCell ref="D779:E779"/>
    <mergeCell ref="D780:E780"/>
    <mergeCell ref="D781:E781"/>
    <mergeCell ref="D772:E772"/>
    <mergeCell ref="D773:E773"/>
    <mergeCell ref="D774:E774"/>
    <mergeCell ref="D775:E775"/>
    <mergeCell ref="D776:E776"/>
    <mergeCell ref="D787:E787"/>
    <mergeCell ref="D788:E788"/>
    <mergeCell ref="D789:E789"/>
    <mergeCell ref="D790:E790"/>
    <mergeCell ref="D791:E791"/>
    <mergeCell ref="D782:E782"/>
    <mergeCell ref="D783:E783"/>
    <mergeCell ref="D784:E784"/>
    <mergeCell ref="D785:E785"/>
    <mergeCell ref="D786:E786"/>
    <mergeCell ref="D797:E797"/>
    <mergeCell ref="D798:E798"/>
    <mergeCell ref="D799:E799"/>
    <mergeCell ref="D800:E800"/>
    <mergeCell ref="D801:E801"/>
    <mergeCell ref="D792:E792"/>
    <mergeCell ref="D793:E793"/>
    <mergeCell ref="D794:E794"/>
    <mergeCell ref="D795:E795"/>
    <mergeCell ref="D796:E796"/>
    <mergeCell ref="D814:E814"/>
    <mergeCell ref="D816:E816"/>
    <mergeCell ref="D818:E818"/>
    <mergeCell ref="D820:E820"/>
    <mergeCell ref="D823:E823"/>
    <mergeCell ref="D802:E802"/>
    <mergeCell ref="D803:E803"/>
    <mergeCell ref="D804:L804"/>
    <mergeCell ref="D809:E809"/>
    <mergeCell ref="D811:E811"/>
    <mergeCell ref="D840:E840"/>
    <mergeCell ref="D842:E842"/>
    <mergeCell ref="D843:L843"/>
    <mergeCell ref="D845:E845"/>
    <mergeCell ref="D846:L846"/>
    <mergeCell ref="D826:E826"/>
    <mergeCell ref="D830:E830"/>
    <mergeCell ref="D832:E832"/>
    <mergeCell ref="D835:E835"/>
    <mergeCell ref="D837:E837"/>
    <mergeCell ref="D855:L855"/>
    <mergeCell ref="D857:E857"/>
    <mergeCell ref="D858:L858"/>
    <mergeCell ref="D860:E860"/>
    <mergeCell ref="D863:E863"/>
    <mergeCell ref="D848:E848"/>
    <mergeCell ref="D849:L849"/>
    <mergeCell ref="D851:E851"/>
    <mergeCell ref="D852:L852"/>
    <mergeCell ref="D854:E854"/>
    <mergeCell ref="D875:L875"/>
    <mergeCell ref="D877:E877"/>
    <mergeCell ref="D878:L878"/>
    <mergeCell ref="D880:E880"/>
    <mergeCell ref="D883:E883"/>
    <mergeCell ref="D864:L864"/>
    <mergeCell ref="D866:E866"/>
    <mergeCell ref="D869:E869"/>
    <mergeCell ref="D871:E871"/>
    <mergeCell ref="D874:E874"/>
    <mergeCell ref="D895:E895"/>
    <mergeCell ref="D897:E897"/>
    <mergeCell ref="D899:E899"/>
    <mergeCell ref="D900:E900"/>
    <mergeCell ref="D901:L901"/>
    <mergeCell ref="D886:E886"/>
    <mergeCell ref="D888:E888"/>
    <mergeCell ref="D889:L889"/>
    <mergeCell ref="D891:E891"/>
    <mergeCell ref="D893:E893"/>
    <mergeCell ref="D915:E915"/>
    <mergeCell ref="D916:L916"/>
    <mergeCell ref="D918:E918"/>
    <mergeCell ref="D921:E921"/>
    <mergeCell ref="D922:L922"/>
    <mergeCell ref="D904:E904"/>
    <mergeCell ref="D907:E907"/>
    <mergeCell ref="D909:E909"/>
    <mergeCell ref="D910:L910"/>
    <mergeCell ref="D912:E912"/>
    <mergeCell ref="D933:L933"/>
    <mergeCell ref="D938:E938"/>
    <mergeCell ref="D941:E941"/>
    <mergeCell ref="D943:E943"/>
    <mergeCell ref="D944:E944"/>
    <mergeCell ref="D924:E924"/>
    <mergeCell ref="D927:E927"/>
    <mergeCell ref="D928:E928"/>
    <mergeCell ref="D930:E930"/>
    <mergeCell ref="D932:E932"/>
    <mergeCell ref="D954:E954"/>
    <mergeCell ref="D955:L955"/>
    <mergeCell ref="D957:E957"/>
    <mergeCell ref="D959:E959"/>
    <mergeCell ref="D960:L960"/>
    <mergeCell ref="D945:L945"/>
    <mergeCell ref="D947:E947"/>
    <mergeCell ref="D948:L948"/>
    <mergeCell ref="D950:E950"/>
    <mergeCell ref="D952:E952"/>
    <mergeCell ref="D970:E970"/>
    <mergeCell ref="D971:L971"/>
    <mergeCell ref="D973:E973"/>
    <mergeCell ref="D974:L974"/>
    <mergeCell ref="D976:E976"/>
    <mergeCell ref="D962:E962"/>
    <mergeCell ref="D964:E964"/>
    <mergeCell ref="D965:L965"/>
    <mergeCell ref="D967:E967"/>
    <mergeCell ref="D968:L968"/>
    <mergeCell ref="D985:E985"/>
    <mergeCell ref="D986:L986"/>
    <mergeCell ref="D988:E988"/>
    <mergeCell ref="D989:L989"/>
    <mergeCell ref="D991:E991"/>
    <mergeCell ref="D977:L977"/>
    <mergeCell ref="D979:E979"/>
    <mergeCell ref="D980:L980"/>
    <mergeCell ref="D982:E982"/>
    <mergeCell ref="D983:L983"/>
    <mergeCell ref="D1000:E1000"/>
    <mergeCell ref="D1001:L1001"/>
    <mergeCell ref="D1003:E1003"/>
    <mergeCell ref="D1004:L1004"/>
    <mergeCell ref="D1006:E1006"/>
    <mergeCell ref="D992:L992"/>
    <mergeCell ref="D994:E994"/>
    <mergeCell ref="D995:L995"/>
    <mergeCell ref="D997:E997"/>
    <mergeCell ref="D998:L998"/>
    <mergeCell ref="D1015:E1015"/>
    <mergeCell ref="D1016:L1016"/>
    <mergeCell ref="D1018:E1018"/>
    <mergeCell ref="D1019:L1019"/>
    <mergeCell ref="D1021:E1021"/>
    <mergeCell ref="D1007:L1007"/>
    <mergeCell ref="D1009:E1009"/>
    <mergeCell ref="D1010:L1010"/>
    <mergeCell ref="D1012:E1012"/>
    <mergeCell ref="D1013:L1013"/>
    <mergeCell ref="D1030:E1030"/>
    <mergeCell ref="D1031:L1031"/>
    <mergeCell ref="D1033:E1033"/>
    <mergeCell ref="D1034:L1034"/>
    <mergeCell ref="D1036:E1036"/>
    <mergeCell ref="D1022:L1022"/>
    <mergeCell ref="D1024:E1024"/>
    <mergeCell ref="D1025:L1025"/>
    <mergeCell ref="D1027:E1027"/>
    <mergeCell ref="D1028:L1028"/>
    <mergeCell ref="D1045:E1045"/>
    <mergeCell ref="D1046:L1046"/>
    <mergeCell ref="D1048:E1048"/>
    <mergeCell ref="D1050:E1050"/>
    <mergeCell ref="D1051:E1051"/>
    <mergeCell ref="D1037:L1037"/>
    <mergeCell ref="D1039:E1039"/>
    <mergeCell ref="D1040:L1040"/>
    <mergeCell ref="D1042:E1042"/>
    <mergeCell ref="D1043:L1043"/>
    <mergeCell ref="D1065:E1065"/>
    <mergeCell ref="D1067:E1067"/>
    <mergeCell ref="D1068:L1068"/>
    <mergeCell ref="D1072:E1072"/>
    <mergeCell ref="D1075:E1075"/>
    <mergeCell ref="D1052:L1052"/>
    <mergeCell ref="D1054:E1054"/>
    <mergeCell ref="D1055:L1055"/>
    <mergeCell ref="D1059:E1059"/>
    <mergeCell ref="D1062:E1062"/>
    <mergeCell ref="D1089:E1089"/>
    <mergeCell ref="D1093:E1093"/>
    <mergeCell ref="D1094:L1094"/>
    <mergeCell ref="D1100:E1100"/>
    <mergeCell ref="D1101:L1101"/>
    <mergeCell ref="D1078:E1078"/>
    <mergeCell ref="D1080:E1080"/>
    <mergeCell ref="D1081:L1081"/>
    <mergeCell ref="D1084:E1084"/>
    <mergeCell ref="D1087:E1087"/>
    <mergeCell ref="D1112:E1112"/>
    <mergeCell ref="D1113:E1113"/>
    <mergeCell ref="D1116:E1116"/>
    <mergeCell ref="D1117:L1117"/>
    <mergeCell ref="D1120:E1120"/>
    <mergeCell ref="D1103:E1103"/>
    <mergeCell ref="D1104:L1104"/>
    <mergeCell ref="D1107:E1107"/>
    <mergeCell ref="D1108:L1108"/>
    <mergeCell ref="D1110:E1110"/>
    <mergeCell ref="D1132:E1132"/>
    <mergeCell ref="D1133:E1133"/>
    <mergeCell ref="D1134:L1134"/>
    <mergeCell ref="D1136:E1136"/>
    <mergeCell ref="D1138:E1138"/>
    <mergeCell ref="D1121:L1121"/>
    <mergeCell ref="D1123:E1123"/>
    <mergeCell ref="D1127:E1127"/>
    <mergeCell ref="D1128:L1128"/>
    <mergeCell ref="D1130:E1130"/>
    <mergeCell ref="D1148:E1148"/>
    <mergeCell ref="D1150:E1150"/>
    <mergeCell ref="D1151:E1151"/>
    <mergeCell ref="D1152:L1152"/>
    <mergeCell ref="D1154:E1154"/>
    <mergeCell ref="D1139:L1139"/>
    <mergeCell ref="D1141:E1141"/>
    <mergeCell ref="D1143:E1143"/>
    <mergeCell ref="D1144:L1144"/>
    <mergeCell ref="D1146:E1146"/>
    <mergeCell ref="D1167:E1167"/>
    <mergeCell ref="D1169:E1169"/>
    <mergeCell ref="D1172:E1172"/>
    <mergeCell ref="D1174:E1174"/>
    <mergeCell ref="D1175:E1175"/>
    <mergeCell ref="D1156:E1156"/>
    <mergeCell ref="D1159:E1159"/>
    <mergeCell ref="D1160:L1160"/>
    <mergeCell ref="D1162:E1162"/>
    <mergeCell ref="D1164:E1164"/>
    <mergeCell ref="D1184:E1184"/>
    <mergeCell ref="D1185:L1185"/>
    <mergeCell ref="D1187:E1187"/>
    <mergeCell ref="D1190:E1190"/>
    <mergeCell ref="D1192:E1192"/>
    <mergeCell ref="D1176:L1176"/>
    <mergeCell ref="D1178:E1178"/>
    <mergeCell ref="D1179:L1179"/>
    <mergeCell ref="D1181:E1181"/>
    <mergeCell ref="D1182:L1182"/>
    <mergeCell ref="D1202:L1202"/>
    <mergeCell ref="D1204:E1204"/>
    <mergeCell ref="D1205:E1205"/>
    <mergeCell ref="D1209:E1209"/>
    <mergeCell ref="D1210:L1210"/>
    <mergeCell ref="D1193:E1193"/>
    <mergeCell ref="D1195:E1195"/>
    <mergeCell ref="D1197:E1197"/>
    <mergeCell ref="D1199:E1199"/>
    <mergeCell ref="D1201:E1201"/>
    <mergeCell ref="D1218:E1218"/>
    <mergeCell ref="D1220:E1220"/>
    <mergeCell ref="D1222:E1222"/>
    <mergeCell ref="D1223:E1223"/>
    <mergeCell ref="D1224:L1224"/>
    <mergeCell ref="D1212:E1212"/>
    <mergeCell ref="D1213:L1213"/>
    <mergeCell ref="D1215:E1215"/>
    <mergeCell ref="D1216:E1216"/>
    <mergeCell ref="D1217:L1217"/>
    <mergeCell ref="D1235:E1235"/>
    <mergeCell ref="D1237:E1237"/>
    <mergeCell ref="D1239:E1239"/>
    <mergeCell ref="D1241:E1241"/>
    <mergeCell ref="D1243:E1243"/>
    <mergeCell ref="D1226:E1226"/>
    <mergeCell ref="D1228:E1228"/>
    <mergeCell ref="D1229:E1229"/>
    <mergeCell ref="D1232:E1232"/>
    <mergeCell ref="D1233:L1233"/>
    <mergeCell ref="D1253:E1253"/>
    <mergeCell ref="D1254:L1254"/>
    <mergeCell ref="D1256:E1256"/>
    <mergeCell ref="D1257:L1257"/>
    <mergeCell ref="D1259:E1259"/>
    <mergeCell ref="D1244:E1244"/>
    <mergeCell ref="D1245:L1245"/>
    <mergeCell ref="D1247:E1247"/>
    <mergeCell ref="D1249:E1249"/>
    <mergeCell ref="D1251:E1251"/>
    <mergeCell ref="D1268:E1268"/>
    <mergeCell ref="D1270:E1270"/>
    <mergeCell ref="D1272:E1272"/>
    <mergeCell ref="D1274:E1274"/>
    <mergeCell ref="D1276:E1276"/>
    <mergeCell ref="D1260:L1260"/>
    <mergeCell ref="D1262:E1262"/>
    <mergeCell ref="D1263:L1263"/>
    <mergeCell ref="D1265:E1265"/>
    <mergeCell ref="D1266:L1266"/>
    <mergeCell ref="D1288:E1288"/>
    <mergeCell ref="D1290:E1290"/>
    <mergeCell ref="D1295:E1295"/>
    <mergeCell ref="D1296:L1296"/>
    <mergeCell ref="D1300:E1300"/>
    <mergeCell ref="D1277:E1277"/>
    <mergeCell ref="D1278:L1278"/>
    <mergeCell ref="D1283:E1283"/>
    <mergeCell ref="D1284:L1284"/>
    <mergeCell ref="D1286:E1286"/>
    <mergeCell ref="D1310:L1310"/>
    <mergeCell ref="D1312:E1312"/>
    <mergeCell ref="D1314:E1314"/>
    <mergeCell ref="D1316:E1316"/>
    <mergeCell ref="D1318:E1318"/>
    <mergeCell ref="D1302:E1302"/>
    <mergeCell ref="D1304:E1304"/>
    <mergeCell ref="D1306:E1306"/>
    <mergeCell ref="D1308:E1308"/>
    <mergeCell ref="D1309:E1309"/>
    <mergeCell ref="D1328:E1328"/>
    <mergeCell ref="D1329:E1329"/>
    <mergeCell ref="D1330:E1330"/>
    <mergeCell ref="D1331:E1331"/>
    <mergeCell ref="D1333:E1333"/>
    <mergeCell ref="D1320:E1320"/>
    <mergeCell ref="D1322:E1322"/>
    <mergeCell ref="D1324:E1324"/>
    <mergeCell ref="D1325:E1325"/>
    <mergeCell ref="D1327:E1327"/>
    <mergeCell ref="D1342:E1342"/>
    <mergeCell ref="D1344:E1344"/>
    <mergeCell ref="D1346:E1346"/>
    <mergeCell ref="D1347:L1347"/>
    <mergeCell ref="D1349:E1349"/>
    <mergeCell ref="D1334:E1334"/>
    <mergeCell ref="D1335:L1335"/>
    <mergeCell ref="D1337:E1337"/>
    <mergeCell ref="D1338:E1338"/>
    <mergeCell ref="D1340:E1340"/>
    <mergeCell ref="D1359:L1359"/>
    <mergeCell ref="D1361:E1361"/>
    <mergeCell ref="D1362:E1362"/>
    <mergeCell ref="D1364:E1364"/>
    <mergeCell ref="D1366:E1366"/>
    <mergeCell ref="D1351:E1351"/>
    <mergeCell ref="D1352:L1352"/>
    <mergeCell ref="D1355:E1355"/>
    <mergeCell ref="D1356:L1356"/>
    <mergeCell ref="D1358:E1358"/>
    <mergeCell ref="D1388:E1388"/>
    <mergeCell ref="A1392:L1392"/>
    <mergeCell ref="D1378:E1378"/>
    <mergeCell ref="D1380:E1380"/>
    <mergeCell ref="D1382:E1382"/>
    <mergeCell ref="D1384:E1384"/>
    <mergeCell ref="D1385:L1385"/>
    <mergeCell ref="D1368:E1368"/>
    <mergeCell ref="D1370:E1370"/>
    <mergeCell ref="D1371:L1371"/>
    <mergeCell ref="D1373:E1373"/>
    <mergeCell ref="D1374:L1374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workbookViewId="0" topLeftCell="A1">
      <pane ySplit="11" topLeftCell="A12" activePane="bottomLeft" state="frozen"/>
      <selection pane="bottomLeft" activeCell="K22" sqref="K22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259" t="s">
        <v>3777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4.4">
      <c r="A2" s="190" t="s">
        <v>1</v>
      </c>
      <c r="B2" s="191"/>
      <c r="C2" s="191"/>
      <c r="D2" s="196" t="str">
        <f>'Stavební rozpočet-vyplnit'!D2</f>
        <v>Vybudování edukačního centra a digit.pracoviště v Městské knihovně T.G.Masaryka Šumperk</v>
      </c>
      <c r="E2" s="197"/>
      <c r="F2" s="197"/>
      <c r="G2" s="187" t="s">
        <v>78</v>
      </c>
      <c r="H2" s="187" t="str">
        <f>'Stavební rozpočet-vyplnit'!H2</f>
        <v xml:space="preserve"> </v>
      </c>
      <c r="I2" s="187" t="s">
        <v>2</v>
      </c>
      <c r="J2" s="187" t="str">
        <f>'Stavební rozpočet-vyplnit'!J2</f>
        <v>Město Šumperk</v>
      </c>
      <c r="K2" s="191"/>
      <c r="L2" s="193"/>
    </row>
    <row r="3" spans="1:12" ht="15" customHeight="1">
      <c r="A3" s="192"/>
      <c r="B3" s="148"/>
      <c r="C3" s="148"/>
      <c r="D3" s="198"/>
      <c r="E3" s="198"/>
      <c r="F3" s="198"/>
      <c r="G3" s="148"/>
      <c r="H3" s="148"/>
      <c r="I3" s="148"/>
      <c r="J3" s="148"/>
      <c r="K3" s="148"/>
      <c r="L3" s="194"/>
    </row>
    <row r="4" spans="1:12" ht="14.4">
      <c r="A4" s="185" t="s">
        <v>5</v>
      </c>
      <c r="B4" s="148"/>
      <c r="C4" s="148"/>
      <c r="D4" s="147" t="str">
        <f>'Stavební rozpočet-vyplnit'!D4</f>
        <v>Stavební úpravy, nástavba</v>
      </c>
      <c r="E4" s="148"/>
      <c r="F4" s="148"/>
      <c r="G4" s="147" t="s">
        <v>9</v>
      </c>
      <c r="H4" s="147" t="str">
        <f>'Stavební rozpočet-vyplnit'!H4</f>
        <v xml:space="preserve"> </v>
      </c>
      <c r="I4" s="147" t="s">
        <v>6</v>
      </c>
      <c r="J4" s="147" t="str">
        <f>'Stavební rozpočet-vyplnit'!J4</f>
        <v>Ing.Ladislav Trčka - PROINK</v>
      </c>
      <c r="K4" s="148"/>
      <c r="L4" s="194"/>
    </row>
    <row r="5" spans="1:12" ht="15" customHeight="1">
      <c r="A5" s="192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94"/>
    </row>
    <row r="6" spans="1:12" ht="14.4">
      <c r="A6" s="185" t="s">
        <v>7</v>
      </c>
      <c r="B6" s="148"/>
      <c r="C6" s="148"/>
      <c r="D6" s="147" t="str">
        <f>'Stavební rozpočet-vyplnit'!D6</f>
        <v>Šumperk</v>
      </c>
      <c r="E6" s="148"/>
      <c r="F6" s="148"/>
      <c r="G6" s="147" t="s">
        <v>10</v>
      </c>
      <c r="H6" s="147" t="str">
        <f>'Stavební rozpočet-vyplnit'!H6</f>
        <v xml:space="preserve"> </v>
      </c>
      <c r="I6" s="147" t="s">
        <v>8</v>
      </c>
      <c r="J6" s="147">
        <f>'Stavební rozpočet-vyplnit'!J6</f>
        <v>0</v>
      </c>
      <c r="K6" s="148"/>
      <c r="L6" s="194"/>
    </row>
    <row r="7" spans="1:12" ht="15" customHeight="1">
      <c r="A7" s="192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94"/>
    </row>
    <row r="8" spans="1:12" ht="14.4">
      <c r="A8" s="185" t="s">
        <v>12</v>
      </c>
      <c r="B8" s="148"/>
      <c r="C8" s="148"/>
      <c r="D8" s="147" t="str">
        <f>'Stavební rozpočet-vyplnit'!D8</f>
        <v>8014614</v>
      </c>
      <c r="E8" s="148"/>
      <c r="F8" s="148"/>
      <c r="G8" s="147" t="s">
        <v>85</v>
      </c>
      <c r="H8" s="147">
        <f>'Stavební rozpočet-vyplnit'!H8</f>
        <v>0</v>
      </c>
      <c r="I8" s="147" t="s">
        <v>13</v>
      </c>
      <c r="J8" s="147">
        <f>'Stavební rozpočet-vyplnit'!J8</f>
        <v>0</v>
      </c>
      <c r="K8" s="148"/>
      <c r="L8" s="194"/>
    </row>
    <row r="9" spans="1:12" ht="14.4">
      <c r="A9" s="251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5"/>
    </row>
    <row r="10" spans="1:12" ht="14.4">
      <c r="A10" s="115" t="s">
        <v>79</v>
      </c>
      <c r="B10" s="116" t="s">
        <v>79</v>
      </c>
      <c r="C10" s="256" t="s">
        <v>79</v>
      </c>
      <c r="D10" s="257"/>
      <c r="E10" s="257"/>
      <c r="F10" s="257"/>
      <c r="G10" s="257"/>
      <c r="H10" s="257"/>
      <c r="I10" s="257"/>
      <c r="J10" s="258"/>
      <c r="K10" s="32" t="s">
        <v>93</v>
      </c>
      <c r="L10" s="117" t="s">
        <v>94</v>
      </c>
    </row>
    <row r="11" spans="1:12" ht="14.4">
      <c r="A11" s="118" t="s">
        <v>87</v>
      </c>
      <c r="B11" s="119" t="s">
        <v>88</v>
      </c>
      <c r="C11" s="236" t="s">
        <v>89</v>
      </c>
      <c r="D11" s="253"/>
      <c r="E11" s="253"/>
      <c r="F11" s="253"/>
      <c r="G11" s="253"/>
      <c r="H11" s="253"/>
      <c r="I11" s="253"/>
      <c r="J11" s="237"/>
      <c r="K11" s="39" t="s">
        <v>101</v>
      </c>
      <c r="L11" s="120" t="s">
        <v>101</v>
      </c>
    </row>
    <row r="12" spans="1:16" ht="14.4">
      <c r="A12" s="131" t="s">
        <v>2629</v>
      </c>
      <c r="B12" s="132" t="s">
        <v>4</v>
      </c>
      <c r="C12" s="254" t="s">
        <v>2630</v>
      </c>
      <c r="D12" s="254"/>
      <c r="E12" s="254"/>
      <c r="F12" s="254"/>
      <c r="G12" s="254"/>
      <c r="H12" s="254"/>
      <c r="I12" s="254"/>
      <c r="J12" s="254"/>
      <c r="K12" s="133"/>
      <c r="L12" s="134"/>
      <c r="M12" s="125" t="s">
        <v>3772</v>
      </c>
      <c r="N12" s="55">
        <f aca="true" t="shared" si="0" ref="N12:N33">IF(M12="F",0,K12)</f>
        <v>0</v>
      </c>
      <c r="O12" s="2" t="s">
        <v>2629</v>
      </c>
      <c r="P12" s="55">
        <f aca="true" t="shared" si="1" ref="P12:P33">IF(M12="T",0,K12)</f>
        <v>0</v>
      </c>
    </row>
    <row r="13" spans="1:16" ht="14.4">
      <c r="A13" s="1" t="s">
        <v>2629</v>
      </c>
      <c r="B13" s="2" t="s">
        <v>118</v>
      </c>
      <c r="C13" s="148" t="s">
        <v>119</v>
      </c>
      <c r="D13" s="148"/>
      <c r="E13" s="148"/>
      <c r="F13" s="148"/>
      <c r="G13" s="148"/>
      <c r="H13" s="148"/>
      <c r="I13" s="148"/>
      <c r="J13" s="148"/>
      <c r="K13" s="55">
        <f>'Stavební rozpočet-vyplnit'!I1391</f>
        <v>0</v>
      </c>
      <c r="L13" s="126">
        <f>'Stavební rozpočet-vyplnit'!K1391</f>
        <v>0</v>
      </c>
      <c r="M13" s="125" t="s">
        <v>3773</v>
      </c>
      <c r="N13" s="55">
        <f t="shared" si="0"/>
        <v>0</v>
      </c>
      <c r="O13" s="2" t="s">
        <v>2629</v>
      </c>
      <c r="P13" s="55">
        <f t="shared" si="1"/>
        <v>0</v>
      </c>
    </row>
    <row r="14" spans="1:16" ht="14.4">
      <c r="A14" s="1" t="s">
        <v>2629</v>
      </c>
      <c r="B14" s="2" t="s">
        <v>2694</v>
      </c>
      <c r="C14" s="148" t="s">
        <v>2695</v>
      </c>
      <c r="D14" s="148"/>
      <c r="E14" s="148"/>
      <c r="F14" s="148"/>
      <c r="G14" s="148"/>
      <c r="H14" s="148"/>
      <c r="I14" s="148"/>
      <c r="J14" s="148"/>
      <c r="K14" s="55">
        <f>'Stavební rozpočet-vyplnit'!I1429</f>
        <v>0</v>
      </c>
      <c r="L14" s="126">
        <f>'Stavební rozpočet-vyplnit'!K1429</f>
        <v>0</v>
      </c>
      <c r="M14" s="125" t="s">
        <v>3773</v>
      </c>
      <c r="N14" s="55">
        <f t="shared" si="0"/>
        <v>0</v>
      </c>
      <c r="O14" s="2" t="s">
        <v>2629</v>
      </c>
      <c r="P14" s="55">
        <f t="shared" si="1"/>
        <v>0</v>
      </c>
    </row>
    <row r="15" spans="1:16" ht="14.4">
      <c r="A15" s="1" t="s">
        <v>2629</v>
      </c>
      <c r="B15" s="2" t="s">
        <v>2790</v>
      </c>
      <c r="C15" s="148" t="s">
        <v>2791</v>
      </c>
      <c r="D15" s="148"/>
      <c r="E15" s="148"/>
      <c r="F15" s="148"/>
      <c r="G15" s="148"/>
      <c r="H15" s="148"/>
      <c r="I15" s="148"/>
      <c r="J15" s="148"/>
      <c r="K15" s="55">
        <f>'Stavební rozpočet-vyplnit'!I1486</f>
        <v>0</v>
      </c>
      <c r="L15" s="126">
        <f>'Stavební rozpočet-vyplnit'!K1486</f>
        <v>0</v>
      </c>
      <c r="M15" s="125" t="s">
        <v>3773</v>
      </c>
      <c r="N15" s="55">
        <f t="shared" si="0"/>
        <v>0</v>
      </c>
      <c r="O15" s="2" t="s">
        <v>2629</v>
      </c>
      <c r="P15" s="55">
        <f t="shared" si="1"/>
        <v>0</v>
      </c>
    </row>
    <row r="16" spans="1:16" ht="14.4">
      <c r="A16" s="1" t="s">
        <v>2629</v>
      </c>
      <c r="B16" s="2" t="s">
        <v>2987</v>
      </c>
      <c r="C16" s="148" t="s">
        <v>2988</v>
      </c>
      <c r="D16" s="148"/>
      <c r="E16" s="148"/>
      <c r="F16" s="148"/>
      <c r="G16" s="148"/>
      <c r="H16" s="148"/>
      <c r="I16" s="148"/>
      <c r="J16" s="148"/>
      <c r="K16" s="55">
        <f>'Stavební rozpočet-vyplnit'!I1576</f>
        <v>0</v>
      </c>
      <c r="L16" s="126">
        <f>'Stavební rozpočet-vyplnit'!K1576</f>
        <v>0</v>
      </c>
      <c r="M16" s="125" t="s">
        <v>3773</v>
      </c>
      <c r="N16" s="55">
        <f t="shared" si="0"/>
        <v>0</v>
      </c>
      <c r="O16" s="2" t="s">
        <v>2629</v>
      </c>
      <c r="P16" s="55">
        <f t="shared" si="1"/>
        <v>0</v>
      </c>
    </row>
    <row r="17" spans="1:16" ht="14.4">
      <c r="A17" s="1" t="s">
        <v>2629</v>
      </c>
      <c r="B17" s="2" t="s">
        <v>3063</v>
      </c>
      <c r="C17" s="148" t="s">
        <v>3064</v>
      </c>
      <c r="D17" s="148"/>
      <c r="E17" s="148"/>
      <c r="F17" s="148"/>
      <c r="G17" s="148"/>
      <c r="H17" s="148"/>
      <c r="I17" s="148"/>
      <c r="J17" s="148"/>
      <c r="K17" s="55">
        <f>'Stavební rozpočet-vyplnit'!I1606</f>
        <v>0</v>
      </c>
      <c r="L17" s="126">
        <f>'Stavební rozpočet-vyplnit'!K1606</f>
        <v>0</v>
      </c>
      <c r="M17" s="125" t="s">
        <v>3773</v>
      </c>
      <c r="N17" s="55">
        <f t="shared" si="0"/>
        <v>0</v>
      </c>
      <c r="O17" s="2" t="s">
        <v>2629</v>
      </c>
      <c r="P17" s="55">
        <f t="shared" si="1"/>
        <v>0</v>
      </c>
    </row>
    <row r="18" spans="1:16" ht="14.4">
      <c r="A18" s="1" t="s">
        <v>2629</v>
      </c>
      <c r="B18" s="2" t="s">
        <v>3080</v>
      </c>
      <c r="C18" s="148" t="s">
        <v>3081</v>
      </c>
      <c r="D18" s="148"/>
      <c r="E18" s="148"/>
      <c r="F18" s="148"/>
      <c r="G18" s="148"/>
      <c r="H18" s="148"/>
      <c r="I18" s="148"/>
      <c r="J18" s="148"/>
      <c r="K18" s="55">
        <f>'Stavební rozpočet-vyplnit'!I1613</f>
        <v>0</v>
      </c>
      <c r="L18" s="126">
        <f>'Stavební rozpočet-vyplnit'!K1613</f>
        <v>0</v>
      </c>
      <c r="M18" s="125" t="s">
        <v>3773</v>
      </c>
      <c r="N18" s="55">
        <f t="shared" si="0"/>
        <v>0</v>
      </c>
      <c r="O18" s="2" t="s">
        <v>2629</v>
      </c>
      <c r="P18" s="55">
        <f t="shared" si="1"/>
        <v>0</v>
      </c>
    </row>
    <row r="19" spans="1:16" ht="14.4">
      <c r="A19" s="1" t="s">
        <v>2629</v>
      </c>
      <c r="B19" s="2" t="s">
        <v>316</v>
      </c>
      <c r="C19" s="148" t="s">
        <v>957</v>
      </c>
      <c r="D19" s="148"/>
      <c r="E19" s="148"/>
      <c r="F19" s="148"/>
      <c r="G19" s="148"/>
      <c r="H19" s="148"/>
      <c r="I19" s="148"/>
      <c r="J19" s="148"/>
      <c r="K19" s="55">
        <f>'Stavební rozpočet-vyplnit'!I1619</f>
        <v>0</v>
      </c>
      <c r="L19" s="126">
        <f>'Stavební rozpočet-vyplnit'!K1619</f>
        <v>0.00053</v>
      </c>
      <c r="M19" s="125" t="s">
        <v>3773</v>
      </c>
      <c r="N19" s="55">
        <f t="shared" si="0"/>
        <v>0</v>
      </c>
      <c r="O19" s="2" t="s">
        <v>2629</v>
      </c>
      <c r="P19" s="55">
        <f t="shared" si="1"/>
        <v>0</v>
      </c>
    </row>
    <row r="20" spans="1:16" ht="14.4">
      <c r="A20" s="1" t="s">
        <v>2629</v>
      </c>
      <c r="B20" s="2" t="s">
        <v>2874</v>
      </c>
      <c r="C20" s="148" t="s">
        <v>3097</v>
      </c>
      <c r="D20" s="148"/>
      <c r="E20" s="148"/>
      <c r="F20" s="148"/>
      <c r="G20" s="148"/>
      <c r="H20" s="148"/>
      <c r="I20" s="148"/>
      <c r="J20" s="148"/>
      <c r="K20" s="55">
        <f>'Stavební rozpočet-vyplnit'!I1623</f>
        <v>0</v>
      </c>
      <c r="L20" s="126">
        <f>'Stavební rozpočet-vyplnit'!K1623</f>
        <v>6.6753268</v>
      </c>
      <c r="M20" s="125" t="s">
        <v>3773</v>
      </c>
      <c r="N20" s="55">
        <f t="shared" si="0"/>
        <v>0</v>
      </c>
      <c r="O20" s="2" t="s">
        <v>2629</v>
      </c>
      <c r="P20" s="55">
        <f t="shared" si="1"/>
        <v>0</v>
      </c>
    </row>
    <row r="21" spans="1:16" ht="14.4">
      <c r="A21" s="1" t="s">
        <v>2629</v>
      </c>
      <c r="B21" s="2" t="s">
        <v>1508</v>
      </c>
      <c r="C21" s="148" t="s">
        <v>370</v>
      </c>
      <c r="D21" s="148"/>
      <c r="E21" s="148"/>
      <c r="F21" s="148"/>
      <c r="G21" s="148"/>
      <c r="H21" s="148"/>
      <c r="I21" s="148"/>
      <c r="J21" s="148"/>
      <c r="K21" s="55">
        <f>'Stavební rozpočet-vyplnit'!I1643</f>
        <v>0</v>
      </c>
      <c r="L21" s="126">
        <f>'Stavební rozpočet-vyplnit'!K1643</f>
        <v>0</v>
      </c>
      <c r="M21" s="125" t="s">
        <v>3773</v>
      </c>
      <c r="N21" s="55">
        <f t="shared" si="0"/>
        <v>0</v>
      </c>
      <c r="O21" s="2" t="s">
        <v>2629</v>
      </c>
      <c r="P21" s="55">
        <f t="shared" si="1"/>
        <v>0</v>
      </c>
    </row>
    <row r="22" spans="1:16" ht="14.4">
      <c r="A22" s="1" t="s">
        <v>2629</v>
      </c>
      <c r="B22" s="2" t="s">
        <v>1532</v>
      </c>
      <c r="C22" s="148" t="s">
        <v>1533</v>
      </c>
      <c r="D22" s="148"/>
      <c r="E22" s="148"/>
      <c r="F22" s="148"/>
      <c r="G22" s="148"/>
      <c r="H22" s="148"/>
      <c r="I22" s="148"/>
      <c r="J22" s="148"/>
      <c r="K22" s="55">
        <f>'Stavební rozpočet-vyplnit'!I1648</f>
        <v>0</v>
      </c>
      <c r="L22" s="126">
        <f>'Stavební rozpočet-vyplnit'!K1648</f>
        <v>0</v>
      </c>
      <c r="M22" s="125" t="s">
        <v>3773</v>
      </c>
      <c r="N22" s="55">
        <f t="shared" si="0"/>
        <v>0</v>
      </c>
      <c r="O22" s="2" t="s">
        <v>2629</v>
      </c>
      <c r="P22" s="55">
        <f t="shared" si="1"/>
        <v>0</v>
      </c>
    </row>
    <row r="23" spans="1:16" ht="14.4">
      <c r="A23" s="1" t="s">
        <v>2629</v>
      </c>
      <c r="B23" s="2" t="s">
        <v>1664</v>
      </c>
      <c r="C23" s="148" t="s">
        <v>1665</v>
      </c>
      <c r="D23" s="148"/>
      <c r="E23" s="148"/>
      <c r="F23" s="148"/>
      <c r="G23" s="148"/>
      <c r="H23" s="148"/>
      <c r="I23" s="148"/>
      <c r="J23" s="148"/>
      <c r="K23" s="55">
        <f>'Stavební rozpočet-vyplnit'!I1660</f>
        <v>0</v>
      </c>
      <c r="L23" s="126">
        <f>'Stavební rozpočet-vyplnit'!K1660</f>
        <v>35.4591324</v>
      </c>
      <c r="M23" s="125" t="s">
        <v>3773</v>
      </c>
      <c r="N23" s="55">
        <f t="shared" si="0"/>
        <v>0</v>
      </c>
      <c r="O23" s="2" t="s">
        <v>2629</v>
      </c>
      <c r="P23" s="55">
        <f t="shared" si="1"/>
        <v>0</v>
      </c>
    </row>
    <row r="24" spans="1:16" ht="14.4">
      <c r="A24" s="1" t="s">
        <v>2629</v>
      </c>
      <c r="B24" s="2" t="s">
        <v>1870</v>
      </c>
      <c r="C24" s="148" t="s">
        <v>1871</v>
      </c>
      <c r="D24" s="148"/>
      <c r="E24" s="148"/>
      <c r="F24" s="148"/>
      <c r="G24" s="148"/>
      <c r="H24" s="148"/>
      <c r="I24" s="148"/>
      <c r="J24" s="148"/>
      <c r="K24" s="55">
        <f>'Stavební rozpočet-vyplnit'!I1684</f>
        <v>0</v>
      </c>
      <c r="L24" s="126">
        <f>'Stavební rozpočet-vyplnit'!K1684</f>
        <v>13.0635887</v>
      </c>
      <c r="M24" s="125" t="s">
        <v>3773</v>
      </c>
      <c r="N24" s="55">
        <f t="shared" si="0"/>
        <v>0</v>
      </c>
      <c r="O24" s="2" t="s">
        <v>2629</v>
      </c>
      <c r="P24" s="55">
        <f t="shared" si="1"/>
        <v>0</v>
      </c>
    </row>
    <row r="25" spans="1:16" ht="14.4">
      <c r="A25" s="1" t="s">
        <v>2629</v>
      </c>
      <c r="B25" s="2" t="s">
        <v>1900</v>
      </c>
      <c r="C25" s="148" t="s">
        <v>1901</v>
      </c>
      <c r="D25" s="148"/>
      <c r="E25" s="148"/>
      <c r="F25" s="148"/>
      <c r="G25" s="148"/>
      <c r="H25" s="148"/>
      <c r="I25" s="148"/>
      <c r="J25" s="148"/>
      <c r="K25" s="55">
        <f>'Stavební rozpočet-vyplnit'!I1932</f>
        <v>0</v>
      </c>
      <c r="L25" s="126">
        <f>'Stavební rozpočet-vyplnit'!K1932</f>
        <v>0.42424720000000005</v>
      </c>
      <c r="M25" s="125" t="s">
        <v>3773</v>
      </c>
      <c r="N25" s="55">
        <f t="shared" si="0"/>
        <v>0</v>
      </c>
      <c r="O25" s="2" t="s">
        <v>2629</v>
      </c>
      <c r="P25" s="55">
        <f t="shared" si="1"/>
        <v>0</v>
      </c>
    </row>
    <row r="26" spans="1:16" ht="14.4">
      <c r="A26" s="1" t="s">
        <v>2629</v>
      </c>
      <c r="B26" s="2" t="s">
        <v>3065</v>
      </c>
      <c r="C26" s="148" t="s">
        <v>3619</v>
      </c>
      <c r="D26" s="148"/>
      <c r="E26" s="148"/>
      <c r="F26" s="148"/>
      <c r="G26" s="148"/>
      <c r="H26" s="148"/>
      <c r="I26" s="148"/>
      <c r="J26" s="148"/>
      <c r="K26" s="55">
        <f>'Stavební rozpočet-vyplnit'!I1952</f>
        <v>0</v>
      </c>
      <c r="L26" s="126">
        <f>'Stavební rozpočet-vyplnit'!K1952</f>
        <v>0.010752000000000001</v>
      </c>
      <c r="M26" s="125" t="s">
        <v>3773</v>
      </c>
      <c r="N26" s="55">
        <f t="shared" si="0"/>
        <v>0</v>
      </c>
      <c r="O26" s="2" t="s">
        <v>2629</v>
      </c>
      <c r="P26" s="55">
        <f t="shared" si="1"/>
        <v>0</v>
      </c>
    </row>
    <row r="27" spans="1:16" ht="14.4">
      <c r="A27" s="1" t="s">
        <v>2629</v>
      </c>
      <c r="B27" s="2" t="s">
        <v>2329</v>
      </c>
      <c r="C27" s="148" t="s">
        <v>2330</v>
      </c>
      <c r="D27" s="148"/>
      <c r="E27" s="148"/>
      <c r="F27" s="148"/>
      <c r="G27" s="148"/>
      <c r="H27" s="148"/>
      <c r="I27" s="148"/>
      <c r="J27" s="148"/>
      <c r="K27" s="55">
        <f>'Stavební rozpočet-vyplnit'!I1960</f>
        <v>0</v>
      </c>
      <c r="L27" s="126">
        <f>'Stavební rozpočet-vyplnit'!K1960</f>
        <v>0</v>
      </c>
      <c r="M27" s="125" t="s">
        <v>3773</v>
      </c>
      <c r="N27" s="55">
        <f t="shared" si="0"/>
        <v>0</v>
      </c>
      <c r="O27" s="2" t="s">
        <v>2629</v>
      </c>
      <c r="P27" s="55">
        <f t="shared" si="1"/>
        <v>0</v>
      </c>
    </row>
    <row r="28" spans="1:16" ht="14.4">
      <c r="A28" s="1" t="s">
        <v>2629</v>
      </c>
      <c r="B28" s="2" t="s">
        <v>422</v>
      </c>
      <c r="C28" s="148" t="s">
        <v>2339</v>
      </c>
      <c r="D28" s="148"/>
      <c r="E28" s="148"/>
      <c r="F28" s="148"/>
      <c r="G28" s="148"/>
      <c r="H28" s="148"/>
      <c r="I28" s="148"/>
      <c r="J28" s="148"/>
      <c r="K28" s="55">
        <f>'Stavební rozpočet-vyplnit'!I1981</f>
        <v>0</v>
      </c>
      <c r="L28" s="126">
        <f>'Stavební rozpočet-vyplnit'!K1981</f>
        <v>0.5054399999999999</v>
      </c>
      <c r="M28" s="125" t="s">
        <v>3773</v>
      </c>
      <c r="N28" s="55">
        <f t="shared" si="0"/>
        <v>0</v>
      </c>
      <c r="O28" s="2" t="s">
        <v>2629</v>
      </c>
      <c r="P28" s="55">
        <f t="shared" si="1"/>
        <v>0</v>
      </c>
    </row>
    <row r="29" spans="1:16" ht="14.4">
      <c r="A29" s="1" t="s">
        <v>2629</v>
      </c>
      <c r="B29" s="2" t="s">
        <v>428</v>
      </c>
      <c r="C29" s="148" t="s">
        <v>2421</v>
      </c>
      <c r="D29" s="148"/>
      <c r="E29" s="148"/>
      <c r="F29" s="148"/>
      <c r="G29" s="148"/>
      <c r="H29" s="148"/>
      <c r="I29" s="148"/>
      <c r="J29" s="148"/>
      <c r="K29" s="55">
        <f>'Stavební rozpočet-vyplnit'!I2000</f>
        <v>0</v>
      </c>
      <c r="L29" s="126">
        <f>'Stavební rozpočet-vyplnit'!K2000</f>
        <v>0.1710324</v>
      </c>
      <c r="M29" s="125" t="s">
        <v>3773</v>
      </c>
      <c r="N29" s="55">
        <f t="shared" si="0"/>
        <v>0</v>
      </c>
      <c r="O29" s="2" t="s">
        <v>2629</v>
      </c>
      <c r="P29" s="55">
        <f t="shared" si="1"/>
        <v>0</v>
      </c>
    </row>
    <row r="30" spans="1:16" ht="14.4">
      <c r="A30" s="1" t="s">
        <v>2629</v>
      </c>
      <c r="B30" s="2" t="s">
        <v>431</v>
      </c>
      <c r="C30" s="148" t="s">
        <v>2472</v>
      </c>
      <c r="D30" s="148"/>
      <c r="E30" s="148"/>
      <c r="F30" s="148"/>
      <c r="G30" s="148"/>
      <c r="H30" s="148"/>
      <c r="I30" s="148"/>
      <c r="J30" s="148"/>
      <c r="K30" s="55">
        <f>'Stavební rozpočet-vyplnit'!I2003</f>
        <v>0</v>
      </c>
      <c r="L30" s="126">
        <f>'Stavební rozpočet-vyplnit'!K2003</f>
        <v>0</v>
      </c>
      <c r="M30" s="125" t="s">
        <v>3773</v>
      </c>
      <c r="N30" s="55">
        <f t="shared" si="0"/>
        <v>0</v>
      </c>
      <c r="O30" s="2" t="s">
        <v>2629</v>
      </c>
      <c r="P30" s="55">
        <f t="shared" si="1"/>
        <v>0</v>
      </c>
    </row>
    <row r="31" spans="1:16" ht="14.4">
      <c r="A31" s="1" t="s">
        <v>2629</v>
      </c>
      <c r="B31" s="2" t="s">
        <v>2499</v>
      </c>
      <c r="C31" s="148" t="s">
        <v>2500</v>
      </c>
      <c r="D31" s="148"/>
      <c r="E31" s="148"/>
      <c r="F31" s="148"/>
      <c r="G31" s="148"/>
      <c r="H31" s="148"/>
      <c r="I31" s="148"/>
      <c r="J31" s="148"/>
      <c r="K31" s="55">
        <f>'Stavební rozpočet-vyplnit'!I2007</f>
        <v>0</v>
      </c>
      <c r="L31" s="126">
        <f>'Stavební rozpočet-vyplnit'!K2007</f>
        <v>0</v>
      </c>
      <c r="M31" s="125" t="s">
        <v>3773</v>
      </c>
      <c r="N31" s="55">
        <f t="shared" si="0"/>
        <v>0</v>
      </c>
      <c r="O31" s="2" t="s">
        <v>2629</v>
      </c>
      <c r="P31" s="55">
        <f t="shared" si="1"/>
        <v>0</v>
      </c>
    </row>
    <row r="32" spans="1:16" ht="14.4">
      <c r="A32" s="1" t="s">
        <v>2629</v>
      </c>
      <c r="B32" s="2" t="s">
        <v>2506</v>
      </c>
      <c r="C32" s="148" t="s">
        <v>2507</v>
      </c>
      <c r="D32" s="148"/>
      <c r="E32" s="148"/>
      <c r="F32" s="148"/>
      <c r="G32" s="148"/>
      <c r="H32" s="148"/>
      <c r="I32" s="148"/>
      <c r="J32" s="148"/>
      <c r="K32" s="55">
        <f>'Stavební rozpočet-vyplnit'!I2010</f>
        <v>0</v>
      </c>
      <c r="L32" s="126">
        <f>'Stavební rozpočet-vyplnit'!K2010</f>
        <v>0</v>
      </c>
      <c r="M32" s="125" t="s">
        <v>3773</v>
      </c>
      <c r="N32" s="55">
        <f t="shared" si="0"/>
        <v>0</v>
      </c>
      <c r="O32" s="2" t="s">
        <v>2629</v>
      </c>
      <c r="P32" s="55">
        <f t="shared" si="1"/>
        <v>0</v>
      </c>
    </row>
    <row r="33" spans="1:16" ht="14.4">
      <c r="A33" s="3" t="s">
        <v>2629</v>
      </c>
      <c r="B33" s="4" t="s">
        <v>2571</v>
      </c>
      <c r="C33" s="184" t="s">
        <v>2572</v>
      </c>
      <c r="D33" s="184"/>
      <c r="E33" s="184"/>
      <c r="F33" s="184"/>
      <c r="G33" s="184"/>
      <c r="H33" s="184"/>
      <c r="I33" s="184"/>
      <c r="J33" s="184"/>
      <c r="K33" s="127">
        <f>'Stavební rozpočet-vyplnit'!I2013</f>
        <v>0</v>
      </c>
      <c r="L33" s="128">
        <f>'Stavební rozpočet-vyplnit'!K2013</f>
        <v>0</v>
      </c>
      <c r="M33" s="125" t="s">
        <v>3773</v>
      </c>
      <c r="N33" s="55">
        <f t="shared" si="0"/>
        <v>0</v>
      </c>
      <c r="O33" s="2" t="s">
        <v>2629</v>
      </c>
      <c r="P33" s="55">
        <f t="shared" si="1"/>
        <v>0</v>
      </c>
    </row>
    <row r="34" spans="9:12" ht="14.4">
      <c r="I34" s="252" t="s">
        <v>3774</v>
      </c>
      <c r="J34" s="252"/>
      <c r="K34" s="113">
        <f>SUM(K13:K33)</f>
        <v>0</v>
      </c>
      <c r="L34" s="135">
        <f>SUM(L13:L33)</f>
        <v>56.310049500000005</v>
      </c>
    </row>
    <row r="35" ht="14.4">
      <c r="A35" s="114" t="s">
        <v>56</v>
      </c>
    </row>
    <row r="36" spans="1:12" ht="12.75" customHeight="1">
      <c r="A36" s="147" t="s">
        <v>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</row>
  </sheetData>
  <sheetProtection password="F483" sheet="1" objects="1" scenarios="1"/>
  <mergeCells count="51"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I34:J34"/>
    <mergeCell ref="A36:L36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670"/>
  <sheetViews>
    <sheetView workbookViewId="0" topLeftCell="A1">
      <pane ySplit="11" topLeftCell="A24" activePane="bottomLeft" state="frozen"/>
      <selection pane="bottomLeft" activeCell="N16" sqref="N16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7.0039062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259" t="s">
        <v>3778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AS1" s="27">
        <f>SUM(AJ1:AJ2)</f>
        <v>0</v>
      </c>
      <c r="AT1" s="27">
        <f>SUM(AK1:AK2)</f>
        <v>0</v>
      </c>
      <c r="AU1" s="27">
        <f>SUM(AL1:AL2)</f>
        <v>0</v>
      </c>
    </row>
    <row r="2" spans="1:12" ht="14.4">
      <c r="A2" s="190" t="s">
        <v>1</v>
      </c>
      <c r="B2" s="191"/>
      <c r="C2" s="191"/>
      <c r="D2" s="196" t="str">
        <f>'Stavební rozpočet-vyplnit'!D2</f>
        <v>Vybudování edukačního centra a digit.pracoviště v Městské knihovně T.G.Masaryka Šumperk</v>
      </c>
      <c r="E2" s="197"/>
      <c r="F2" s="191" t="s">
        <v>78</v>
      </c>
      <c r="G2" s="191"/>
      <c r="H2" s="187" t="str">
        <f>'Stavební rozpočet-vyplnit'!H2</f>
        <v xml:space="preserve"> </v>
      </c>
      <c r="I2" s="187" t="s">
        <v>2</v>
      </c>
      <c r="J2" s="187" t="str">
        <f>'Stavební rozpočet-vyplnit'!J2</f>
        <v>Město Šumperk</v>
      </c>
      <c r="K2" s="191"/>
      <c r="L2" s="193"/>
    </row>
    <row r="3" spans="1:12" ht="14.4">
      <c r="A3" s="192"/>
      <c r="B3" s="148"/>
      <c r="C3" s="148"/>
      <c r="D3" s="198"/>
      <c r="E3" s="198"/>
      <c r="F3" s="148"/>
      <c r="G3" s="148"/>
      <c r="H3" s="148"/>
      <c r="I3" s="148"/>
      <c r="J3" s="148"/>
      <c r="K3" s="148"/>
      <c r="L3" s="194"/>
    </row>
    <row r="4" spans="1:12" ht="14.4">
      <c r="A4" s="185" t="s">
        <v>5</v>
      </c>
      <c r="B4" s="148"/>
      <c r="C4" s="148"/>
      <c r="D4" s="147" t="str">
        <f>'Stavební rozpočet-vyplnit'!D4</f>
        <v>Stavební úpravy, nástavba</v>
      </c>
      <c r="E4" s="148"/>
      <c r="F4" s="148" t="s">
        <v>9</v>
      </c>
      <c r="G4" s="148"/>
      <c r="H4" s="147" t="str">
        <f>'Stavební rozpočet-vyplnit'!H4</f>
        <v xml:space="preserve"> </v>
      </c>
      <c r="I4" s="147" t="s">
        <v>6</v>
      </c>
      <c r="J4" s="147" t="str">
        <f>'Stavební rozpočet-vyplnit'!J4</f>
        <v>Ing.Ladislav Trčka - PROINK</v>
      </c>
      <c r="K4" s="148"/>
      <c r="L4" s="194"/>
    </row>
    <row r="5" spans="1:12" ht="14.4">
      <c r="A5" s="192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94"/>
    </row>
    <row r="6" spans="1:12" ht="14.4">
      <c r="A6" s="185" t="s">
        <v>7</v>
      </c>
      <c r="B6" s="148"/>
      <c r="C6" s="148"/>
      <c r="D6" s="147" t="str">
        <f>'Stavební rozpočet-vyplnit'!D6</f>
        <v>Šumperk</v>
      </c>
      <c r="E6" s="148"/>
      <c r="F6" s="148" t="s">
        <v>10</v>
      </c>
      <c r="G6" s="148"/>
      <c r="H6" s="147" t="str">
        <f>'Stavební rozpočet-vyplnit'!H6</f>
        <v xml:space="preserve"> </v>
      </c>
      <c r="I6" s="147" t="s">
        <v>8</v>
      </c>
      <c r="J6" s="147">
        <f>'Stavební rozpočet-vyplnit'!J6</f>
        <v>0</v>
      </c>
      <c r="K6" s="148"/>
      <c r="L6" s="194"/>
    </row>
    <row r="7" spans="1:12" ht="14.4">
      <c r="A7" s="192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94"/>
    </row>
    <row r="8" spans="1:12" ht="14.4">
      <c r="A8" s="185" t="s">
        <v>12</v>
      </c>
      <c r="B8" s="148"/>
      <c r="C8" s="148"/>
      <c r="D8" s="147" t="str">
        <f>'Stavební rozpočet-vyplnit'!D8</f>
        <v>8014614</v>
      </c>
      <c r="E8" s="148"/>
      <c r="F8" s="148" t="s">
        <v>85</v>
      </c>
      <c r="G8" s="148"/>
      <c r="H8" s="147">
        <f>'Stavební rozpočet-vyplnit'!H8</f>
        <v>0</v>
      </c>
      <c r="I8" s="147" t="s">
        <v>13</v>
      </c>
      <c r="J8" s="147">
        <f>'Stavební rozpočet-vyplnit'!J8</f>
        <v>0</v>
      </c>
      <c r="K8" s="148"/>
      <c r="L8" s="194"/>
    </row>
    <row r="9" spans="1:12" ht="14.4">
      <c r="A9" s="251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5"/>
    </row>
    <row r="10" spans="1:75" ht="14.4">
      <c r="A10" s="28" t="s">
        <v>86</v>
      </c>
      <c r="B10" s="29" t="s">
        <v>87</v>
      </c>
      <c r="C10" s="29" t="s">
        <v>88</v>
      </c>
      <c r="D10" s="247" t="s">
        <v>89</v>
      </c>
      <c r="E10" s="248"/>
      <c r="F10" s="29" t="s">
        <v>90</v>
      </c>
      <c r="G10" s="30" t="s">
        <v>91</v>
      </c>
      <c r="H10" s="129" t="s">
        <v>92</v>
      </c>
      <c r="I10" s="32" t="s">
        <v>93</v>
      </c>
      <c r="J10" s="238" t="s">
        <v>94</v>
      </c>
      <c r="K10" s="239"/>
      <c r="L10" s="33" t="s">
        <v>95</v>
      </c>
      <c r="BK10" s="34" t="s">
        <v>96</v>
      </c>
      <c r="BL10" s="35" t="s">
        <v>97</v>
      </c>
      <c r="BW10" s="35" t="s">
        <v>98</v>
      </c>
    </row>
    <row r="11" spans="1:62" ht="14.4">
      <c r="A11" s="36" t="s">
        <v>79</v>
      </c>
      <c r="B11" s="37" t="s">
        <v>79</v>
      </c>
      <c r="C11" s="37" t="s">
        <v>79</v>
      </c>
      <c r="D11" s="236" t="s">
        <v>99</v>
      </c>
      <c r="E11" s="237"/>
      <c r="F11" s="37" t="s">
        <v>79</v>
      </c>
      <c r="G11" s="37" t="s">
        <v>79</v>
      </c>
      <c r="H11" s="130" t="s">
        <v>100</v>
      </c>
      <c r="I11" s="39" t="s">
        <v>101</v>
      </c>
      <c r="J11" s="40" t="s">
        <v>102</v>
      </c>
      <c r="K11" s="41" t="s">
        <v>101</v>
      </c>
      <c r="L11" s="42" t="s">
        <v>103</v>
      </c>
      <c r="Z11" s="34" t="s">
        <v>104</v>
      </c>
      <c r="AA11" s="34" t="s">
        <v>105</v>
      </c>
      <c r="AB11" s="34" t="s">
        <v>106</v>
      </c>
      <c r="AC11" s="34" t="s">
        <v>107</v>
      </c>
      <c r="AD11" s="34" t="s">
        <v>108</v>
      </c>
      <c r="AE11" s="34" t="s">
        <v>109</v>
      </c>
      <c r="AF11" s="34" t="s">
        <v>110</v>
      </c>
      <c r="AG11" s="34" t="s">
        <v>111</v>
      </c>
      <c r="AH11" s="34" t="s">
        <v>112</v>
      </c>
      <c r="BH11" s="34" t="s">
        <v>113</v>
      </c>
      <c r="BI11" s="34" t="s">
        <v>114</v>
      </c>
      <c r="BJ11" s="34" t="s">
        <v>115</v>
      </c>
    </row>
    <row r="12" spans="1:12" ht="14.4">
      <c r="A12" s="43" t="s">
        <v>4</v>
      </c>
      <c r="B12" s="44" t="s">
        <v>2629</v>
      </c>
      <c r="C12" s="44" t="s">
        <v>4</v>
      </c>
      <c r="D12" s="240" t="s">
        <v>2630</v>
      </c>
      <c r="E12" s="241"/>
      <c r="F12" s="45" t="s">
        <v>79</v>
      </c>
      <c r="G12" s="45" t="s">
        <v>79</v>
      </c>
      <c r="H12" s="45" t="s">
        <v>79</v>
      </c>
      <c r="I12" s="47">
        <f>I13+I51+I108+I198+I228+I235+I241+I245+I265+I270+I282+I306+I554+I574+I582+I603+I622+I625+I629+I632+I635</f>
        <v>0</v>
      </c>
      <c r="J12" s="48" t="s">
        <v>4</v>
      </c>
      <c r="K12" s="47">
        <f>K13+K51+K108+K198+K228+K235+K241+K245+K265+K270+K282+K306+K554+K574+K582+K603+K622+K625+K629+K632+K635</f>
        <v>56.310049500000005</v>
      </c>
      <c r="L12" s="49" t="s">
        <v>4</v>
      </c>
    </row>
    <row r="13" spans="1:47" ht="14.4">
      <c r="A13" s="50" t="s">
        <v>4</v>
      </c>
      <c r="B13" s="51" t="s">
        <v>2629</v>
      </c>
      <c r="C13" s="51" t="s">
        <v>118</v>
      </c>
      <c r="D13" s="222" t="s">
        <v>119</v>
      </c>
      <c r="E13" s="223"/>
      <c r="F13" s="52" t="s">
        <v>79</v>
      </c>
      <c r="G13" s="52" t="s">
        <v>79</v>
      </c>
      <c r="H13" s="52" t="s">
        <v>79</v>
      </c>
      <c r="I13" s="27">
        <f>SUM(I14:I50)</f>
        <v>0</v>
      </c>
      <c r="J13" s="34" t="s">
        <v>4</v>
      </c>
      <c r="K13" s="27">
        <f>SUM(K14:K50)</f>
        <v>0</v>
      </c>
      <c r="L13" s="54" t="s">
        <v>4</v>
      </c>
      <c r="AI13" s="34" t="s">
        <v>2629</v>
      </c>
      <c r="AS13" s="27">
        <f>SUM(AJ14:AJ50)</f>
        <v>0</v>
      </c>
      <c r="AT13" s="27">
        <f>SUM(AK14:AK50)</f>
        <v>0</v>
      </c>
      <c r="AU13" s="27">
        <f>SUM(AL14:AL50)</f>
        <v>0</v>
      </c>
    </row>
    <row r="14" spans="1:75" ht="13.5" customHeight="1">
      <c r="A14" s="1" t="s">
        <v>120</v>
      </c>
      <c r="B14" s="2" t="s">
        <v>2629</v>
      </c>
      <c r="C14" s="2" t="s">
        <v>2632</v>
      </c>
      <c r="D14" s="147" t="s">
        <v>141</v>
      </c>
      <c r="E14" s="148"/>
      <c r="F14" s="2" t="s">
        <v>123</v>
      </c>
      <c r="G14" s="55">
        <f>'Stavební rozpočet-vyplnit'!G1392</f>
        <v>5</v>
      </c>
      <c r="H14" s="55">
        <f>'Stavební rozpočet-vyplnit'!H1392</f>
        <v>0</v>
      </c>
      <c r="I14" s="55">
        <f>G14*H14</f>
        <v>0</v>
      </c>
      <c r="J14" s="55">
        <f>'Stavební rozpočet-vyplnit'!J1392</f>
        <v>0</v>
      </c>
      <c r="K14" s="55">
        <f>G14*J14</f>
        <v>0</v>
      </c>
      <c r="L14" s="57" t="s">
        <v>124</v>
      </c>
      <c r="Z14" s="55">
        <f>IF(AQ14="5",BJ14,0)</f>
        <v>0</v>
      </c>
      <c r="AB14" s="55">
        <f>IF(AQ14="1",BH14,0)</f>
        <v>0</v>
      </c>
      <c r="AC14" s="55">
        <f>IF(AQ14="1",BI14,0)</f>
        <v>0</v>
      </c>
      <c r="AD14" s="55">
        <f>IF(AQ14="7",BH14,0)</f>
        <v>0</v>
      </c>
      <c r="AE14" s="55">
        <f>IF(AQ14="7",BI14,0)</f>
        <v>0</v>
      </c>
      <c r="AF14" s="55">
        <f>IF(AQ14="2",BH14,0)</f>
        <v>0</v>
      </c>
      <c r="AG14" s="55">
        <f>IF(AQ14="2",BI14,0)</f>
        <v>0</v>
      </c>
      <c r="AH14" s="55">
        <f>IF(AQ14="0",BJ14,0)</f>
        <v>0</v>
      </c>
      <c r="AI14" s="34" t="s">
        <v>2629</v>
      </c>
      <c r="AJ14" s="55">
        <f>IF(AN14=0,I14,0)</f>
        <v>0</v>
      </c>
      <c r="AK14" s="55">
        <f>IF(AN14=12,I14,0)</f>
        <v>0</v>
      </c>
      <c r="AL14" s="55">
        <f>IF(AN14=21,I14,0)</f>
        <v>0</v>
      </c>
      <c r="AN14" s="55">
        <v>21</v>
      </c>
      <c r="AO14" s="55">
        <f>H14*0.94021215</f>
        <v>0</v>
      </c>
      <c r="AP14" s="55">
        <f>H14*(1-0.94021215)</f>
        <v>0</v>
      </c>
      <c r="AQ14" s="58" t="s">
        <v>125</v>
      </c>
      <c r="AV14" s="55">
        <f>AW14+AX14</f>
        <v>0</v>
      </c>
      <c r="AW14" s="55">
        <f>G14*AO14</f>
        <v>0</v>
      </c>
      <c r="AX14" s="55">
        <f>G14*AP14</f>
        <v>0</v>
      </c>
      <c r="AY14" s="58" t="s">
        <v>126</v>
      </c>
      <c r="AZ14" s="58" t="s">
        <v>2633</v>
      </c>
      <c r="BA14" s="34" t="s">
        <v>2634</v>
      </c>
      <c r="BC14" s="55">
        <f>AW14+AX14</f>
        <v>0</v>
      </c>
      <c r="BD14" s="55">
        <f>H14/(100-BE14)*100</f>
        <v>0</v>
      </c>
      <c r="BE14" s="55">
        <v>0</v>
      </c>
      <c r="BF14" s="55">
        <f>K14</f>
        <v>0</v>
      </c>
      <c r="BH14" s="55">
        <f>G14*AO14</f>
        <v>0</v>
      </c>
      <c r="BI14" s="55">
        <f>G14*AP14</f>
        <v>0</v>
      </c>
      <c r="BJ14" s="55">
        <f>G14*H14</f>
        <v>0</v>
      </c>
      <c r="BK14" s="55"/>
      <c r="BL14" s="55"/>
      <c r="BW14" s="55">
        <v>21</v>
      </c>
    </row>
    <row r="15" spans="1:12" ht="13.5" customHeight="1">
      <c r="A15" s="59"/>
      <c r="D15" s="218" t="s">
        <v>129</v>
      </c>
      <c r="E15" s="219"/>
      <c r="F15" s="219"/>
      <c r="G15" s="219"/>
      <c r="H15" s="219"/>
      <c r="I15" s="219"/>
      <c r="J15" s="219"/>
      <c r="K15" s="219"/>
      <c r="L15" s="221"/>
    </row>
    <row r="16" spans="1:75" ht="13.5" customHeight="1">
      <c r="A16" s="1" t="s">
        <v>130</v>
      </c>
      <c r="B16" s="2" t="s">
        <v>2629</v>
      </c>
      <c r="C16" s="2" t="s">
        <v>2636</v>
      </c>
      <c r="D16" s="147" t="s">
        <v>144</v>
      </c>
      <c r="E16" s="148"/>
      <c r="F16" s="2" t="s">
        <v>123</v>
      </c>
      <c r="G16" s="55">
        <f>'Stavební rozpočet-vyplnit'!G1394</f>
        <v>10</v>
      </c>
      <c r="H16" s="55">
        <f>'Stavební rozpočet-vyplnit'!H1394</f>
        <v>0</v>
      </c>
      <c r="I16" s="55">
        <f>G16*H16</f>
        <v>0</v>
      </c>
      <c r="J16" s="55">
        <f>'Stavební rozpočet-vyplnit'!J1394</f>
        <v>0</v>
      </c>
      <c r="K16" s="55">
        <f>G16*J16</f>
        <v>0</v>
      </c>
      <c r="L16" s="57" t="s">
        <v>124</v>
      </c>
      <c r="Z16" s="55">
        <f>IF(AQ16="5",BJ16,0)</f>
        <v>0</v>
      </c>
      <c r="AB16" s="55">
        <f>IF(AQ16="1",BH16,0)</f>
        <v>0</v>
      </c>
      <c r="AC16" s="55">
        <f>IF(AQ16="1",BI16,0)</f>
        <v>0</v>
      </c>
      <c r="AD16" s="55">
        <f>IF(AQ16="7",BH16,0)</f>
        <v>0</v>
      </c>
      <c r="AE16" s="55">
        <f>IF(AQ16="7",BI16,0)</f>
        <v>0</v>
      </c>
      <c r="AF16" s="55">
        <f>IF(AQ16="2",BH16,0)</f>
        <v>0</v>
      </c>
      <c r="AG16" s="55">
        <f>IF(AQ16="2",BI16,0)</f>
        <v>0</v>
      </c>
      <c r="AH16" s="55">
        <f>IF(AQ16="0",BJ16,0)</f>
        <v>0</v>
      </c>
      <c r="AI16" s="34" t="s">
        <v>2629</v>
      </c>
      <c r="AJ16" s="55">
        <f>IF(AN16=0,I16,0)</f>
        <v>0</v>
      </c>
      <c r="AK16" s="55">
        <f>IF(AN16=12,I16,0)</f>
        <v>0</v>
      </c>
      <c r="AL16" s="55">
        <f>IF(AN16=21,I16,0)</f>
        <v>0</v>
      </c>
      <c r="AN16" s="55">
        <v>21</v>
      </c>
      <c r="AO16" s="55">
        <f>H16*0.939177102</f>
        <v>0</v>
      </c>
      <c r="AP16" s="55">
        <f>H16*(1-0.939177102)</f>
        <v>0</v>
      </c>
      <c r="AQ16" s="58" t="s">
        <v>125</v>
      </c>
      <c r="AV16" s="55">
        <f>AW16+AX16</f>
        <v>0</v>
      </c>
      <c r="AW16" s="55">
        <f>G16*AO16</f>
        <v>0</v>
      </c>
      <c r="AX16" s="55">
        <f>G16*AP16</f>
        <v>0</v>
      </c>
      <c r="AY16" s="58" t="s">
        <v>126</v>
      </c>
      <c r="AZ16" s="58" t="s">
        <v>2633</v>
      </c>
      <c r="BA16" s="34" t="s">
        <v>2634</v>
      </c>
      <c r="BC16" s="55">
        <f>AW16+AX16</f>
        <v>0</v>
      </c>
      <c r="BD16" s="55">
        <f>H16/(100-BE16)*100</f>
        <v>0</v>
      </c>
      <c r="BE16" s="55">
        <v>0</v>
      </c>
      <c r="BF16" s="55">
        <f>K16</f>
        <v>0</v>
      </c>
      <c r="BH16" s="55">
        <f>G16*AO16</f>
        <v>0</v>
      </c>
      <c r="BI16" s="55">
        <f>G16*AP16</f>
        <v>0</v>
      </c>
      <c r="BJ16" s="55">
        <f>G16*H16</f>
        <v>0</v>
      </c>
      <c r="BK16" s="55"/>
      <c r="BL16" s="55"/>
      <c r="BW16" s="55">
        <v>21</v>
      </c>
    </row>
    <row r="17" spans="1:12" ht="13.5" customHeight="1">
      <c r="A17" s="59"/>
      <c r="D17" s="218" t="s">
        <v>129</v>
      </c>
      <c r="E17" s="219"/>
      <c r="F17" s="219"/>
      <c r="G17" s="219"/>
      <c r="H17" s="219"/>
      <c r="I17" s="219"/>
      <c r="J17" s="219"/>
      <c r="K17" s="219"/>
      <c r="L17" s="221"/>
    </row>
    <row r="18" spans="1:75" ht="13.5" customHeight="1">
      <c r="A18" s="1" t="s">
        <v>133</v>
      </c>
      <c r="B18" s="2" t="s">
        <v>2629</v>
      </c>
      <c r="C18" s="2" t="s">
        <v>2638</v>
      </c>
      <c r="D18" s="147" t="s">
        <v>2639</v>
      </c>
      <c r="E18" s="148"/>
      <c r="F18" s="2" t="s">
        <v>123</v>
      </c>
      <c r="G18" s="55">
        <f>'Stavební rozpočet-vyplnit'!G1396</f>
        <v>1</v>
      </c>
      <c r="H18" s="55">
        <f>'Stavební rozpočet-vyplnit'!H1396</f>
        <v>0</v>
      </c>
      <c r="I18" s="55">
        <f>G18*H18</f>
        <v>0</v>
      </c>
      <c r="J18" s="55">
        <f>'Stavební rozpočet-vyplnit'!J1396</f>
        <v>0</v>
      </c>
      <c r="K18" s="55">
        <f>G18*J18</f>
        <v>0</v>
      </c>
      <c r="L18" s="57" t="s">
        <v>124</v>
      </c>
      <c r="Z18" s="55">
        <f>IF(AQ18="5",BJ18,0)</f>
        <v>0</v>
      </c>
      <c r="AB18" s="55">
        <f>IF(AQ18="1",BH18,0)</f>
        <v>0</v>
      </c>
      <c r="AC18" s="55">
        <f>IF(AQ18="1",BI18,0)</f>
        <v>0</v>
      </c>
      <c r="AD18" s="55">
        <f>IF(AQ18="7",BH18,0)</f>
        <v>0</v>
      </c>
      <c r="AE18" s="55">
        <f>IF(AQ18="7",BI18,0)</f>
        <v>0</v>
      </c>
      <c r="AF18" s="55">
        <f>IF(AQ18="2",BH18,0)</f>
        <v>0</v>
      </c>
      <c r="AG18" s="55">
        <f>IF(AQ18="2",BI18,0)</f>
        <v>0</v>
      </c>
      <c r="AH18" s="55">
        <f>IF(AQ18="0",BJ18,0)</f>
        <v>0</v>
      </c>
      <c r="AI18" s="34" t="s">
        <v>2629</v>
      </c>
      <c r="AJ18" s="55">
        <f>IF(AN18=0,I18,0)</f>
        <v>0</v>
      </c>
      <c r="AK18" s="55">
        <f>IF(AN18=12,I18,0)</f>
        <v>0</v>
      </c>
      <c r="AL18" s="55">
        <f>IF(AN18=21,I18,0)</f>
        <v>0</v>
      </c>
      <c r="AN18" s="55">
        <v>21</v>
      </c>
      <c r="AO18" s="55">
        <f>H18*0.946872322</f>
        <v>0</v>
      </c>
      <c r="AP18" s="55">
        <f>H18*(1-0.946872322)</f>
        <v>0</v>
      </c>
      <c r="AQ18" s="58" t="s">
        <v>125</v>
      </c>
      <c r="AV18" s="55">
        <f>AW18+AX18</f>
        <v>0</v>
      </c>
      <c r="AW18" s="55">
        <f>G18*AO18</f>
        <v>0</v>
      </c>
      <c r="AX18" s="55">
        <f>G18*AP18</f>
        <v>0</v>
      </c>
      <c r="AY18" s="58" t="s">
        <v>126</v>
      </c>
      <c r="AZ18" s="58" t="s">
        <v>2633</v>
      </c>
      <c r="BA18" s="34" t="s">
        <v>2634</v>
      </c>
      <c r="BC18" s="55">
        <f>AW18+AX18</f>
        <v>0</v>
      </c>
      <c r="BD18" s="55">
        <f>H18/(100-BE18)*100</f>
        <v>0</v>
      </c>
      <c r="BE18" s="55">
        <v>0</v>
      </c>
      <c r="BF18" s="55">
        <f>K18</f>
        <v>0</v>
      </c>
      <c r="BH18" s="55">
        <f>G18*AO18</f>
        <v>0</v>
      </c>
      <c r="BI18" s="55">
        <f>G18*AP18</f>
        <v>0</v>
      </c>
      <c r="BJ18" s="55">
        <f>G18*H18</f>
        <v>0</v>
      </c>
      <c r="BK18" s="55"/>
      <c r="BL18" s="55"/>
      <c r="BW18" s="55">
        <v>21</v>
      </c>
    </row>
    <row r="19" spans="1:12" ht="13.5" customHeight="1">
      <c r="A19" s="59"/>
      <c r="D19" s="218" t="s">
        <v>129</v>
      </c>
      <c r="E19" s="219"/>
      <c r="F19" s="219"/>
      <c r="G19" s="219"/>
      <c r="H19" s="219"/>
      <c r="I19" s="219"/>
      <c r="J19" s="219"/>
      <c r="K19" s="219"/>
      <c r="L19" s="221"/>
    </row>
    <row r="20" spans="1:75" ht="27" customHeight="1">
      <c r="A20" s="1" t="s">
        <v>136</v>
      </c>
      <c r="B20" s="2" t="s">
        <v>2629</v>
      </c>
      <c r="C20" s="2" t="s">
        <v>2641</v>
      </c>
      <c r="D20" s="147" t="s">
        <v>2642</v>
      </c>
      <c r="E20" s="148"/>
      <c r="F20" s="2" t="s">
        <v>123</v>
      </c>
      <c r="G20" s="55">
        <f>'Stavební rozpočet-vyplnit'!G1398</f>
        <v>4</v>
      </c>
      <c r="H20" s="55">
        <f>'Stavební rozpočet-vyplnit'!H1398</f>
        <v>0</v>
      </c>
      <c r="I20" s="55">
        <f>G20*H20</f>
        <v>0</v>
      </c>
      <c r="J20" s="55">
        <f>'Stavební rozpočet-vyplnit'!J1398</f>
        <v>0</v>
      </c>
      <c r="K20" s="55">
        <f>G20*J20</f>
        <v>0</v>
      </c>
      <c r="L20" s="57" t="s">
        <v>124</v>
      </c>
      <c r="Z20" s="55">
        <f>IF(AQ20="5",BJ20,0)</f>
        <v>0</v>
      </c>
      <c r="AB20" s="55">
        <f>IF(AQ20="1",BH20,0)</f>
        <v>0</v>
      </c>
      <c r="AC20" s="55">
        <f>IF(AQ20="1",BI20,0)</f>
        <v>0</v>
      </c>
      <c r="AD20" s="55">
        <f>IF(AQ20="7",BH20,0)</f>
        <v>0</v>
      </c>
      <c r="AE20" s="55">
        <f>IF(AQ20="7",BI20,0)</f>
        <v>0</v>
      </c>
      <c r="AF20" s="55">
        <f>IF(AQ20="2",BH20,0)</f>
        <v>0</v>
      </c>
      <c r="AG20" s="55">
        <f>IF(AQ20="2",BI20,0)</f>
        <v>0</v>
      </c>
      <c r="AH20" s="55">
        <f>IF(AQ20="0",BJ20,0)</f>
        <v>0</v>
      </c>
      <c r="AI20" s="34" t="s">
        <v>2629</v>
      </c>
      <c r="AJ20" s="55">
        <f>IF(AN20=0,I20,0)</f>
        <v>0</v>
      </c>
      <c r="AK20" s="55">
        <f>IF(AN20=12,I20,0)</f>
        <v>0</v>
      </c>
      <c r="AL20" s="55">
        <f>IF(AN20=21,I20,0)</f>
        <v>0</v>
      </c>
      <c r="AN20" s="55">
        <v>21</v>
      </c>
      <c r="AO20" s="55">
        <f>H20*0.945701357</f>
        <v>0</v>
      </c>
      <c r="AP20" s="55">
        <f>H20*(1-0.945701357)</f>
        <v>0</v>
      </c>
      <c r="AQ20" s="58" t="s">
        <v>125</v>
      </c>
      <c r="AV20" s="55">
        <f>AW20+AX20</f>
        <v>0</v>
      </c>
      <c r="AW20" s="55">
        <f>G20*AO20</f>
        <v>0</v>
      </c>
      <c r="AX20" s="55">
        <f>G20*AP20</f>
        <v>0</v>
      </c>
      <c r="AY20" s="58" t="s">
        <v>126</v>
      </c>
      <c r="AZ20" s="58" t="s">
        <v>2633</v>
      </c>
      <c r="BA20" s="34" t="s">
        <v>2634</v>
      </c>
      <c r="BC20" s="55">
        <f>AW20+AX20</f>
        <v>0</v>
      </c>
      <c r="BD20" s="55">
        <f>H20/(100-BE20)*100</f>
        <v>0</v>
      </c>
      <c r="BE20" s="55">
        <v>0</v>
      </c>
      <c r="BF20" s="55">
        <f>K20</f>
        <v>0</v>
      </c>
      <c r="BH20" s="55">
        <f>G20*AO20</f>
        <v>0</v>
      </c>
      <c r="BI20" s="55">
        <f>G20*AP20</f>
        <v>0</v>
      </c>
      <c r="BJ20" s="55">
        <f>G20*H20</f>
        <v>0</v>
      </c>
      <c r="BK20" s="55"/>
      <c r="BL20" s="55"/>
      <c r="BW20" s="55">
        <v>21</v>
      </c>
    </row>
    <row r="21" spans="1:12" ht="13.5" customHeight="1">
      <c r="A21" s="59"/>
      <c r="D21" s="218" t="s">
        <v>129</v>
      </c>
      <c r="E21" s="219"/>
      <c r="F21" s="219"/>
      <c r="G21" s="219"/>
      <c r="H21" s="219"/>
      <c r="I21" s="219"/>
      <c r="J21" s="219"/>
      <c r="K21" s="219"/>
      <c r="L21" s="221"/>
    </row>
    <row r="22" spans="1:75" ht="27" customHeight="1">
      <c r="A22" s="1" t="s">
        <v>139</v>
      </c>
      <c r="B22" s="2" t="s">
        <v>2629</v>
      </c>
      <c r="C22" s="2" t="s">
        <v>2644</v>
      </c>
      <c r="D22" s="147" t="s">
        <v>2645</v>
      </c>
      <c r="E22" s="148"/>
      <c r="F22" s="2" t="s">
        <v>123</v>
      </c>
      <c r="G22" s="55">
        <f>'Stavební rozpočet-vyplnit'!G1400</f>
        <v>2</v>
      </c>
      <c r="H22" s="55">
        <f>'Stavební rozpočet-vyplnit'!H1400</f>
        <v>0</v>
      </c>
      <c r="I22" s="55">
        <f>G22*H22</f>
        <v>0</v>
      </c>
      <c r="J22" s="55">
        <f>'Stavební rozpočet-vyplnit'!J1400</f>
        <v>0</v>
      </c>
      <c r="K22" s="55">
        <f>G22*J22</f>
        <v>0</v>
      </c>
      <c r="L22" s="57" t="s">
        <v>124</v>
      </c>
      <c r="Z22" s="55">
        <f>IF(AQ22="5",BJ22,0)</f>
        <v>0</v>
      </c>
      <c r="AB22" s="55">
        <f>IF(AQ22="1",BH22,0)</f>
        <v>0</v>
      </c>
      <c r="AC22" s="55">
        <f>IF(AQ22="1",BI22,0)</f>
        <v>0</v>
      </c>
      <c r="AD22" s="55">
        <f>IF(AQ22="7",BH22,0)</f>
        <v>0</v>
      </c>
      <c r="AE22" s="55">
        <f>IF(AQ22="7",BI22,0)</f>
        <v>0</v>
      </c>
      <c r="AF22" s="55">
        <f>IF(AQ22="2",BH22,0)</f>
        <v>0</v>
      </c>
      <c r="AG22" s="55">
        <f>IF(AQ22="2",BI22,0)</f>
        <v>0</v>
      </c>
      <c r="AH22" s="55">
        <f>IF(AQ22="0",BJ22,0)</f>
        <v>0</v>
      </c>
      <c r="AI22" s="34" t="s">
        <v>2629</v>
      </c>
      <c r="AJ22" s="55">
        <f>IF(AN22=0,I22,0)</f>
        <v>0</v>
      </c>
      <c r="AK22" s="55">
        <f>IF(AN22=12,I22,0)</f>
        <v>0</v>
      </c>
      <c r="AL22" s="55">
        <f>IF(AN22=21,I22,0)</f>
        <v>0</v>
      </c>
      <c r="AN22" s="55">
        <v>21</v>
      </c>
      <c r="AO22" s="55">
        <f>H22*0.865168539</f>
        <v>0</v>
      </c>
      <c r="AP22" s="55">
        <f>H22*(1-0.865168539)</f>
        <v>0</v>
      </c>
      <c r="AQ22" s="58" t="s">
        <v>125</v>
      </c>
      <c r="AV22" s="55">
        <f>AW22+AX22</f>
        <v>0</v>
      </c>
      <c r="AW22" s="55">
        <f>G22*AO22</f>
        <v>0</v>
      </c>
      <c r="AX22" s="55">
        <f>G22*AP22</f>
        <v>0</v>
      </c>
      <c r="AY22" s="58" t="s">
        <v>126</v>
      </c>
      <c r="AZ22" s="58" t="s">
        <v>2633</v>
      </c>
      <c r="BA22" s="34" t="s">
        <v>2634</v>
      </c>
      <c r="BC22" s="55">
        <f>AW22+AX22</f>
        <v>0</v>
      </c>
      <c r="BD22" s="55">
        <f>H22/(100-BE22)*100</f>
        <v>0</v>
      </c>
      <c r="BE22" s="55">
        <v>0</v>
      </c>
      <c r="BF22" s="55">
        <f>K22</f>
        <v>0</v>
      </c>
      <c r="BH22" s="55">
        <f>G22*AO22</f>
        <v>0</v>
      </c>
      <c r="BI22" s="55">
        <f>G22*AP22</f>
        <v>0</v>
      </c>
      <c r="BJ22" s="55">
        <f>G22*H22</f>
        <v>0</v>
      </c>
      <c r="BK22" s="55"/>
      <c r="BL22" s="55"/>
      <c r="BW22" s="55">
        <v>21</v>
      </c>
    </row>
    <row r="23" spans="1:12" ht="13.5" customHeight="1">
      <c r="A23" s="59"/>
      <c r="D23" s="218" t="s">
        <v>129</v>
      </c>
      <c r="E23" s="219"/>
      <c r="F23" s="219"/>
      <c r="G23" s="219"/>
      <c r="H23" s="219"/>
      <c r="I23" s="219"/>
      <c r="J23" s="219"/>
      <c r="K23" s="219"/>
      <c r="L23" s="221"/>
    </row>
    <row r="24" spans="1:75" ht="27" customHeight="1">
      <c r="A24" s="1" t="s">
        <v>142</v>
      </c>
      <c r="B24" s="2" t="s">
        <v>2629</v>
      </c>
      <c r="C24" s="2" t="s">
        <v>2647</v>
      </c>
      <c r="D24" s="147" t="s">
        <v>2648</v>
      </c>
      <c r="E24" s="148"/>
      <c r="F24" s="2" t="s">
        <v>123</v>
      </c>
      <c r="G24" s="55">
        <f>'Stavební rozpočet-vyplnit'!G1402</f>
        <v>14</v>
      </c>
      <c r="H24" s="55">
        <f>'Stavební rozpočet-vyplnit'!H1402</f>
        <v>0</v>
      </c>
      <c r="I24" s="55">
        <f>G24*H24</f>
        <v>0</v>
      </c>
      <c r="J24" s="55">
        <f>'Stavební rozpočet-vyplnit'!J1402</f>
        <v>0</v>
      </c>
      <c r="K24" s="55">
        <f>G24*J24</f>
        <v>0</v>
      </c>
      <c r="L24" s="57" t="s">
        <v>124</v>
      </c>
      <c r="Z24" s="55">
        <f>IF(AQ24="5",BJ24,0)</f>
        <v>0</v>
      </c>
      <c r="AB24" s="55">
        <f>IF(AQ24="1",BH24,0)</f>
        <v>0</v>
      </c>
      <c r="AC24" s="55">
        <f>IF(AQ24="1",BI24,0)</f>
        <v>0</v>
      </c>
      <c r="AD24" s="55">
        <f>IF(AQ24="7",BH24,0)</f>
        <v>0</v>
      </c>
      <c r="AE24" s="55">
        <f>IF(AQ24="7",BI24,0)</f>
        <v>0</v>
      </c>
      <c r="AF24" s="55">
        <f>IF(AQ24="2",BH24,0)</f>
        <v>0</v>
      </c>
      <c r="AG24" s="55">
        <f>IF(AQ24="2",BI24,0)</f>
        <v>0</v>
      </c>
      <c r="AH24" s="55">
        <f>IF(AQ24="0",BJ24,0)</f>
        <v>0</v>
      </c>
      <c r="AI24" s="34" t="s">
        <v>2629</v>
      </c>
      <c r="AJ24" s="55">
        <f>IF(AN24=0,I24,0)</f>
        <v>0</v>
      </c>
      <c r="AK24" s="55">
        <f>IF(AN24=12,I24,0)</f>
        <v>0</v>
      </c>
      <c r="AL24" s="55">
        <f>IF(AN24=21,I24,0)</f>
        <v>0</v>
      </c>
      <c r="AN24" s="55">
        <v>21</v>
      </c>
      <c r="AO24" s="55">
        <f>H24*0.876606684</f>
        <v>0</v>
      </c>
      <c r="AP24" s="55">
        <f>H24*(1-0.876606684)</f>
        <v>0</v>
      </c>
      <c r="AQ24" s="58" t="s">
        <v>125</v>
      </c>
      <c r="AV24" s="55">
        <f>AW24+AX24</f>
        <v>0</v>
      </c>
      <c r="AW24" s="55">
        <f>G24*AO24</f>
        <v>0</v>
      </c>
      <c r="AX24" s="55">
        <f>G24*AP24</f>
        <v>0</v>
      </c>
      <c r="AY24" s="58" t="s">
        <v>126</v>
      </c>
      <c r="AZ24" s="58" t="s">
        <v>2633</v>
      </c>
      <c r="BA24" s="34" t="s">
        <v>2634</v>
      </c>
      <c r="BC24" s="55">
        <f>AW24+AX24</f>
        <v>0</v>
      </c>
      <c r="BD24" s="55">
        <f>H24/(100-BE24)*100</f>
        <v>0</v>
      </c>
      <c r="BE24" s="55">
        <v>0</v>
      </c>
      <c r="BF24" s="55">
        <f>K24</f>
        <v>0</v>
      </c>
      <c r="BH24" s="55">
        <f>G24*AO24</f>
        <v>0</v>
      </c>
      <c r="BI24" s="55">
        <f>G24*AP24</f>
        <v>0</v>
      </c>
      <c r="BJ24" s="55">
        <f>G24*H24</f>
        <v>0</v>
      </c>
      <c r="BK24" s="55"/>
      <c r="BL24" s="55"/>
      <c r="BW24" s="55">
        <v>21</v>
      </c>
    </row>
    <row r="25" spans="1:12" ht="13.5" customHeight="1">
      <c r="A25" s="59"/>
      <c r="D25" s="218" t="s">
        <v>129</v>
      </c>
      <c r="E25" s="219"/>
      <c r="F25" s="219"/>
      <c r="G25" s="219"/>
      <c r="H25" s="219"/>
      <c r="I25" s="219"/>
      <c r="J25" s="219"/>
      <c r="K25" s="219"/>
      <c r="L25" s="221"/>
    </row>
    <row r="26" spans="1:75" ht="27" customHeight="1">
      <c r="A26" s="1" t="s">
        <v>125</v>
      </c>
      <c r="B26" s="2" t="s">
        <v>2629</v>
      </c>
      <c r="C26" s="2" t="s">
        <v>2650</v>
      </c>
      <c r="D26" s="147" t="s">
        <v>2651</v>
      </c>
      <c r="E26" s="148"/>
      <c r="F26" s="2" t="s">
        <v>123</v>
      </c>
      <c r="G26" s="55">
        <f>'Stavební rozpočet-vyplnit'!G1404</f>
        <v>8</v>
      </c>
      <c r="H26" s="55">
        <f>'Stavební rozpočet-vyplnit'!H1404</f>
        <v>0</v>
      </c>
      <c r="I26" s="55">
        <f>G26*H26</f>
        <v>0</v>
      </c>
      <c r="J26" s="55">
        <f>'Stavební rozpočet-vyplnit'!J1404</f>
        <v>0</v>
      </c>
      <c r="K26" s="55">
        <f>G26*J26</f>
        <v>0</v>
      </c>
      <c r="L26" s="57" t="s">
        <v>124</v>
      </c>
      <c r="Z26" s="55">
        <f>IF(AQ26="5",BJ26,0)</f>
        <v>0</v>
      </c>
      <c r="AB26" s="55">
        <f>IF(AQ26="1",BH26,0)</f>
        <v>0</v>
      </c>
      <c r="AC26" s="55">
        <f>IF(AQ26="1",BI26,0)</f>
        <v>0</v>
      </c>
      <c r="AD26" s="55">
        <f>IF(AQ26="7",BH26,0)</f>
        <v>0</v>
      </c>
      <c r="AE26" s="55">
        <f>IF(AQ26="7",BI26,0)</f>
        <v>0</v>
      </c>
      <c r="AF26" s="55">
        <f>IF(AQ26="2",BH26,0)</f>
        <v>0</v>
      </c>
      <c r="AG26" s="55">
        <f>IF(AQ26="2",BI26,0)</f>
        <v>0</v>
      </c>
      <c r="AH26" s="55">
        <f>IF(AQ26="0",BJ26,0)</f>
        <v>0</v>
      </c>
      <c r="AI26" s="34" t="s">
        <v>2629</v>
      </c>
      <c r="AJ26" s="55">
        <f>IF(AN26=0,I26,0)</f>
        <v>0</v>
      </c>
      <c r="AK26" s="55">
        <f>IF(AN26=12,I26,0)</f>
        <v>0</v>
      </c>
      <c r="AL26" s="55">
        <f>IF(AN26=21,I26,0)</f>
        <v>0</v>
      </c>
      <c r="AN26" s="55">
        <v>21</v>
      </c>
      <c r="AO26" s="55">
        <f>H26*0.87318362</f>
        <v>0</v>
      </c>
      <c r="AP26" s="55">
        <f>H26*(1-0.87318362)</f>
        <v>0</v>
      </c>
      <c r="AQ26" s="58" t="s">
        <v>125</v>
      </c>
      <c r="AV26" s="55">
        <f>AW26+AX26</f>
        <v>0</v>
      </c>
      <c r="AW26" s="55">
        <f>G26*AO26</f>
        <v>0</v>
      </c>
      <c r="AX26" s="55">
        <f>G26*AP26</f>
        <v>0</v>
      </c>
      <c r="AY26" s="58" t="s">
        <v>126</v>
      </c>
      <c r="AZ26" s="58" t="s">
        <v>2633</v>
      </c>
      <c r="BA26" s="34" t="s">
        <v>2634</v>
      </c>
      <c r="BC26" s="55">
        <f>AW26+AX26</f>
        <v>0</v>
      </c>
      <c r="BD26" s="55">
        <f>H26/(100-BE26)*100</f>
        <v>0</v>
      </c>
      <c r="BE26" s="55">
        <v>0</v>
      </c>
      <c r="BF26" s="55">
        <f>K26</f>
        <v>0</v>
      </c>
      <c r="BH26" s="55">
        <f>G26*AO26</f>
        <v>0</v>
      </c>
      <c r="BI26" s="55">
        <f>G26*AP26</f>
        <v>0</v>
      </c>
      <c r="BJ26" s="55">
        <f>G26*H26</f>
        <v>0</v>
      </c>
      <c r="BK26" s="55"/>
      <c r="BL26" s="55"/>
      <c r="BW26" s="55">
        <v>21</v>
      </c>
    </row>
    <row r="27" spans="1:12" ht="13.5" customHeight="1">
      <c r="A27" s="59"/>
      <c r="D27" s="218" t="s">
        <v>129</v>
      </c>
      <c r="E27" s="219"/>
      <c r="F27" s="219"/>
      <c r="G27" s="219"/>
      <c r="H27" s="219"/>
      <c r="I27" s="219"/>
      <c r="J27" s="219"/>
      <c r="K27" s="219"/>
      <c r="L27" s="221"/>
    </row>
    <row r="28" spans="1:75" ht="27" customHeight="1">
      <c r="A28" s="1" t="s">
        <v>147</v>
      </c>
      <c r="B28" s="2" t="s">
        <v>2629</v>
      </c>
      <c r="C28" s="2" t="s">
        <v>2653</v>
      </c>
      <c r="D28" s="147" t="s">
        <v>2654</v>
      </c>
      <c r="E28" s="148"/>
      <c r="F28" s="2" t="s">
        <v>123</v>
      </c>
      <c r="G28" s="55">
        <f>'Stavební rozpočet-vyplnit'!G1406</f>
        <v>5</v>
      </c>
      <c r="H28" s="55">
        <f>'Stavební rozpočet-vyplnit'!H1406</f>
        <v>0</v>
      </c>
      <c r="I28" s="55">
        <f>G28*H28</f>
        <v>0</v>
      </c>
      <c r="J28" s="55">
        <f>'Stavební rozpočet-vyplnit'!J1406</f>
        <v>0</v>
      </c>
      <c r="K28" s="55">
        <f>G28*J28</f>
        <v>0</v>
      </c>
      <c r="L28" s="57" t="s">
        <v>124</v>
      </c>
      <c r="Z28" s="55">
        <f>IF(AQ28="5",BJ28,0)</f>
        <v>0</v>
      </c>
      <c r="AB28" s="55">
        <f>IF(AQ28="1",BH28,0)</f>
        <v>0</v>
      </c>
      <c r="AC28" s="55">
        <f>IF(AQ28="1",BI28,0)</f>
        <v>0</v>
      </c>
      <c r="AD28" s="55">
        <f>IF(AQ28="7",BH28,0)</f>
        <v>0</v>
      </c>
      <c r="AE28" s="55">
        <f>IF(AQ28="7",BI28,0)</f>
        <v>0</v>
      </c>
      <c r="AF28" s="55">
        <f>IF(AQ28="2",BH28,0)</f>
        <v>0</v>
      </c>
      <c r="AG28" s="55">
        <f>IF(AQ28="2",BI28,0)</f>
        <v>0</v>
      </c>
      <c r="AH28" s="55">
        <f>IF(AQ28="0",BJ28,0)</f>
        <v>0</v>
      </c>
      <c r="AI28" s="34" t="s">
        <v>2629</v>
      </c>
      <c r="AJ28" s="55">
        <f>IF(AN28=0,I28,0)</f>
        <v>0</v>
      </c>
      <c r="AK28" s="55">
        <f>IF(AN28=12,I28,0)</f>
        <v>0</v>
      </c>
      <c r="AL28" s="55">
        <f>IF(AN28=21,I28,0)</f>
        <v>0</v>
      </c>
      <c r="AN28" s="55">
        <v>21</v>
      </c>
      <c r="AO28" s="55">
        <f>H28*0.847085059</f>
        <v>0</v>
      </c>
      <c r="AP28" s="55">
        <f>H28*(1-0.847085059)</f>
        <v>0</v>
      </c>
      <c r="AQ28" s="58" t="s">
        <v>125</v>
      </c>
      <c r="AV28" s="55">
        <f>AW28+AX28</f>
        <v>0</v>
      </c>
      <c r="AW28" s="55">
        <f>G28*AO28</f>
        <v>0</v>
      </c>
      <c r="AX28" s="55">
        <f>G28*AP28</f>
        <v>0</v>
      </c>
      <c r="AY28" s="58" t="s">
        <v>126</v>
      </c>
      <c r="AZ28" s="58" t="s">
        <v>2633</v>
      </c>
      <c r="BA28" s="34" t="s">
        <v>2634</v>
      </c>
      <c r="BC28" s="55">
        <f>AW28+AX28</f>
        <v>0</v>
      </c>
      <c r="BD28" s="55">
        <f>H28/(100-BE28)*100</f>
        <v>0</v>
      </c>
      <c r="BE28" s="55">
        <v>0</v>
      </c>
      <c r="BF28" s="55">
        <f>K28</f>
        <v>0</v>
      </c>
      <c r="BH28" s="55">
        <f>G28*AO28</f>
        <v>0</v>
      </c>
      <c r="BI28" s="55">
        <f>G28*AP28</f>
        <v>0</v>
      </c>
      <c r="BJ28" s="55">
        <f>G28*H28</f>
        <v>0</v>
      </c>
      <c r="BK28" s="55"/>
      <c r="BL28" s="55"/>
      <c r="BW28" s="55">
        <v>21</v>
      </c>
    </row>
    <row r="29" spans="1:12" ht="13.5" customHeight="1">
      <c r="A29" s="59"/>
      <c r="D29" s="218" t="s">
        <v>129</v>
      </c>
      <c r="E29" s="219"/>
      <c r="F29" s="219"/>
      <c r="G29" s="219"/>
      <c r="H29" s="219"/>
      <c r="I29" s="219"/>
      <c r="J29" s="219"/>
      <c r="K29" s="219"/>
      <c r="L29" s="221"/>
    </row>
    <row r="30" spans="1:75" ht="27" customHeight="1">
      <c r="A30" s="1" t="s">
        <v>150</v>
      </c>
      <c r="B30" s="2" t="s">
        <v>2629</v>
      </c>
      <c r="C30" s="2" t="s">
        <v>2656</v>
      </c>
      <c r="D30" s="147" t="s">
        <v>2657</v>
      </c>
      <c r="E30" s="148"/>
      <c r="F30" s="2" t="s">
        <v>123</v>
      </c>
      <c r="G30" s="55">
        <f>'Stavební rozpočet-vyplnit'!G1408</f>
        <v>5</v>
      </c>
      <c r="H30" s="55">
        <f>'Stavební rozpočet-vyplnit'!H1408</f>
        <v>0</v>
      </c>
      <c r="I30" s="55">
        <f>G30*H30</f>
        <v>0</v>
      </c>
      <c r="J30" s="55">
        <f>'Stavební rozpočet-vyplnit'!J1408</f>
        <v>0</v>
      </c>
      <c r="K30" s="55">
        <f>G30*J30</f>
        <v>0</v>
      </c>
      <c r="L30" s="57" t="s">
        <v>124</v>
      </c>
      <c r="Z30" s="55">
        <f>IF(AQ30="5",BJ30,0)</f>
        <v>0</v>
      </c>
      <c r="AB30" s="55">
        <f>IF(AQ30="1",BH30,0)</f>
        <v>0</v>
      </c>
      <c r="AC30" s="55">
        <f>IF(AQ30="1",BI30,0)</f>
        <v>0</v>
      </c>
      <c r="AD30" s="55">
        <f>IF(AQ30="7",BH30,0)</f>
        <v>0</v>
      </c>
      <c r="AE30" s="55">
        <f>IF(AQ30="7",BI30,0)</f>
        <v>0</v>
      </c>
      <c r="AF30" s="55">
        <f>IF(AQ30="2",BH30,0)</f>
        <v>0</v>
      </c>
      <c r="AG30" s="55">
        <f>IF(AQ30="2",BI30,0)</f>
        <v>0</v>
      </c>
      <c r="AH30" s="55">
        <f>IF(AQ30="0",BJ30,0)</f>
        <v>0</v>
      </c>
      <c r="AI30" s="34" t="s">
        <v>2629</v>
      </c>
      <c r="AJ30" s="55">
        <f>IF(AN30=0,I30,0)</f>
        <v>0</v>
      </c>
      <c r="AK30" s="55">
        <f>IF(AN30=12,I30,0)</f>
        <v>0</v>
      </c>
      <c r="AL30" s="55">
        <f>IF(AN30=21,I30,0)</f>
        <v>0</v>
      </c>
      <c r="AN30" s="55">
        <v>21</v>
      </c>
      <c r="AO30" s="55">
        <f>H30*0.805746661</f>
        <v>0</v>
      </c>
      <c r="AP30" s="55">
        <f>H30*(1-0.805746661)</f>
        <v>0</v>
      </c>
      <c r="AQ30" s="58" t="s">
        <v>125</v>
      </c>
      <c r="AV30" s="55">
        <f>AW30+AX30</f>
        <v>0</v>
      </c>
      <c r="AW30" s="55">
        <f>G30*AO30</f>
        <v>0</v>
      </c>
      <c r="AX30" s="55">
        <f>G30*AP30</f>
        <v>0</v>
      </c>
      <c r="AY30" s="58" t="s">
        <v>126</v>
      </c>
      <c r="AZ30" s="58" t="s">
        <v>2633</v>
      </c>
      <c r="BA30" s="34" t="s">
        <v>2634</v>
      </c>
      <c r="BC30" s="55">
        <f>AW30+AX30</f>
        <v>0</v>
      </c>
      <c r="BD30" s="55">
        <f>H30/(100-BE30)*100</f>
        <v>0</v>
      </c>
      <c r="BE30" s="55">
        <v>0</v>
      </c>
      <c r="BF30" s="55">
        <f>K30</f>
        <v>0</v>
      </c>
      <c r="BH30" s="55">
        <f>G30*AO30</f>
        <v>0</v>
      </c>
      <c r="BI30" s="55">
        <f>G30*AP30</f>
        <v>0</v>
      </c>
      <c r="BJ30" s="55">
        <f>G30*H30</f>
        <v>0</v>
      </c>
      <c r="BK30" s="55"/>
      <c r="BL30" s="55"/>
      <c r="BW30" s="55">
        <v>21</v>
      </c>
    </row>
    <row r="31" spans="1:12" ht="13.5" customHeight="1">
      <c r="A31" s="59"/>
      <c r="D31" s="218" t="s">
        <v>2658</v>
      </c>
      <c r="E31" s="219"/>
      <c r="F31" s="219"/>
      <c r="G31" s="219"/>
      <c r="H31" s="219"/>
      <c r="I31" s="219"/>
      <c r="J31" s="219"/>
      <c r="K31" s="219"/>
      <c r="L31" s="221"/>
    </row>
    <row r="32" spans="1:75" ht="27" customHeight="1">
      <c r="A32" s="1" t="s">
        <v>153</v>
      </c>
      <c r="B32" s="2" t="s">
        <v>2629</v>
      </c>
      <c r="C32" s="2" t="s">
        <v>2660</v>
      </c>
      <c r="D32" s="147" t="s">
        <v>2661</v>
      </c>
      <c r="E32" s="148"/>
      <c r="F32" s="2" t="s">
        <v>123</v>
      </c>
      <c r="G32" s="55">
        <f>'Stavební rozpočet-vyplnit'!G1410</f>
        <v>14</v>
      </c>
      <c r="H32" s="55">
        <f>'Stavební rozpočet-vyplnit'!H1410</f>
        <v>0</v>
      </c>
      <c r="I32" s="55">
        <f>G32*H32</f>
        <v>0</v>
      </c>
      <c r="J32" s="55">
        <f>'Stavební rozpočet-vyplnit'!J1410</f>
        <v>0</v>
      </c>
      <c r="K32" s="55">
        <f>G32*J32</f>
        <v>0</v>
      </c>
      <c r="L32" s="57" t="s">
        <v>124</v>
      </c>
      <c r="Z32" s="55">
        <f>IF(AQ32="5",BJ32,0)</f>
        <v>0</v>
      </c>
      <c r="AB32" s="55">
        <f>IF(AQ32="1",BH32,0)</f>
        <v>0</v>
      </c>
      <c r="AC32" s="55">
        <f>IF(AQ32="1",BI32,0)</f>
        <v>0</v>
      </c>
      <c r="AD32" s="55">
        <f>IF(AQ32="7",BH32,0)</f>
        <v>0</v>
      </c>
      <c r="AE32" s="55">
        <f>IF(AQ32="7",BI32,0)</f>
        <v>0</v>
      </c>
      <c r="AF32" s="55">
        <f>IF(AQ32="2",BH32,0)</f>
        <v>0</v>
      </c>
      <c r="AG32" s="55">
        <f>IF(AQ32="2",BI32,0)</f>
        <v>0</v>
      </c>
      <c r="AH32" s="55">
        <f>IF(AQ32="0",BJ32,0)</f>
        <v>0</v>
      </c>
      <c r="AI32" s="34" t="s">
        <v>2629</v>
      </c>
      <c r="AJ32" s="55">
        <f>IF(AN32=0,I32,0)</f>
        <v>0</v>
      </c>
      <c r="AK32" s="55">
        <f>IF(AN32=12,I32,0)</f>
        <v>0</v>
      </c>
      <c r="AL32" s="55">
        <f>IF(AN32=21,I32,0)</f>
        <v>0</v>
      </c>
      <c r="AN32" s="55">
        <v>21</v>
      </c>
      <c r="AO32" s="55">
        <f>H32*0.894505495</f>
        <v>0</v>
      </c>
      <c r="AP32" s="55">
        <f>H32*(1-0.894505495)</f>
        <v>0</v>
      </c>
      <c r="AQ32" s="58" t="s">
        <v>125</v>
      </c>
      <c r="AV32" s="55">
        <f>AW32+AX32</f>
        <v>0</v>
      </c>
      <c r="AW32" s="55">
        <f>G32*AO32</f>
        <v>0</v>
      </c>
      <c r="AX32" s="55">
        <f>G32*AP32</f>
        <v>0</v>
      </c>
      <c r="AY32" s="58" t="s">
        <v>126</v>
      </c>
      <c r="AZ32" s="58" t="s">
        <v>2633</v>
      </c>
      <c r="BA32" s="34" t="s">
        <v>2634</v>
      </c>
      <c r="BC32" s="55">
        <f>AW32+AX32</f>
        <v>0</v>
      </c>
      <c r="BD32" s="55">
        <f>H32/(100-BE32)*100</f>
        <v>0</v>
      </c>
      <c r="BE32" s="55">
        <v>0</v>
      </c>
      <c r="BF32" s="55">
        <f>K32</f>
        <v>0</v>
      </c>
      <c r="BH32" s="55">
        <f>G32*AO32</f>
        <v>0</v>
      </c>
      <c r="BI32" s="55">
        <f>G32*AP32</f>
        <v>0</v>
      </c>
      <c r="BJ32" s="55">
        <f>G32*H32</f>
        <v>0</v>
      </c>
      <c r="BK32" s="55"/>
      <c r="BL32" s="55"/>
      <c r="BW32" s="55">
        <v>21</v>
      </c>
    </row>
    <row r="33" spans="1:12" ht="13.5" customHeight="1">
      <c r="A33" s="59"/>
      <c r="D33" s="218" t="s">
        <v>129</v>
      </c>
      <c r="E33" s="219"/>
      <c r="F33" s="219"/>
      <c r="G33" s="219"/>
      <c r="H33" s="219"/>
      <c r="I33" s="219"/>
      <c r="J33" s="219"/>
      <c r="K33" s="219"/>
      <c r="L33" s="221"/>
    </row>
    <row r="34" spans="1:75" ht="27" customHeight="1">
      <c r="A34" s="1" t="s">
        <v>156</v>
      </c>
      <c r="B34" s="2" t="s">
        <v>2629</v>
      </c>
      <c r="C34" s="2" t="s">
        <v>2663</v>
      </c>
      <c r="D34" s="147" t="s">
        <v>2664</v>
      </c>
      <c r="E34" s="148"/>
      <c r="F34" s="2" t="s">
        <v>123</v>
      </c>
      <c r="G34" s="55">
        <f>'Stavební rozpočet-vyplnit'!G1412</f>
        <v>4</v>
      </c>
      <c r="H34" s="55">
        <f>'Stavební rozpočet-vyplnit'!H1412</f>
        <v>0</v>
      </c>
      <c r="I34" s="55">
        <f>G34*H34</f>
        <v>0</v>
      </c>
      <c r="J34" s="55">
        <f>'Stavební rozpočet-vyplnit'!J1412</f>
        <v>0</v>
      </c>
      <c r="K34" s="55">
        <f>G34*J34</f>
        <v>0</v>
      </c>
      <c r="L34" s="57" t="s">
        <v>124</v>
      </c>
      <c r="Z34" s="55">
        <f>IF(AQ34="5",BJ34,0)</f>
        <v>0</v>
      </c>
      <c r="AB34" s="55">
        <f>IF(AQ34="1",BH34,0)</f>
        <v>0</v>
      </c>
      <c r="AC34" s="55">
        <f>IF(AQ34="1",BI34,0)</f>
        <v>0</v>
      </c>
      <c r="AD34" s="55">
        <f>IF(AQ34="7",BH34,0)</f>
        <v>0</v>
      </c>
      <c r="AE34" s="55">
        <f>IF(AQ34="7",BI34,0)</f>
        <v>0</v>
      </c>
      <c r="AF34" s="55">
        <f>IF(AQ34="2",BH34,0)</f>
        <v>0</v>
      </c>
      <c r="AG34" s="55">
        <f>IF(AQ34="2",BI34,0)</f>
        <v>0</v>
      </c>
      <c r="AH34" s="55">
        <f>IF(AQ34="0",BJ34,0)</f>
        <v>0</v>
      </c>
      <c r="AI34" s="34" t="s">
        <v>2629</v>
      </c>
      <c r="AJ34" s="55">
        <f>IF(AN34=0,I34,0)</f>
        <v>0</v>
      </c>
      <c r="AK34" s="55">
        <f>IF(AN34=12,I34,0)</f>
        <v>0</v>
      </c>
      <c r="AL34" s="55">
        <f>IF(AN34=21,I34,0)</f>
        <v>0</v>
      </c>
      <c r="AN34" s="55">
        <v>21</v>
      </c>
      <c r="AO34" s="55">
        <f>H34*0.900785449</f>
        <v>0</v>
      </c>
      <c r="AP34" s="55">
        <f>H34*(1-0.900785449)</f>
        <v>0</v>
      </c>
      <c r="AQ34" s="58" t="s">
        <v>125</v>
      </c>
      <c r="AV34" s="55">
        <f>AW34+AX34</f>
        <v>0</v>
      </c>
      <c r="AW34" s="55">
        <f>G34*AO34</f>
        <v>0</v>
      </c>
      <c r="AX34" s="55">
        <f>G34*AP34</f>
        <v>0</v>
      </c>
      <c r="AY34" s="58" t="s">
        <v>126</v>
      </c>
      <c r="AZ34" s="58" t="s">
        <v>2633</v>
      </c>
      <c r="BA34" s="34" t="s">
        <v>2634</v>
      </c>
      <c r="BC34" s="55">
        <f>AW34+AX34</f>
        <v>0</v>
      </c>
      <c r="BD34" s="55">
        <f>H34/(100-BE34)*100</f>
        <v>0</v>
      </c>
      <c r="BE34" s="55">
        <v>0</v>
      </c>
      <c r="BF34" s="55">
        <f>K34</f>
        <v>0</v>
      </c>
      <c r="BH34" s="55">
        <f>G34*AO34</f>
        <v>0</v>
      </c>
      <c r="BI34" s="55">
        <f>G34*AP34</f>
        <v>0</v>
      </c>
      <c r="BJ34" s="55">
        <f>G34*H34</f>
        <v>0</v>
      </c>
      <c r="BK34" s="55"/>
      <c r="BL34" s="55"/>
      <c r="BW34" s="55">
        <v>21</v>
      </c>
    </row>
    <row r="35" spans="1:12" ht="13.5" customHeight="1">
      <c r="A35" s="59"/>
      <c r="D35" s="218" t="s">
        <v>2665</v>
      </c>
      <c r="E35" s="219"/>
      <c r="F35" s="219"/>
      <c r="G35" s="219"/>
      <c r="H35" s="219"/>
      <c r="I35" s="219"/>
      <c r="J35" s="219"/>
      <c r="K35" s="219"/>
      <c r="L35" s="221"/>
    </row>
    <row r="36" spans="1:75" ht="27" customHeight="1">
      <c r="A36" s="1" t="s">
        <v>159</v>
      </c>
      <c r="B36" s="2" t="s">
        <v>2629</v>
      </c>
      <c r="C36" s="2" t="s">
        <v>160</v>
      </c>
      <c r="D36" s="147" t="s">
        <v>2667</v>
      </c>
      <c r="E36" s="148"/>
      <c r="F36" s="2" t="s">
        <v>123</v>
      </c>
      <c r="G36" s="55">
        <f>'Stavební rozpočet-vyplnit'!G1414</f>
        <v>2</v>
      </c>
      <c r="H36" s="55">
        <f>'Stavební rozpočet-vyplnit'!H1414</f>
        <v>0</v>
      </c>
      <c r="I36" s="55">
        <f>G36*H36</f>
        <v>0</v>
      </c>
      <c r="J36" s="55">
        <f>'Stavební rozpočet-vyplnit'!J1414</f>
        <v>0</v>
      </c>
      <c r="K36" s="55">
        <f>G36*J36</f>
        <v>0</v>
      </c>
      <c r="L36" s="57" t="s">
        <v>124</v>
      </c>
      <c r="Z36" s="55">
        <f>IF(AQ36="5",BJ36,0)</f>
        <v>0</v>
      </c>
      <c r="AB36" s="55">
        <f>IF(AQ36="1",BH36,0)</f>
        <v>0</v>
      </c>
      <c r="AC36" s="55">
        <f>IF(AQ36="1",BI36,0)</f>
        <v>0</v>
      </c>
      <c r="AD36" s="55">
        <f>IF(AQ36="7",BH36,0)</f>
        <v>0</v>
      </c>
      <c r="AE36" s="55">
        <f>IF(AQ36="7",BI36,0)</f>
        <v>0</v>
      </c>
      <c r="AF36" s="55">
        <f>IF(AQ36="2",BH36,0)</f>
        <v>0</v>
      </c>
      <c r="AG36" s="55">
        <f>IF(AQ36="2",BI36,0)</f>
        <v>0</v>
      </c>
      <c r="AH36" s="55">
        <f>IF(AQ36="0",BJ36,0)</f>
        <v>0</v>
      </c>
      <c r="AI36" s="34" t="s">
        <v>2629</v>
      </c>
      <c r="AJ36" s="55">
        <f>IF(AN36=0,I36,0)</f>
        <v>0</v>
      </c>
      <c r="AK36" s="55">
        <f>IF(AN36=12,I36,0)</f>
        <v>0</v>
      </c>
      <c r="AL36" s="55">
        <f>IF(AN36=21,I36,0)</f>
        <v>0</v>
      </c>
      <c r="AN36" s="55">
        <v>21</v>
      </c>
      <c r="AO36" s="55">
        <f>H36*0.812133072</f>
        <v>0</v>
      </c>
      <c r="AP36" s="55">
        <f>H36*(1-0.812133072)</f>
        <v>0</v>
      </c>
      <c r="AQ36" s="58" t="s">
        <v>125</v>
      </c>
      <c r="AV36" s="55">
        <f>AW36+AX36</f>
        <v>0</v>
      </c>
      <c r="AW36" s="55">
        <f>G36*AO36</f>
        <v>0</v>
      </c>
      <c r="AX36" s="55">
        <f>G36*AP36</f>
        <v>0</v>
      </c>
      <c r="AY36" s="58" t="s">
        <v>126</v>
      </c>
      <c r="AZ36" s="58" t="s">
        <v>2633</v>
      </c>
      <c r="BA36" s="34" t="s">
        <v>2634</v>
      </c>
      <c r="BC36" s="55">
        <f>AW36+AX36</f>
        <v>0</v>
      </c>
      <c r="BD36" s="55">
        <f>H36/(100-BE36)*100</f>
        <v>0</v>
      </c>
      <c r="BE36" s="55">
        <v>0</v>
      </c>
      <c r="BF36" s="55">
        <f>K36</f>
        <v>0</v>
      </c>
      <c r="BH36" s="55">
        <f>G36*AO36</f>
        <v>0</v>
      </c>
      <c r="BI36" s="55">
        <f>G36*AP36</f>
        <v>0</v>
      </c>
      <c r="BJ36" s="55">
        <f>G36*H36</f>
        <v>0</v>
      </c>
      <c r="BK36" s="55"/>
      <c r="BL36" s="55"/>
      <c r="BW36" s="55">
        <v>21</v>
      </c>
    </row>
    <row r="37" spans="1:12" ht="13.5" customHeight="1">
      <c r="A37" s="59"/>
      <c r="D37" s="218" t="s">
        <v>2668</v>
      </c>
      <c r="E37" s="219"/>
      <c r="F37" s="219"/>
      <c r="G37" s="219"/>
      <c r="H37" s="219"/>
      <c r="I37" s="219"/>
      <c r="J37" s="219"/>
      <c r="K37" s="219"/>
      <c r="L37" s="221"/>
    </row>
    <row r="38" spans="1:75" ht="27" customHeight="1">
      <c r="A38" s="1" t="s">
        <v>162</v>
      </c>
      <c r="B38" s="2" t="s">
        <v>2629</v>
      </c>
      <c r="C38" s="2" t="s">
        <v>2670</v>
      </c>
      <c r="D38" s="147" t="s">
        <v>2671</v>
      </c>
      <c r="E38" s="148"/>
      <c r="F38" s="2" t="s">
        <v>123</v>
      </c>
      <c r="G38" s="55">
        <f>'Stavební rozpočet-vyplnit'!G1416</f>
        <v>10</v>
      </c>
      <c r="H38" s="55">
        <f>'Stavební rozpočet-vyplnit'!H1416</f>
        <v>0</v>
      </c>
      <c r="I38" s="55">
        <f>G38*H38</f>
        <v>0</v>
      </c>
      <c r="J38" s="55">
        <f>'Stavební rozpočet-vyplnit'!J1416</f>
        <v>0</v>
      </c>
      <c r="K38" s="55">
        <f>G38*J38</f>
        <v>0</v>
      </c>
      <c r="L38" s="57" t="s">
        <v>124</v>
      </c>
      <c r="Z38" s="55">
        <f>IF(AQ38="5",BJ38,0)</f>
        <v>0</v>
      </c>
      <c r="AB38" s="55">
        <f>IF(AQ38="1",BH38,0)</f>
        <v>0</v>
      </c>
      <c r="AC38" s="55">
        <f>IF(AQ38="1",BI38,0)</f>
        <v>0</v>
      </c>
      <c r="AD38" s="55">
        <f>IF(AQ38="7",BH38,0)</f>
        <v>0</v>
      </c>
      <c r="AE38" s="55">
        <f>IF(AQ38="7",BI38,0)</f>
        <v>0</v>
      </c>
      <c r="AF38" s="55">
        <f>IF(AQ38="2",BH38,0)</f>
        <v>0</v>
      </c>
      <c r="AG38" s="55">
        <f>IF(AQ38="2",BI38,0)</f>
        <v>0</v>
      </c>
      <c r="AH38" s="55">
        <f>IF(AQ38="0",BJ38,0)</f>
        <v>0</v>
      </c>
      <c r="AI38" s="34" t="s">
        <v>2629</v>
      </c>
      <c r="AJ38" s="55">
        <f>IF(AN38=0,I38,0)</f>
        <v>0</v>
      </c>
      <c r="AK38" s="55">
        <f>IF(AN38=12,I38,0)</f>
        <v>0</v>
      </c>
      <c r="AL38" s="55">
        <f>IF(AN38=21,I38,0)</f>
        <v>0</v>
      </c>
      <c r="AN38" s="55">
        <v>21</v>
      </c>
      <c r="AO38" s="55">
        <f>H38*0.870794078</f>
        <v>0</v>
      </c>
      <c r="AP38" s="55">
        <f>H38*(1-0.870794078)</f>
        <v>0</v>
      </c>
      <c r="AQ38" s="58" t="s">
        <v>125</v>
      </c>
      <c r="AV38" s="55">
        <f>AW38+AX38</f>
        <v>0</v>
      </c>
      <c r="AW38" s="55">
        <f>G38*AO38</f>
        <v>0</v>
      </c>
      <c r="AX38" s="55">
        <f>G38*AP38</f>
        <v>0</v>
      </c>
      <c r="AY38" s="58" t="s">
        <v>126</v>
      </c>
      <c r="AZ38" s="58" t="s">
        <v>2633</v>
      </c>
      <c r="BA38" s="34" t="s">
        <v>2634</v>
      </c>
      <c r="BC38" s="55">
        <f>AW38+AX38</f>
        <v>0</v>
      </c>
      <c r="BD38" s="55">
        <f>H38/(100-BE38)*100</f>
        <v>0</v>
      </c>
      <c r="BE38" s="55">
        <v>0</v>
      </c>
      <c r="BF38" s="55">
        <f>K38</f>
        <v>0</v>
      </c>
      <c r="BH38" s="55">
        <f>G38*AO38</f>
        <v>0</v>
      </c>
      <c r="BI38" s="55">
        <f>G38*AP38</f>
        <v>0</v>
      </c>
      <c r="BJ38" s="55">
        <f>G38*H38</f>
        <v>0</v>
      </c>
      <c r="BK38" s="55"/>
      <c r="BL38" s="55"/>
      <c r="BW38" s="55">
        <v>21</v>
      </c>
    </row>
    <row r="39" spans="1:12" ht="13.5" customHeight="1">
      <c r="A39" s="59"/>
      <c r="D39" s="218" t="s">
        <v>129</v>
      </c>
      <c r="E39" s="219"/>
      <c r="F39" s="219"/>
      <c r="G39" s="219"/>
      <c r="H39" s="219"/>
      <c r="I39" s="219"/>
      <c r="J39" s="219"/>
      <c r="K39" s="219"/>
      <c r="L39" s="221"/>
    </row>
    <row r="40" spans="1:75" ht="13.5" customHeight="1">
      <c r="A40" s="1" t="s">
        <v>165</v>
      </c>
      <c r="B40" s="2" t="s">
        <v>2629</v>
      </c>
      <c r="C40" s="2" t="s">
        <v>2673</v>
      </c>
      <c r="D40" s="147" t="s">
        <v>2674</v>
      </c>
      <c r="E40" s="148"/>
      <c r="F40" s="2" t="s">
        <v>123</v>
      </c>
      <c r="G40" s="55">
        <f>'Stavební rozpočet-vyplnit'!G1418</f>
        <v>8</v>
      </c>
      <c r="H40" s="55">
        <f>'Stavební rozpočet-vyplnit'!H1418</f>
        <v>0</v>
      </c>
      <c r="I40" s="55">
        <f>G40*H40</f>
        <v>0</v>
      </c>
      <c r="J40" s="55">
        <f>'Stavební rozpočet-vyplnit'!J1418</f>
        <v>0</v>
      </c>
      <c r="K40" s="55">
        <f>G40*J40</f>
        <v>0</v>
      </c>
      <c r="L40" s="57" t="s">
        <v>124</v>
      </c>
      <c r="Z40" s="55">
        <f>IF(AQ40="5",BJ40,0)</f>
        <v>0</v>
      </c>
      <c r="AB40" s="55">
        <f>IF(AQ40="1",BH40,0)</f>
        <v>0</v>
      </c>
      <c r="AC40" s="55">
        <f>IF(AQ40="1",BI40,0)</f>
        <v>0</v>
      </c>
      <c r="AD40" s="55">
        <f>IF(AQ40="7",BH40,0)</f>
        <v>0</v>
      </c>
      <c r="AE40" s="55">
        <f>IF(AQ40="7",BI40,0)</f>
        <v>0</v>
      </c>
      <c r="AF40" s="55">
        <f>IF(AQ40="2",BH40,0)</f>
        <v>0</v>
      </c>
      <c r="AG40" s="55">
        <f>IF(AQ40="2",BI40,0)</f>
        <v>0</v>
      </c>
      <c r="AH40" s="55">
        <f>IF(AQ40="0",BJ40,0)</f>
        <v>0</v>
      </c>
      <c r="AI40" s="34" t="s">
        <v>2629</v>
      </c>
      <c r="AJ40" s="55">
        <f>IF(AN40=0,I40,0)</f>
        <v>0</v>
      </c>
      <c r="AK40" s="55">
        <f>IF(AN40=12,I40,0)</f>
        <v>0</v>
      </c>
      <c r="AL40" s="55">
        <f>IF(AN40=21,I40,0)</f>
        <v>0</v>
      </c>
      <c r="AN40" s="55">
        <v>21</v>
      </c>
      <c r="AO40" s="55">
        <f>H40*0.883945841</f>
        <v>0</v>
      </c>
      <c r="AP40" s="55">
        <f>H40*(1-0.883945841)</f>
        <v>0</v>
      </c>
      <c r="AQ40" s="58" t="s">
        <v>125</v>
      </c>
      <c r="AV40" s="55">
        <f>AW40+AX40</f>
        <v>0</v>
      </c>
      <c r="AW40" s="55">
        <f>G40*AO40</f>
        <v>0</v>
      </c>
      <c r="AX40" s="55">
        <f>G40*AP40</f>
        <v>0</v>
      </c>
      <c r="AY40" s="58" t="s">
        <v>126</v>
      </c>
      <c r="AZ40" s="58" t="s">
        <v>2633</v>
      </c>
      <c r="BA40" s="34" t="s">
        <v>2634</v>
      </c>
      <c r="BC40" s="55">
        <f>AW40+AX40</f>
        <v>0</v>
      </c>
      <c r="BD40" s="55">
        <f>H40/(100-BE40)*100</f>
        <v>0</v>
      </c>
      <c r="BE40" s="55">
        <v>0</v>
      </c>
      <c r="BF40" s="55">
        <f>K40</f>
        <v>0</v>
      </c>
      <c r="BH40" s="55">
        <f>G40*AO40</f>
        <v>0</v>
      </c>
      <c r="BI40" s="55">
        <f>G40*AP40</f>
        <v>0</v>
      </c>
      <c r="BJ40" s="55">
        <f>G40*H40</f>
        <v>0</v>
      </c>
      <c r="BK40" s="55"/>
      <c r="BL40" s="55"/>
      <c r="BW40" s="55">
        <v>21</v>
      </c>
    </row>
    <row r="41" spans="1:12" ht="13.5" customHeight="1">
      <c r="A41" s="59"/>
      <c r="D41" s="218" t="s">
        <v>129</v>
      </c>
      <c r="E41" s="219"/>
      <c r="F41" s="219"/>
      <c r="G41" s="219"/>
      <c r="H41" s="219"/>
      <c r="I41" s="219"/>
      <c r="J41" s="219"/>
      <c r="K41" s="219"/>
      <c r="L41" s="221"/>
    </row>
    <row r="42" spans="1:75" ht="27" customHeight="1">
      <c r="A42" s="1" t="s">
        <v>168</v>
      </c>
      <c r="B42" s="2" t="s">
        <v>2629</v>
      </c>
      <c r="C42" s="2" t="s">
        <v>2676</v>
      </c>
      <c r="D42" s="147" t="s">
        <v>2677</v>
      </c>
      <c r="E42" s="148"/>
      <c r="F42" s="2" t="s">
        <v>123</v>
      </c>
      <c r="G42" s="55">
        <f>'Stavební rozpočet-vyplnit'!G1420</f>
        <v>10</v>
      </c>
      <c r="H42" s="55">
        <f>'Stavební rozpočet-vyplnit'!H1420</f>
        <v>0</v>
      </c>
      <c r="I42" s="55">
        <f>G42*H42</f>
        <v>0</v>
      </c>
      <c r="J42" s="55">
        <f>'Stavební rozpočet-vyplnit'!J1420</f>
        <v>0</v>
      </c>
      <c r="K42" s="55">
        <f>G42*J42</f>
        <v>0</v>
      </c>
      <c r="L42" s="57" t="s">
        <v>124</v>
      </c>
      <c r="Z42" s="55">
        <f>IF(AQ42="5",BJ42,0)</f>
        <v>0</v>
      </c>
      <c r="AB42" s="55">
        <f>IF(AQ42="1",BH42,0)</f>
        <v>0</v>
      </c>
      <c r="AC42" s="55">
        <f>IF(AQ42="1",BI42,0)</f>
        <v>0</v>
      </c>
      <c r="AD42" s="55">
        <f>IF(AQ42="7",BH42,0)</f>
        <v>0</v>
      </c>
      <c r="AE42" s="55">
        <f>IF(AQ42="7",BI42,0)</f>
        <v>0</v>
      </c>
      <c r="AF42" s="55">
        <f>IF(AQ42="2",BH42,0)</f>
        <v>0</v>
      </c>
      <c r="AG42" s="55">
        <f>IF(AQ42="2",BI42,0)</f>
        <v>0</v>
      </c>
      <c r="AH42" s="55">
        <f>IF(AQ42="0",BJ42,0)</f>
        <v>0</v>
      </c>
      <c r="AI42" s="34" t="s">
        <v>2629</v>
      </c>
      <c r="AJ42" s="55">
        <f>IF(AN42=0,I42,0)</f>
        <v>0</v>
      </c>
      <c r="AK42" s="55">
        <f>IF(AN42=12,I42,0)</f>
        <v>0</v>
      </c>
      <c r="AL42" s="55">
        <f>IF(AN42=21,I42,0)</f>
        <v>0</v>
      </c>
      <c r="AN42" s="55">
        <v>21</v>
      </c>
      <c r="AO42" s="55">
        <f>H42*0.899958316</f>
        <v>0</v>
      </c>
      <c r="AP42" s="55">
        <f>H42*(1-0.899958316)</f>
        <v>0</v>
      </c>
      <c r="AQ42" s="58" t="s">
        <v>125</v>
      </c>
      <c r="AV42" s="55">
        <f>AW42+AX42</f>
        <v>0</v>
      </c>
      <c r="AW42" s="55">
        <f>G42*AO42</f>
        <v>0</v>
      </c>
      <c r="AX42" s="55">
        <f>G42*AP42</f>
        <v>0</v>
      </c>
      <c r="AY42" s="58" t="s">
        <v>126</v>
      </c>
      <c r="AZ42" s="58" t="s">
        <v>2633</v>
      </c>
      <c r="BA42" s="34" t="s">
        <v>2634</v>
      </c>
      <c r="BC42" s="55">
        <f>AW42+AX42</f>
        <v>0</v>
      </c>
      <c r="BD42" s="55">
        <f>H42/(100-BE42)*100</f>
        <v>0</v>
      </c>
      <c r="BE42" s="55">
        <v>0</v>
      </c>
      <c r="BF42" s="55">
        <f>K42</f>
        <v>0</v>
      </c>
      <c r="BH42" s="55">
        <f>G42*AO42</f>
        <v>0</v>
      </c>
      <c r="BI42" s="55">
        <f>G42*AP42</f>
        <v>0</v>
      </c>
      <c r="BJ42" s="55">
        <f>G42*H42</f>
        <v>0</v>
      </c>
      <c r="BK42" s="55"/>
      <c r="BL42" s="55"/>
      <c r="BW42" s="55">
        <v>21</v>
      </c>
    </row>
    <row r="43" spans="1:12" ht="13.5" customHeight="1">
      <c r="A43" s="59"/>
      <c r="D43" s="218" t="s">
        <v>129</v>
      </c>
      <c r="E43" s="219"/>
      <c r="F43" s="219"/>
      <c r="G43" s="219"/>
      <c r="H43" s="219"/>
      <c r="I43" s="219"/>
      <c r="J43" s="219"/>
      <c r="K43" s="219"/>
      <c r="L43" s="221"/>
    </row>
    <row r="44" spans="1:75" ht="13.5" customHeight="1">
      <c r="A44" s="1" t="s">
        <v>171</v>
      </c>
      <c r="B44" s="2" t="s">
        <v>2629</v>
      </c>
      <c r="C44" s="2" t="s">
        <v>2679</v>
      </c>
      <c r="D44" s="147" t="s">
        <v>2680</v>
      </c>
      <c r="E44" s="148"/>
      <c r="F44" s="2" t="s">
        <v>250</v>
      </c>
      <c r="G44" s="55">
        <f>'Stavební rozpočet-vyplnit'!G1422</f>
        <v>1</v>
      </c>
      <c r="H44" s="55">
        <f>'Stavební rozpočet-vyplnit'!H1422</f>
        <v>0</v>
      </c>
      <c r="I44" s="55">
        <f>G44*H44</f>
        <v>0</v>
      </c>
      <c r="J44" s="55">
        <f>'Stavební rozpočet-vyplnit'!J1422</f>
        <v>0</v>
      </c>
      <c r="K44" s="55">
        <f>G44*J44</f>
        <v>0</v>
      </c>
      <c r="L44" s="57" t="s">
        <v>124</v>
      </c>
      <c r="Z44" s="55">
        <f>IF(AQ44="5",BJ44,0)</f>
        <v>0</v>
      </c>
      <c r="AB44" s="55">
        <f>IF(AQ44="1",BH44,0)</f>
        <v>0</v>
      </c>
      <c r="AC44" s="55">
        <f>IF(AQ44="1",BI44,0)</f>
        <v>0</v>
      </c>
      <c r="AD44" s="55">
        <f>IF(AQ44="7",BH44,0)</f>
        <v>0</v>
      </c>
      <c r="AE44" s="55">
        <f>IF(AQ44="7",BI44,0)</f>
        <v>0</v>
      </c>
      <c r="AF44" s="55">
        <f>IF(AQ44="2",BH44,0)</f>
        <v>0</v>
      </c>
      <c r="AG44" s="55">
        <f>IF(AQ44="2",BI44,0)</f>
        <v>0</v>
      </c>
      <c r="AH44" s="55">
        <f>IF(AQ44="0",BJ44,0)</f>
        <v>0</v>
      </c>
      <c r="AI44" s="34" t="s">
        <v>2629</v>
      </c>
      <c r="AJ44" s="55">
        <f>IF(AN44=0,I44,0)</f>
        <v>0</v>
      </c>
      <c r="AK44" s="55">
        <f>IF(AN44=12,I44,0)</f>
        <v>0</v>
      </c>
      <c r="AL44" s="55">
        <f>IF(AN44=21,I44,0)</f>
        <v>0</v>
      </c>
      <c r="AN44" s="55">
        <v>21</v>
      </c>
      <c r="AO44" s="55">
        <f>H44*0.813660325</f>
        <v>0</v>
      </c>
      <c r="AP44" s="55">
        <f>H44*(1-0.813660325)</f>
        <v>0</v>
      </c>
      <c r="AQ44" s="58" t="s">
        <v>125</v>
      </c>
      <c r="AV44" s="55">
        <f>AW44+AX44</f>
        <v>0</v>
      </c>
      <c r="AW44" s="55">
        <f>G44*AO44</f>
        <v>0</v>
      </c>
      <c r="AX44" s="55">
        <f>G44*AP44</f>
        <v>0</v>
      </c>
      <c r="AY44" s="58" t="s">
        <v>126</v>
      </c>
      <c r="AZ44" s="58" t="s">
        <v>2633</v>
      </c>
      <c r="BA44" s="34" t="s">
        <v>2634</v>
      </c>
      <c r="BC44" s="55">
        <f>AW44+AX44</f>
        <v>0</v>
      </c>
      <c r="BD44" s="55">
        <f>H44/(100-BE44)*100</f>
        <v>0</v>
      </c>
      <c r="BE44" s="55">
        <v>0</v>
      </c>
      <c r="BF44" s="55">
        <f>K44</f>
        <v>0</v>
      </c>
      <c r="BH44" s="55">
        <f>G44*AO44</f>
        <v>0</v>
      </c>
      <c r="BI44" s="55">
        <f>G44*AP44</f>
        <v>0</v>
      </c>
      <c r="BJ44" s="55">
        <f>G44*H44</f>
        <v>0</v>
      </c>
      <c r="BK44" s="55"/>
      <c r="BL44" s="55"/>
      <c r="BW44" s="55">
        <v>21</v>
      </c>
    </row>
    <row r="45" spans="1:12" ht="13.5" customHeight="1">
      <c r="A45" s="59"/>
      <c r="D45" s="218" t="s">
        <v>129</v>
      </c>
      <c r="E45" s="219"/>
      <c r="F45" s="219"/>
      <c r="G45" s="219"/>
      <c r="H45" s="219"/>
      <c r="I45" s="219"/>
      <c r="J45" s="219"/>
      <c r="K45" s="219"/>
      <c r="L45" s="221"/>
    </row>
    <row r="46" spans="1:75" ht="13.5" customHeight="1">
      <c r="A46" s="1" t="s">
        <v>175</v>
      </c>
      <c r="B46" s="2" t="s">
        <v>2629</v>
      </c>
      <c r="C46" s="2" t="s">
        <v>2682</v>
      </c>
      <c r="D46" s="147" t="s">
        <v>2683</v>
      </c>
      <c r="E46" s="148"/>
      <c r="F46" s="2" t="s">
        <v>250</v>
      </c>
      <c r="G46" s="55">
        <f>'Stavební rozpočet-vyplnit'!G1424</f>
        <v>1</v>
      </c>
      <c r="H46" s="55">
        <f>'Stavební rozpočet-vyplnit'!H1424</f>
        <v>0</v>
      </c>
      <c r="I46" s="55">
        <f>G46*H46</f>
        <v>0</v>
      </c>
      <c r="J46" s="55">
        <f>'Stavební rozpočet-vyplnit'!J1424</f>
        <v>0</v>
      </c>
      <c r="K46" s="55">
        <f>G46*J46</f>
        <v>0</v>
      </c>
      <c r="L46" s="57" t="s">
        <v>124</v>
      </c>
      <c r="Z46" s="55">
        <f>IF(AQ46="5",BJ46,0)</f>
        <v>0</v>
      </c>
      <c r="AB46" s="55">
        <f>IF(AQ46="1",BH46,0)</f>
        <v>0</v>
      </c>
      <c r="AC46" s="55">
        <f>IF(AQ46="1",BI46,0)</f>
        <v>0</v>
      </c>
      <c r="AD46" s="55">
        <f>IF(AQ46="7",BH46,0)</f>
        <v>0</v>
      </c>
      <c r="AE46" s="55">
        <f>IF(AQ46="7",BI46,0)</f>
        <v>0</v>
      </c>
      <c r="AF46" s="55">
        <f>IF(AQ46="2",BH46,0)</f>
        <v>0</v>
      </c>
      <c r="AG46" s="55">
        <f>IF(AQ46="2",BI46,0)</f>
        <v>0</v>
      </c>
      <c r="AH46" s="55">
        <f>IF(AQ46="0",BJ46,0)</f>
        <v>0</v>
      </c>
      <c r="AI46" s="34" t="s">
        <v>2629</v>
      </c>
      <c r="AJ46" s="55">
        <f>IF(AN46=0,I46,0)</f>
        <v>0</v>
      </c>
      <c r="AK46" s="55">
        <f>IF(AN46=12,I46,0)</f>
        <v>0</v>
      </c>
      <c r="AL46" s="55">
        <f>IF(AN46=21,I46,0)</f>
        <v>0</v>
      </c>
      <c r="AN46" s="55">
        <v>21</v>
      </c>
      <c r="AO46" s="55">
        <f>H46*0</f>
        <v>0</v>
      </c>
      <c r="AP46" s="55">
        <f>H46*(1-0)</f>
        <v>0</v>
      </c>
      <c r="AQ46" s="58" t="s">
        <v>125</v>
      </c>
      <c r="AV46" s="55">
        <f>AW46+AX46</f>
        <v>0</v>
      </c>
      <c r="AW46" s="55">
        <f>G46*AO46</f>
        <v>0</v>
      </c>
      <c r="AX46" s="55">
        <f>G46*AP46</f>
        <v>0</v>
      </c>
      <c r="AY46" s="58" t="s">
        <v>126</v>
      </c>
      <c r="AZ46" s="58" t="s">
        <v>2633</v>
      </c>
      <c r="BA46" s="34" t="s">
        <v>2634</v>
      </c>
      <c r="BC46" s="55">
        <f>AW46+AX46</f>
        <v>0</v>
      </c>
      <c r="BD46" s="55">
        <f>H46/(100-BE46)*100</f>
        <v>0</v>
      </c>
      <c r="BE46" s="55">
        <v>0</v>
      </c>
      <c r="BF46" s="55">
        <f>K46</f>
        <v>0</v>
      </c>
      <c r="BH46" s="55">
        <f>G46*AO46</f>
        <v>0</v>
      </c>
      <c r="BI46" s="55">
        <f>G46*AP46</f>
        <v>0</v>
      </c>
      <c r="BJ46" s="55">
        <f>G46*H46</f>
        <v>0</v>
      </c>
      <c r="BK46" s="55"/>
      <c r="BL46" s="55"/>
      <c r="BW46" s="55">
        <v>21</v>
      </c>
    </row>
    <row r="47" spans="1:75" ht="13.5" customHeight="1">
      <c r="A47" s="1" t="s">
        <v>178</v>
      </c>
      <c r="B47" s="2" t="s">
        <v>2629</v>
      </c>
      <c r="C47" s="2" t="s">
        <v>2685</v>
      </c>
      <c r="D47" s="147" t="s">
        <v>282</v>
      </c>
      <c r="E47" s="148"/>
      <c r="F47" s="2" t="s">
        <v>250</v>
      </c>
      <c r="G47" s="55">
        <f>'Stavební rozpočet-vyplnit'!G1425</f>
        <v>1</v>
      </c>
      <c r="H47" s="55">
        <f>'Stavební rozpočet-vyplnit'!H1425</f>
        <v>0</v>
      </c>
      <c r="I47" s="55">
        <f>G47*H47</f>
        <v>0</v>
      </c>
      <c r="J47" s="55">
        <f>'Stavební rozpočet-vyplnit'!J1425</f>
        <v>0</v>
      </c>
      <c r="K47" s="55">
        <f>G47*J47</f>
        <v>0</v>
      </c>
      <c r="L47" s="57" t="s">
        <v>124</v>
      </c>
      <c r="Z47" s="55">
        <f>IF(AQ47="5",BJ47,0)</f>
        <v>0</v>
      </c>
      <c r="AB47" s="55">
        <f>IF(AQ47="1",BH47,0)</f>
        <v>0</v>
      </c>
      <c r="AC47" s="55">
        <f>IF(AQ47="1",BI47,0)</f>
        <v>0</v>
      </c>
      <c r="AD47" s="55">
        <f>IF(AQ47="7",BH47,0)</f>
        <v>0</v>
      </c>
      <c r="AE47" s="55">
        <f>IF(AQ47="7",BI47,0)</f>
        <v>0</v>
      </c>
      <c r="AF47" s="55">
        <f>IF(AQ47="2",BH47,0)</f>
        <v>0</v>
      </c>
      <c r="AG47" s="55">
        <f>IF(AQ47="2",BI47,0)</f>
        <v>0</v>
      </c>
      <c r="AH47" s="55">
        <f>IF(AQ47="0",BJ47,0)</f>
        <v>0</v>
      </c>
      <c r="AI47" s="34" t="s">
        <v>2629</v>
      </c>
      <c r="AJ47" s="55">
        <f>IF(AN47=0,I47,0)</f>
        <v>0</v>
      </c>
      <c r="AK47" s="55">
        <f>IF(AN47=12,I47,0)</f>
        <v>0</v>
      </c>
      <c r="AL47" s="55">
        <f>IF(AN47=21,I47,0)</f>
        <v>0</v>
      </c>
      <c r="AN47" s="55">
        <v>21</v>
      </c>
      <c r="AO47" s="55">
        <f>H47*0</f>
        <v>0</v>
      </c>
      <c r="AP47" s="55">
        <f>H47*(1-0)</f>
        <v>0</v>
      </c>
      <c r="AQ47" s="58" t="s">
        <v>125</v>
      </c>
      <c r="AV47" s="55">
        <f>AW47+AX47</f>
        <v>0</v>
      </c>
      <c r="AW47" s="55">
        <f>G47*AO47</f>
        <v>0</v>
      </c>
      <c r="AX47" s="55">
        <f>G47*AP47</f>
        <v>0</v>
      </c>
      <c r="AY47" s="58" t="s">
        <v>126</v>
      </c>
      <c r="AZ47" s="58" t="s">
        <v>2633</v>
      </c>
      <c r="BA47" s="34" t="s">
        <v>2634</v>
      </c>
      <c r="BC47" s="55">
        <f>AW47+AX47</f>
        <v>0</v>
      </c>
      <c r="BD47" s="55">
        <f>H47/(100-BE47)*100</f>
        <v>0</v>
      </c>
      <c r="BE47" s="55">
        <v>0</v>
      </c>
      <c r="BF47" s="55">
        <f>K47</f>
        <v>0</v>
      </c>
      <c r="BH47" s="55">
        <f>G47*AO47</f>
        <v>0</v>
      </c>
      <c r="BI47" s="55">
        <f>G47*AP47</f>
        <v>0</v>
      </c>
      <c r="BJ47" s="55">
        <f>G47*H47</f>
        <v>0</v>
      </c>
      <c r="BK47" s="55"/>
      <c r="BL47" s="55"/>
      <c r="BW47" s="55">
        <v>21</v>
      </c>
    </row>
    <row r="48" spans="1:75" ht="13.5" customHeight="1">
      <c r="A48" s="1" t="s">
        <v>181</v>
      </c>
      <c r="B48" s="2" t="s">
        <v>2629</v>
      </c>
      <c r="C48" s="2" t="s">
        <v>2687</v>
      </c>
      <c r="D48" s="147" t="s">
        <v>285</v>
      </c>
      <c r="E48" s="148"/>
      <c r="F48" s="2" t="s">
        <v>250</v>
      </c>
      <c r="G48" s="55">
        <f>'Stavební rozpočet-vyplnit'!G1426</f>
        <v>1</v>
      </c>
      <c r="H48" s="55">
        <f>'Stavební rozpočet-vyplnit'!H1426</f>
        <v>0</v>
      </c>
      <c r="I48" s="55">
        <f>G48*H48</f>
        <v>0</v>
      </c>
      <c r="J48" s="55">
        <f>'Stavební rozpočet-vyplnit'!J1426</f>
        <v>0</v>
      </c>
      <c r="K48" s="55">
        <f>G48*J48</f>
        <v>0</v>
      </c>
      <c r="L48" s="57" t="s">
        <v>124</v>
      </c>
      <c r="Z48" s="55">
        <f>IF(AQ48="5",BJ48,0)</f>
        <v>0</v>
      </c>
      <c r="AB48" s="55">
        <f>IF(AQ48="1",BH48,0)</f>
        <v>0</v>
      </c>
      <c r="AC48" s="55">
        <f>IF(AQ48="1",BI48,0)</f>
        <v>0</v>
      </c>
      <c r="AD48" s="55">
        <f>IF(AQ48="7",BH48,0)</f>
        <v>0</v>
      </c>
      <c r="AE48" s="55">
        <f>IF(AQ48="7",BI48,0)</f>
        <v>0</v>
      </c>
      <c r="AF48" s="55">
        <f>IF(AQ48="2",BH48,0)</f>
        <v>0</v>
      </c>
      <c r="AG48" s="55">
        <f>IF(AQ48="2",BI48,0)</f>
        <v>0</v>
      </c>
      <c r="AH48" s="55">
        <f>IF(AQ48="0",BJ48,0)</f>
        <v>0</v>
      </c>
      <c r="AI48" s="34" t="s">
        <v>2629</v>
      </c>
      <c r="AJ48" s="55">
        <f>IF(AN48=0,I48,0)</f>
        <v>0</v>
      </c>
      <c r="AK48" s="55">
        <f>IF(AN48=12,I48,0)</f>
        <v>0</v>
      </c>
      <c r="AL48" s="55">
        <f>IF(AN48=21,I48,0)</f>
        <v>0</v>
      </c>
      <c r="AN48" s="55">
        <v>21</v>
      </c>
      <c r="AO48" s="55">
        <f>H48*0</f>
        <v>0</v>
      </c>
      <c r="AP48" s="55">
        <f>H48*(1-0)</f>
        <v>0</v>
      </c>
      <c r="AQ48" s="58" t="s">
        <v>125</v>
      </c>
      <c r="AV48" s="55">
        <f>AW48+AX48</f>
        <v>0</v>
      </c>
      <c r="AW48" s="55">
        <f>G48*AO48</f>
        <v>0</v>
      </c>
      <c r="AX48" s="55">
        <f>G48*AP48</f>
        <v>0</v>
      </c>
      <c r="AY48" s="58" t="s">
        <v>126</v>
      </c>
      <c r="AZ48" s="58" t="s">
        <v>2633</v>
      </c>
      <c r="BA48" s="34" t="s">
        <v>2634</v>
      </c>
      <c r="BC48" s="55">
        <f>AW48+AX48</f>
        <v>0</v>
      </c>
      <c r="BD48" s="55">
        <f>H48/(100-BE48)*100</f>
        <v>0</v>
      </c>
      <c r="BE48" s="55">
        <v>0</v>
      </c>
      <c r="BF48" s="55">
        <f>K48</f>
        <v>0</v>
      </c>
      <c r="BH48" s="55">
        <f>G48*AO48</f>
        <v>0</v>
      </c>
      <c r="BI48" s="55">
        <f>G48*AP48</f>
        <v>0</v>
      </c>
      <c r="BJ48" s="55">
        <f>G48*H48</f>
        <v>0</v>
      </c>
      <c r="BK48" s="55"/>
      <c r="BL48" s="55"/>
      <c r="BW48" s="55">
        <v>21</v>
      </c>
    </row>
    <row r="49" spans="1:75" ht="13.5" customHeight="1">
      <c r="A49" s="1" t="s">
        <v>184</v>
      </c>
      <c r="B49" s="2" t="s">
        <v>2629</v>
      </c>
      <c r="C49" s="2" t="s">
        <v>2689</v>
      </c>
      <c r="D49" s="147" t="s">
        <v>2690</v>
      </c>
      <c r="E49" s="148"/>
      <c r="F49" s="2" t="s">
        <v>250</v>
      </c>
      <c r="G49" s="55">
        <f>'Stavební rozpočet-vyplnit'!G1427</f>
        <v>1</v>
      </c>
      <c r="H49" s="55">
        <f>'Stavební rozpočet-vyplnit'!H1427</f>
        <v>0</v>
      </c>
      <c r="I49" s="55">
        <f>G49*H49</f>
        <v>0</v>
      </c>
      <c r="J49" s="55">
        <f>'Stavební rozpočet-vyplnit'!J1427</f>
        <v>0</v>
      </c>
      <c r="K49" s="55">
        <f>G49*J49</f>
        <v>0</v>
      </c>
      <c r="L49" s="57" t="s">
        <v>124</v>
      </c>
      <c r="Z49" s="55">
        <f>IF(AQ49="5",BJ49,0)</f>
        <v>0</v>
      </c>
      <c r="AB49" s="55">
        <f>IF(AQ49="1",BH49,0)</f>
        <v>0</v>
      </c>
      <c r="AC49" s="55">
        <f>IF(AQ49="1",BI49,0)</f>
        <v>0</v>
      </c>
      <c r="AD49" s="55">
        <f>IF(AQ49="7",BH49,0)</f>
        <v>0</v>
      </c>
      <c r="AE49" s="55">
        <f>IF(AQ49="7",BI49,0)</f>
        <v>0</v>
      </c>
      <c r="AF49" s="55">
        <f>IF(AQ49="2",BH49,0)</f>
        <v>0</v>
      </c>
      <c r="AG49" s="55">
        <f>IF(AQ49="2",BI49,0)</f>
        <v>0</v>
      </c>
      <c r="AH49" s="55">
        <f>IF(AQ49="0",BJ49,0)</f>
        <v>0</v>
      </c>
      <c r="AI49" s="34" t="s">
        <v>2629</v>
      </c>
      <c r="AJ49" s="55">
        <f>IF(AN49=0,I49,0)</f>
        <v>0</v>
      </c>
      <c r="AK49" s="55">
        <f>IF(AN49=12,I49,0)</f>
        <v>0</v>
      </c>
      <c r="AL49" s="55">
        <f>IF(AN49=21,I49,0)</f>
        <v>0</v>
      </c>
      <c r="AN49" s="55">
        <v>21</v>
      </c>
      <c r="AO49" s="55">
        <f>H49*0</f>
        <v>0</v>
      </c>
      <c r="AP49" s="55">
        <f>H49*(1-0)</f>
        <v>0</v>
      </c>
      <c r="AQ49" s="58" t="s">
        <v>125</v>
      </c>
      <c r="AV49" s="55">
        <f>AW49+AX49</f>
        <v>0</v>
      </c>
      <c r="AW49" s="55">
        <f>G49*AO49</f>
        <v>0</v>
      </c>
      <c r="AX49" s="55">
        <f>G49*AP49</f>
        <v>0</v>
      </c>
      <c r="AY49" s="58" t="s">
        <v>126</v>
      </c>
      <c r="AZ49" s="58" t="s">
        <v>2633</v>
      </c>
      <c r="BA49" s="34" t="s">
        <v>2634</v>
      </c>
      <c r="BC49" s="55">
        <f>AW49+AX49</f>
        <v>0</v>
      </c>
      <c r="BD49" s="55">
        <f>H49/(100-BE49)*100</f>
        <v>0</v>
      </c>
      <c r="BE49" s="55">
        <v>0</v>
      </c>
      <c r="BF49" s="55">
        <f>K49</f>
        <v>0</v>
      </c>
      <c r="BH49" s="55">
        <f>G49*AO49</f>
        <v>0</v>
      </c>
      <c r="BI49" s="55">
        <f>G49*AP49</f>
        <v>0</v>
      </c>
      <c r="BJ49" s="55">
        <f>G49*H49</f>
        <v>0</v>
      </c>
      <c r="BK49" s="55"/>
      <c r="BL49" s="55"/>
      <c r="BW49" s="55">
        <v>21</v>
      </c>
    </row>
    <row r="50" spans="1:75" ht="13.5" customHeight="1">
      <c r="A50" s="1" t="s">
        <v>187</v>
      </c>
      <c r="B50" s="2" t="s">
        <v>2629</v>
      </c>
      <c r="C50" s="2" t="s">
        <v>2692</v>
      </c>
      <c r="D50" s="147" t="s">
        <v>2693</v>
      </c>
      <c r="E50" s="148"/>
      <c r="F50" s="2" t="s">
        <v>250</v>
      </c>
      <c r="G50" s="55">
        <f>'Stavební rozpočet-vyplnit'!G1428</f>
        <v>1</v>
      </c>
      <c r="H50" s="55">
        <f>'Stavební rozpočet-vyplnit'!H1428</f>
        <v>0</v>
      </c>
      <c r="I50" s="55">
        <f>G50*H50</f>
        <v>0</v>
      </c>
      <c r="J50" s="55">
        <f>'Stavební rozpočet-vyplnit'!J1428</f>
        <v>0</v>
      </c>
      <c r="K50" s="55">
        <f>G50*J50</f>
        <v>0</v>
      </c>
      <c r="L50" s="57" t="s">
        <v>124</v>
      </c>
      <c r="Z50" s="55">
        <f>IF(AQ50="5",BJ50,0)</f>
        <v>0</v>
      </c>
      <c r="AB50" s="55">
        <f>IF(AQ50="1",BH50,0)</f>
        <v>0</v>
      </c>
      <c r="AC50" s="55">
        <f>IF(AQ50="1",BI50,0)</f>
        <v>0</v>
      </c>
      <c r="AD50" s="55">
        <f>IF(AQ50="7",BH50,0)</f>
        <v>0</v>
      </c>
      <c r="AE50" s="55">
        <f>IF(AQ50="7",BI50,0)</f>
        <v>0</v>
      </c>
      <c r="AF50" s="55">
        <f>IF(AQ50="2",BH50,0)</f>
        <v>0</v>
      </c>
      <c r="AG50" s="55">
        <f>IF(AQ50="2",BI50,0)</f>
        <v>0</v>
      </c>
      <c r="AH50" s="55">
        <f>IF(AQ50="0",BJ50,0)</f>
        <v>0</v>
      </c>
      <c r="AI50" s="34" t="s">
        <v>2629</v>
      </c>
      <c r="AJ50" s="55">
        <f>IF(AN50=0,I50,0)</f>
        <v>0</v>
      </c>
      <c r="AK50" s="55">
        <f>IF(AN50=12,I50,0)</f>
        <v>0</v>
      </c>
      <c r="AL50" s="55">
        <f>IF(AN50=21,I50,0)</f>
        <v>0</v>
      </c>
      <c r="AN50" s="55">
        <v>21</v>
      </c>
      <c r="AO50" s="55">
        <f>H50*0</f>
        <v>0</v>
      </c>
      <c r="AP50" s="55">
        <f>H50*(1-0)</f>
        <v>0</v>
      </c>
      <c r="AQ50" s="58" t="s">
        <v>125</v>
      </c>
      <c r="AV50" s="55">
        <f>AW50+AX50</f>
        <v>0</v>
      </c>
      <c r="AW50" s="55">
        <f>G50*AO50</f>
        <v>0</v>
      </c>
      <c r="AX50" s="55">
        <f>G50*AP50</f>
        <v>0</v>
      </c>
      <c r="AY50" s="58" t="s">
        <v>126</v>
      </c>
      <c r="AZ50" s="58" t="s">
        <v>2633</v>
      </c>
      <c r="BA50" s="34" t="s">
        <v>2634</v>
      </c>
      <c r="BC50" s="55">
        <f>AW50+AX50</f>
        <v>0</v>
      </c>
      <c r="BD50" s="55">
        <f>H50/(100-BE50)*100</f>
        <v>0</v>
      </c>
      <c r="BE50" s="55">
        <v>0</v>
      </c>
      <c r="BF50" s="55">
        <f>K50</f>
        <v>0</v>
      </c>
      <c r="BH50" s="55">
        <f>G50*AO50</f>
        <v>0</v>
      </c>
      <c r="BI50" s="55">
        <f>G50*AP50</f>
        <v>0</v>
      </c>
      <c r="BJ50" s="55">
        <f>G50*H50</f>
        <v>0</v>
      </c>
      <c r="BK50" s="55"/>
      <c r="BL50" s="55"/>
      <c r="BW50" s="55">
        <v>21</v>
      </c>
    </row>
    <row r="51" spans="1:47" ht="14.4">
      <c r="A51" s="50" t="s">
        <v>4</v>
      </c>
      <c r="B51" s="51" t="s">
        <v>2629</v>
      </c>
      <c r="C51" s="51" t="s">
        <v>2694</v>
      </c>
      <c r="D51" s="222" t="s">
        <v>2695</v>
      </c>
      <c r="E51" s="223"/>
      <c r="F51" s="52" t="s">
        <v>79</v>
      </c>
      <c r="G51" s="52" t="s">
        <v>79</v>
      </c>
      <c r="H51" s="52" t="s">
        <v>79</v>
      </c>
      <c r="I51" s="27">
        <f>SUM(I52:I107)</f>
        <v>0</v>
      </c>
      <c r="J51" s="34" t="s">
        <v>4</v>
      </c>
      <c r="K51" s="27">
        <f>SUM(K52:K107)</f>
        <v>0</v>
      </c>
      <c r="L51" s="54" t="s">
        <v>4</v>
      </c>
      <c r="AI51" s="34" t="s">
        <v>2629</v>
      </c>
      <c r="AS51" s="27">
        <f>SUM(AJ52:AJ107)</f>
        <v>0</v>
      </c>
      <c r="AT51" s="27">
        <f>SUM(AK52:AK107)</f>
        <v>0</v>
      </c>
      <c r="AU51" s="27">
        <f>SUM(AL52:AL107)</f>
        <v>0</v>
      </c>
    </row>
    <row r="52" spans="1:75" ht="13.5" customHeight="1">
      <c r="A52" s="1" t="s">
        <v>190</v>
      </c>
      <c r="B52" s="2" t="s">
        <v>2629</v>
      </c>
      <c r="C52" s="2" t="s">
        <v>2697</v>
      </c>
      <c r="D52" s="147" t="s">
        <v>2698</v>
      </c>
      <c r="E52" s="148"/>
      <c r="F52" s="2" t="s">
        <v>174</v>
      </c>
      <c r="G52" s="55">
        <f>'Stavební rozpočet-vyplnit'!G1430</f>
        <v>30</v>
      </c>
      <c r="H52" s="55">
        <f>'Stavební rozpočet-vyplnit'!H1430</f>
        <v>0</v>
      </c>
      <c r="I52" s="55">
        <f>G52*H52</f>
        <v>0</v>
      </c>
      <c r="J52" s="55">
        <f>'Stavební rozpočet-vyplnit'!J1430</f>
        <v>0</v>
      </c>
      <c r="K52" s="55">
        <f>G52*J52</f>
        <v>0</v>
      </c>
      <c r="L52" s="57" t="s">
        <v>124</v>
      </c>
      <c r="Z52" s="55">
        <f>IF(AQ52="5",BJ52,0)</f>
        <v>0</v>
      </c>
      <c r="AB52" s="55">
        <f>IF(AQ52="1",BH52,0)</f>
        <v>0</v>
      </c>
      <c r="AC52" s="55">
        <f>IF(AQ52="1",BI52,0)</f>
        <v>0</v>
      </c>
      <c r="AD52" s="55">
        <f>IF(AQ52="7",BH52,0)</f>
        <v>0</v>
      </c>
      <c r="AE52" s="55">
        <f>IF(AQ52="7",BI52,0)</f>
        <v>0</v>
      </c>
      <c r="AF52" s="55">
        <f>IF(AQ52="2",BH52,0)</f>
        <v>0</v>
      </c>
      <c r="AG52" s="55">
        <f>IF(AQ52="2",BI52,0)</f>
        <v>0</v>
      </c>
      <c r="AH52" s="55">
        <f>IF(AQ52="0",BJ52,0)</f>
        <v>0</v>
      </c>
      <c r="AI52" s="34" t="s">
        <v>2629</v>
      </c>
      <c r="AJ52" s="55">
        <f>IF(AN52=0,I52,0)</f>
        <v>0</v>
      </c>
      <c r="AK52" s="55">
        <f>IF(AN52=12,I52,0)</f>
        <v>0</v>
      </c>
      <c r="AL52" s="55">
        <f>IF(AN52=21,I52,0)</f>
        <v>0</v>
      </c>
      <c r="AN52" s="55">
        <v>21</v>
      </c>
      <c r="AO52" s="55">
        <f>H52*0.551401869</f>
        <v>0</v>
      </c>
      <c r="AP52" s="55">
        <f>H52*(1-0.551401869)</f>
        <v>0</v>
      </c>
      <c r="AQ52" s="58" t="s">
        <v>125</v>
      </c>
      <c r="AV52" s="55">
        <f>AW52+AX52</f>
        <v>0</v>
      </c>
      <c r="AW52" s="55">
        <f>G52*AO52</f>
        <v>0</v>
      </c>
      <c r="AX52" s="55">
        <f>G52*AP52</f>
        <v>0</v>
      </c>
      <c r="AY52" s="58" t="s">
        <v>2699</v>
      </c>
      <c r="AZ52" s="58" t="s">
        <v>2633</v>
      </c>
      <c r="BA52" s="34" t="s">
        <v>2634</v>
      </c>
      <c r="BC52" s="55">
        <f>AW52+AX52</f>
        <v>0</v>
      </c>
      <c r="BD52" s="55">
        <f>H52/(100-BE52)*100</f>
        <v>0</v>
      </c>
      <c r="BE52" s="55">
        <v>0</v>
      </c>
      <c r="BF52" s="55">
        <f>K52</f>
        <v>0</v>
      </c>
      <c r="BH52" s="55">
        <f>G52*AO52</f>
        <v>0</v>
      </c>
      <c r="BI52" s="55">
        <f>G52*AP52</f>
        <v>0</v>
      </c>
      <c r="BJ52" s="55">
        <f>G52*H52</f>
        <v>0</v>
      </c>
      <c r="BK52" s="55"/>
      <c r="BL52" s="55"/>
      <c r="BW52" s="55">
        <v>21</v>
      </c>
    </row>
    <row r="53" spans="1:12" ht="13.5" customHeight="1">
      <c r="A53" s="59"/>
      <c r="D53" s="218" t="s">
        <v>129</v>
      </c>
      <c r="E53" s="219"/>
      <c r="F53" s="219"/>
      <c r="G53" s="219"/>
      <c r="H53" s="219"/>
      <c r="I53" s="219"/>
      <c r="J53" s="219"/>
      <c r="K53" s="219"/>
      <c r="L53" s="221"/>
    </row>
    <row r="54" spans="1:75" ht="13.5" customHeight="1">
      <c r="A54" s="1" t="s">
        <v>193</v>
      </c>
      <c r="B54" s="2" t="s">
        <v>2629</v>
      </c>
      <c r="C54" s="2" t="s">
        <v>2701</v>
      </c>
      <c r="D54" s="147" t="s">
        <v>2702</v>
      </c>
      <c r="E54" s="148"/>
      <c r="F54" s="2" t="s">
        <v>174</v>
      </c>
      <c r="G54" s="55">
        <f>'Stavební rozpočet-vyplnit'!G1432</f>
        <v>48</v>
      </c>
      <c r="H54" s="55">
        <f>'Stavební rozpočet-vyplnit'!H1432</f>
        <v>0</v>
      </c>
      <c r="I54" s="55">
        <f>G54*H54</f>
        <v>0</v>
      </c>
      <c r="J54" s="55">
        <f>'Stavební rozpočet-vyplnit'!J1432</f>
        <v>0</v>
      </c>
      <c r="K54" s="55">
        <f>G54*J54</f>
        <v>0</v>
      </c>
      <c r="L54" s="57" t="s">
        <v>124</v>
      </c>
      <c r="Z54" s="55">
        <f>IF(AQ54="5",BJ54,0)</f>
        <v>0</v>
      </c>
      <c r="AB54" s="55">
        <f>IF(AQ54="1",BH54,0)</f>
        <v>0</v>
      </c>
      <c r="AC54" s="55">
        <f>IF(AQ54="1",BI54,0)</f>
        <v>0</v>
      </c>
      <c r="AD54" s="55">
        <f>IF(AQ54="7",BH54,0)</f>
        <v>0</v>
      </c>
      <c r="AE54" s="55">
        <f>IF(AQ54="7",BI54,0)</f>
        <v>0</v>
      </c>
      <c r="AF54" s="55">
        <f>IF(AQ54="2",BH54,0)</f>
        <v>0</v>
      </c>
      <c r="AG54" s="55">
        <f>IF(AQ54="2",BI54,0)</f>
        <v>0</v>
      </c>
      <c r="AH54" s="55">
        <f>IF(AQ54="0",BJ54,0)</f>
        <v>0</v>
      </c>
      <c r="AI54" s="34" t="s">
        <v>2629</v>
      </c>
      <c r="AJ54" s="55">
        <f>IF(AN54=0,I54,0)</f>
        <v>0</v>
      </c>
      <c r="AK54" s="55">
        <f>IF(AN54=12,I54,0)</f>
        <v>0</v>
      </c>
      <c r="AL54" s="55">
        <f>IF(AN54=21,I54,0)</f>
        <v>0</v>
      </c>
      <c r="AN54" s="55">
        <v>21</v>
      </c>
      <c r="AO54" s="55">
        <f>H54*0.514851485</f>
        <v>0</v>
      </c>
      <c r="AP54" s="55">
        <f>H54*(1-0.514851485)</f>
        <v>0</v>
      </c>
      <c r="AQ54" s="58" t="s">
        <v>125</v>
      </c>
      <c r="AV54" s="55">
        <f>AW54+AX54</f>
        <v>0</v>
      </c>
      <c r="AW54" s="55">
        <f>G54*AO54</f>
        <v>0</v>
      </c>
      <c r="AX54" s="55">
        <f>G54*AP54</f>
        <v>0</v>
      </c>
      <c r="AY54" s="58" t="s">
        <v>2699</v>
      </c>
      <c r="AZ54" s="58" t="s">
        <v>2633</v>
      </c>
      <c r="BA54" s="34" t="s">
        <v>2634</v>
      </c>
      <c r="BC54" s="55">
        <f>AW54+AX54</f>
        <v>0</v>
      </c>
      <c r="BD54" s="55">
        <f>H54/(100-BE54)*100</f>
        <v>0</v>
      </c>
      <c r="BE54" s="55">
        <v>0</v>
      </c>
      <c r="BF54" s="55">
        <f>K54</f>
        <v>0</v>
      </c>
      <c r="BH54" s="55">
        <f>G54*AO54</f>
        <v>0</v>
      </c>
      <c r="BI54" s="55">
        <f>G54*AP54</f>
        <v>0</v>
      </c>
      <c r="BJ54" s="55">
        <f>G54*H54</f>
        <v>0</v>
      </c>
      <c r="BK54" s="55"/>
      <c r="BL54" s="55"/>
      <c r="BW54" s="55">
        <v>21</v>
      </c>
    </row>
    <row r="55" spans="1:12" ht="13.5" customHeight="1">
      <c r="A55" s="59"/>
      <c r="D55" s="218" t="s">
        <v>129</v>
      </c>
      <c r="E55" s="219"/>
      <c r="F55" s="219"/>
      <c r="G55" s="219"/>
      <c r="H55" s="219"/>
      <c r="I55" s="219"/>
      <c r="J55" s="219"/>
      <c r="K55" s="219"/>
      <c r="L55" s="221"/>
    </row>
    <row r="56" spans="1:75" ht="13.5" customHeight="1">
      <c r="A56" s="1" t="s">
        <v>196</v>
      </c>
      <c r="B56" s="2" t="s">
        <v>2629</v>
      </c>
      <c r="C56" s="2" t="s">
        <v>2704</v>
      </c>
      <c r="D56" s="147" t="s">
        <v>2705</v>
      </c>
      <c r="E56" s="148"/>
      <c r="F56" s="2" t="s">
        <v>174</v>
      </c>
      <c r="G56" s="55">
        <f>'Stavební rozpočet-vyplnit'!G1434</f>
        <v>54</v>
      </c>
      <c r="H56" s="55">
        <f>'Stavební rozpočet-vyplnit'!H1434</f>
        <v>0</v>
      </c>
      <c r="I56" s="55">
        <f>G56*H56</f>
        <v>0</v>
      </c>
      <c r="J56" s="55">
        <f>'Stavební rozpočet-vyplnit'!J1434</f>
        <v>0</v>
      </c>
      <c r="K56" s="55">
        <f>G56*J56</f>
        <v>0</v>
      </c>
      <c r="L56" s="57" t="s">
        <v>124</v>
      </c>
      <c r="Z56" s="55">
        <f>IF(AQ56="5",BJ56,0)</f>
        <v>0</v>
      </c>
      <c r="AB56" s="55">
        <f>IF(AQ56="1",BH56,0)</f>
        <v>0</v>
      </c>
      <c r="AC56" s="55">
        <f>IF(AQ56="1",BI56,0)</f>
        <v>0</v>
      </c>
      <c r="AD56" s="55">
        <f>IF(AQ56="7",BH56,0)</f>
        <v>0</v>
      </c>
      <c r="AE56" s="55">
        <f>IF(AQ56="7",BI56,0)</f>
        <v>0</v>
      </c>
      <c r="AF56" s="55">
        <f>IF(AQ56="2",BH56,0)</f>
        <v>0</v>
      </c>
      <c r="AG56" s="55">
        <f>IF(AQ56="2",BI56,0)</f>
        <v>0</v>
      </c>
      <c r="AH56" s="55">
        <f>IF(AQ56="0",BJ56,0)</f>
        <v>0</v>
      </c>
      <c r="AI56" s="34" t="s">
        <v>2629</v>
      </c>
      <c r="AJ56" s="55">
        <f>IF(AN56=0,I56,0)</f>
        <v>0</v>
      </c>
      <c r="AK56" s="55">
        <f>IF(AN56=12,I56,0)</f>
        <v>0</v>
      </c>
      <c r="AL56" s="55">
        <f>IF(AN56=21,I56,0)</f>
        <v>0</v>
      </c>
      <c r="AN56" s="55">
        <v>21</v>
      </c>
      <c r="AO56" s="55">
        <f>H56*0.015151515</f>
        <v>0</v>
      </c>
      <c r="AP56" s="55">
        <f>H56*(1-0.015151515)</f>
        <v>0</v>
      </c>
      <c r="AQ56" s="58" t="s">
        <v>125</v>
      </c>
      <c r="AV56" s="55">
        <f>AW56+AX56</f>
        <v>0</v>
      </c>
      <c r="AW56" s="55">
        <f>G56*AO56</f>
        <v>0</v>
      </c>
      <c r="AX56" s="55">
        <f>G56*AP56</f>
        <v>0</v>
      </c>
      <c r="AY56" s="58" t="s">
        <v>2699</v>
      </c>
      <c r="AZ56" s="58" t="s">
        <v>2633</v>
      </c>
      <c r="BA56" s="34" t="s">
        <v>2634</v>
      </c>
      <c r="BC56" s="55">
        <f>AW56+AX56</f>
        <v>0</v>
      </c>
      <c r="BD56" s="55">
        <f>H56/(100-BE56)*100</f>
        <v>0</v>
      </c>
      <c r="BE56" s="55">
        <v>0</v>
      </c>
      <c r="BF56" s="55">
        <f>K56</f>
        <v>0</v>
      </c>
      <c r="BH56" s="55">
        <f>G56*AO56</f>
        <v>0</v>
      </c>
      <c r="BI56" s="55">
        <f>G56*AP56</f>
        <v>0</v>
      </c>
      <c r="BJ56" s="55">
        <f>G56*H56</f>
        <v>0</v>
      </c>
      <c r="BK56" s="55"/>
      <c r="BL56" s="55"/>
      <c r="BW56" s="55">
        <v>21</v>
      </c>
    </row>
    <row r="57" spans="1:12" ht="13.5" customHeight="1">
      <c r="A57" s="59"/>
      <c r="D57" s="218" t="s">
        <v>129</v>
      </c>
      <c r="E57" s="219"/>
      <c r="F57" s="219"/>
      <c r="G57" s="219"/>
      <c r="H57" s="219"/>
      <c r="I57" s="219"/>
      <c r="J57" s="219"/>
      <c r="K57" s="219"/>
      <c r="L57" s="221"/>
    </row>
    <row r="58" spans="1:75" ht="13.5" customHeight="1">
      <c r="A58" s="1" t="s">
        <v>199</v>
      </c>
      <c r="B58" s="2" t="s">
        <v>2629</v>
      </c>
      <c r="C58" s="2" t="s">
        <v>2707</v>
      </c>
      <c r="D58" s="147" t="s">
        <v>2708</v>
      </c>
      <c r="E58" s="148"/>
      <c r="F58" s="2" t="s">
        <v>123</v>
      </c>
      <c r="G58" s="55">
        <f>'Stavební rozpočet-vyplnit'!G1436</f>
        <v>5</v>
      </c>
      <c r="H58" s="55">
        <f>'Stavební rozpočet-vyplnit'!H1436</f>
        <v>0</v>
      </c>
      <c r="I58" s="55">
        <f>G58*H58</f>
        <v>0</v>
      </c>
      <c r="J58" s="55">
        <f>'Stavební rozpočet-vyplnit'!J1436</f>
        <v>0</v>
      </c>
      <c r="K58" s="55">
        <f>G58*J58</f>
        <v>0</v>
      </c>
      <c r="L58" s="57" t="s">
        <v>124</v>
      </c>
      <c r="Z58" s="55">
        <f>IF(AQ58="5",BJ58,0)</f>
        <v>0</v>
      </c>
      <c r="AB58" s="55">
        <f>IF(AQ58="1",BH58,0)</f>
        <v>0</v>
      </c>
      <c r="AC58" s="55">
        <f>IF(AQ58="1",BI58,0)</f>
        <v>0</v>
      </c>
      <c r="AD58" s="55">
        <f>IF(AQ58="7",BH58,0)</f>
        <v>0</v>
      </c>
      <c r="AE58" s="55">
        <f>IF(AQ58="7",BI58,0)</f>
        <v>0</v>
      </c>
      <c r="AF58" s="55">
        <f>IF(AQ58="2",BH58,0)</f>
        <v>0</v>
      </c>
      <c r="AG58" s="55">
        <f>IF(AQ58="2",BI58,0)</f>
        <v>0</v>
      </c>
      <c r="AH58" s="55">
        <f>IF(AQ58="0",BJ58,0)</f>
        <v>0</v>
      </c>
      <c r="AI58" s="34" t="s">
        <v>2629</v>
      </c>
      <c r="AJ58" s="55">
        <f>IF(AN58=0,I58,0)</f>
        <v>0</v>
      </c>
      <c r="AK58" s="55">
        <f>IF(AN58=12,I58,0)</f>
        <v>0</v>
      </c>
      <c r="AL58" s="55">
        <f>IF(AN58=21,I58,0)</f>
        <v>0</v>
      </c>
      <c r="AN58" s="55">
        <v>21</v>
      </c>
      <c r="AO58" s="55">
        <f>H58*0.534246575</f>
        <v>0</v>
      </c>
      <c r="AP58" s="55">
        <f>H58*(1-0.534246575)</f>
        <v>0</v>
      </c>
      <c r="AQ58" s="58" t="s">
        <v>125</v>
      </c>
      <c r="AV58" s="55">
        <f>AW58+AX58</f>
        <v>0</v>
      </c>
      <c r="AW58" s="55">
        <f>G58*AO58</f>
        <v>0</v>
      </c>
      <c r="AX58" s="55">
        <f>G58*AP58</f>
        <v>0</v>
      </c>
      <c r="AY58" s="58" t="s">
        <v>2699</v>
      </c>
      <c r="AZ58" s="58" t="s">
        <v>2633</v>
      </c>
      <c r="BA58" s="34" t="s">
        <v>2634</v>
      </c>
      <c r="BC58" s="55">
        <f>AW58+AX58</f>
        <v>0</v>
      </c>
      <c r="BD58" s="55">
        <f>H58/(100-BE58)*100</f>
        <v>0</v>
      </c>
      <c r="BE58" s="55">
        <v>0</v>
      </c>
      <c r="BF58" s="55">
        <f>K58</f>
        <v>0</v>
      </c>
      <c r="BH58" s="55">
        <f>G58*AO58</f>
        <v>0</v>
      </c>
      <c r="BI58" s="55">
        <f>G58*AP58</f>
        <v>0</v>
      </c>
      <c r="BJ58" s="55">
        <f>G58*H58</f>
        <v>0</v>
      </c>
      <c r="BK58" s="55"/>
      <c r="BL58" s="55"/>
      <c r="BW58" s="55">
        <v>21</v>
      </c>
    </row>
    <row r="59" spans="1:12" ht="13.5" customHeight="1">
      <c r="A59" s="59"/>
      <c r="D59" s="218" t="s">
        <v>129</v>
      </c>
      <c r="E59" s="219"/>
      <c r="F59" s="219"/>
      <c r="G59" s="219"/>
      <c r="H59" s="219"/>
      <c r="I59" s="219"/>
      <c r="J59" s="219"/>
      <c r="K59" s="219"/>
      <c r="L59" s="221"/>
    </row>
    <row r="60" spans="1:75" ht="13.5" customHeight="1">
      <c r="A60" s="1" t="s">
        <v>202</v>
      </c>
      <c r="B60" s="2" t="s">
        <v>2629</v>
      </c>
      <c r="C60" s="2" t="s">
        <v>2710</v>
      </c>
      <c r="D60" s="147" t="s">
        <v>2711</v>
      </c>
      <c r="E60" s="148"/>
      <c r="F60" s="2" t="s">
        <v>123</v>
      </c>
      <c r="G60" s="55">
        <f>'Stavební rozpočet-vyplnit'!G1438</f>
        <v>5</v>
      </c>
      <c r="H60" s="55">
        <f>'Stavební rozpočet-vyplnit'!H1438</f>
        <v>0</v>
      </c>
      <c r="I60" s="55">
        <f>G60*H60</f>
        <v>0</v>
      </c>
      <c r="J60" s="55">
        <f>'Stavební rozpočet-vyplnit'!J1438</f>
        <v>0</v>
      </c>
      <c r="K60" s="55">
        <f>G60*J60</f>
        <v>0</v>
      </c>
      <c r="L60" s="57" t="s">
        <v>124</v>
      </c>
      <c r="Z60" s="55">
        <f>IF(AQ60="5",BJ60,0)</f>
        <v>0</v>
      </c>
      <c r="AB60" s="55">
        <f>IF(AQ60="1",BH60,0)</f>
        <v>0</v>
      </c>
      <c r="AC60" s="55">
        <f>IF(AQ60="1",BI60,0)</f>
        <v>0</v>
      </c>
      <c r="AD60" s="55">
        <f>IF(AQ60="7",BH60,0)</f>
        <v>0</v>
      </c>
      <c r="AE60" s="55">
        <f>IF(AQ60="7",BI60,0)</f>
        <v>0</v>
      </c>
      <c r="AF60" s="55">
        <f>IF(AQ60="2",BH60,0)</f>
        <v>0</v>
      </c>
      <c r="AG60" s="55">
        <f>IF(AQ60="2",BI60,0)</f>
        <v>0</v>
      </c>
      <c r="AH60" s="55">
        <f>IF(AQ60="0",BJ60,0)</f>
        <v>0</v>
      </c>
      <c r="AI60" s="34" t="s">
        <v>2629</v>
      </c>
      <c r="AJ60" s="55">
        <f>IF(AN60=0,I60,0)</f>
        <v>0</v>
      </c>
      <c r="AK60" s="55">
        <f>IF(AN60=12,I60,0)</f>
        <v>0</v>
      </c>
      <c r="AL60" s="55">
        <f>IF(AN60=21,I60,0)</f>
        <v>0</v>
      </c>
      <c r="AN60" s="55">
        <v>21</v>
      </c>
      <c r="AO60" s="55">
        <f>H60*0.583333333</f>
        <v>0</v>
      </c>
      <c r="AP60" s="55">
        <f>H60*(1-0.583333333)</f>
        <v>0</v>
      </c>
      <c r="AQ60" s="58" t="s">
        <v>125</v>
      </c>
      <c r="AV60" s="55">
        <f>AW60+AX60</f>
        <v>0</v>
      </c>
      <c r="AW60" s="55">
        <f>G60*AO60</f>
        <v>0</v>
      </c>
      <c r="AX60" s="55">
        <f>G60*AP60</f>
        <v>0</v>
      </c>
      <c r="AY60" s="58" t="s">
        <v>2699</v>
      </c>
      <c r="AZ60" s="58" t="s">
        <v>2633</v>
      </c>
      <c r="BA60" s="34" t="s">
        <v>2634</v>
      </c>
      <c r="BC60" s="55">
        <f>AW60+AX60</f>
        <v>0</v>
      </c>
      <c r="BD60" s="55">
        <f>H60/(100-BE60)*100</f>
        <v>0</v>
      </c>
      <c r="BE60" s="55">
        <v>0</v>
      </c>
      <c r="BF60" s="55">
        <f>K60</f>
        <v>0</v>
      </c>
      <c r="BH60" s="55">
        <f>G60*AO60</f>
        <v>0</v>
      </c>
      <c r="BI60" s="55">
        <f>G60*AP60</f>
        <v>0</v>
      </c>
      <c r="BJ60" s="55">
        <f>G60*H60</f>
        <v>0</v>
      </c>
      <c r="BK60" s="55"/>
      <c r="BL60" s="55"/>
      <c r="BW60" s="55">
        <v>21</v>
      </c>
    </row>
    <row r="61" spans="1:12" ht="13.5" customHeight="1">
      <c r="A61" s="59"/>
      <c r="D61" s="218" t="s">
        <v>129</v>
      </c>
      <c r="E61" s="219"/>
      <c r="F61" s="219"/>
      <c r="G61" s="219"/>
      <c r="H61" s="219"/>
      <c r="I61" s="219"/>
      <c r="J61" s="219"/>
      <c r="K61" s="219"/>
      <c r="L61" s="221"/>
    </row>
    <row r="62" spans="1:75" ht="13.5" customHeight="1">
      <c r="A62" s="1" t="s">
        <v>205</v>
      </c>
      <c r="B62" s="2" t="s">
        <v>2629</v>
      </c>
      <c r="C62" s="2" t="s">
        <v>2713</v>
      </c>
      <c r="D62" s="147" t="s">
        <v>2714</v>
      </c>
      <c r="E62" s="148"/>
      <c r="F62" s="2" t="s">
        <v>123</v>
      </c>
      <c r="G62" s="55">
        <f>'Stavební rozpočet-vyplnit'!G1440</f>
        <v>2</v>
      </c>
      <c r="H62" s="55">
        <f>'Stavební rozpočet-vyplnit'!H1440</f>
        <v>0</v>
      </c>
      <c r="I62" s="55">
        <f>G62*H62</f>
        <v>0</v>
      </c>
      <c r="J62" s="55">
        <f>'Stavební rozpočet-vyplnit'!J1440</f>
        <v>0</v>
      </c>
      <c r="K62" s="55">
        <f>G62*J62</f>
        <v>0</v>
      </c>
      <c r="L62" s="57" t="s">
        <v>124</v>
      </c>
      <c r="Z62" s="55">
        <f>IF(AQ62="5",BJ62,0)</f>
        <v>0</v>
      </c>
      <c r="AB62" s="55">
        <f>IF(AQ62="1",BH62,0)</f>
        <v>0</v>
      </c>
      <c r="AC62" s="55">
        <f>IF(AQ62="1",BI62,0)</f>
        <v>0</v>
      </c>
      <c r="AD62" s="55">
        <f>IF(AQ62="7",BH62,0)</f>
        <v>0</v>
      </c>
      <c r="AE62" s="55">
        <f>IF(AQ62="7",BI62,0)</f>
        <v>0</v>
      </c>
      <c r="AF62" s="55">
        <f>IF(AQ62="2",BH62,0)</f>
        <v>0</v>
      </c>
      <c r="AG62" s="55">
        <f>IF(AQ62="2",BI62,0)</f>
        <v>0</v>
      </c>
      <c r="AH62" s="55">
        <f>IF(AQ62="0",BJ62,0)</f>
        <v>0</v>
      </c>
      <c r="AI62" s="34" t="s">
        <v>2629</v>
      </c>
      <c r="AJ62" s="55">
        <f>IF(AN62=0,I62,0)</f>
        <v>0</v>
      </c>
      <c r="AK62" s="55">
        <f>IF(AN62=12,I62,0)</f>
        <v>0</v>
      </c>
      <c r="AL62" s="55">
        <f>IF(AN62=21,I62,0)</f>
        <v>0</v>
      </c>
      <c r="AN62" s="55">
        <v>21</v>
      </c>
      <c r="AO62" s="55">
        <f>H62*0.48</f>
        <v>0</v>
      </c>
      <c r="AP62" s="55">
        <f>H62*(1-0.48)</f>
        <v>0</v>
      </c>
      <c r="AQ62" s="58" t="s">
        <v>125</v>
      </c>
      <c r="AV62" s="55">
        <f>AW62+AX62</f>
        <v>0</v>
      </c>
      <c r="AW62" s="55">
        <f>G62*AO62</f>
        <v>0</v>
      </c>
      <c r="AX62" s="55">
        <f>G62*AP62</f>
        <v>0</v>
      </c>
      <c r="AY62" s="58" t="s">
        <v>2699</v>
      </c>
      <c r="AZ62" s="58" t="s">
        <v>2633</v>
      </c>
      <c r="BA62" s="34" t="s">
        <v>2634</v>
      </c>
      <c r="BC62" s="55">
        <f>AW62+AX62</f>
        <v>0</v>
      </c>
      <c r="BD62" s="55">
        <f>H62/(100-BE62)*100</f>
        <v>0</v>
      </c>
      <c r="BE62" s="55">
        <v>0</v>
      </c>
      <c r="BF62" s="55">
        <f>K62</f>
        <v>0</v>
      </c>
      <c r="BH62" s="55">
        <f>G62*AO62</f>
        <v>0</v>
      </c>
      <c r="BI62" s="55">
        <f>G62*AP62</f>
        <v>0</v>
      </c>
      <c r="BJ62" s="55">
        <f>G62*H62</f>
        <v>0</v>
      </c>
      <c r="BK62" s="55"/>
      <c r="BL62" s="55"/>
      <c r="BW62" s="55">
        <v>21</v>
      </c>
    </row>
    <row r="63" spans="1:12" ht="13.5" customHeight="1">
      <c r="A63" s="59"/>
      <c r="D63" s="218" t="s">
        <v>129</v>
      </c>
      <c r="E63" s="219"/>
      <c r="F63" s="219"/>
      <c r="G63" s="219"/>
      <c r="H63" s="219"/>
      <c r="I63" s="219"/>
      <c r="J63" s="219"/>
      <c r="K63" s="219"/>
      <c r="L63" s="221"/>
    </row>
    <row r="64" spans="1:75" ht="13.5" customHeight="1">
      <c r="A64" s="1" t="s">
        <v>208</v>
      </c>
      <c r="B64" s="2" t="s">
        <v>2629</v>
      </c>
      <c r="C64" s="2" t="s">
        <v>2716</v>
      </c>
      <c r="D64" s="147" t="s">
        <v>2717</v>
      </c>
      <c r="E64" s="148"/>
      <c r="F64" s="2" t="s">
        <v>123</v>
      </c>
      <c r="G64" s="55">
        <f>'Stavební rozpočet-vyplnit'!G1442</f>
        <v>6</v>
      </c>
      <c r="H64" s="55">
        <f>'Stavební rozpočet-vyplnit'!H1442</f>
        <v>0</v>
      </c>
      <c r="I64" s="55">
        <f>G64*H64</f>
        <v>0</v>
      </c>
      <c r="J64" s="55">
        <f>'Stavební rozpočet-vyplnit'!J1442</f>
        <v>0</v>
      </c>
      <c r="K64" s="55">
        <f>G64*J64</f>
        <v>0</v>
      </c>
      <c r="L64" s="57" t="s">
        <v>124</v>
      </c>
      <c r="Z64" s="55">
        <f>IF(AQ64="5",BJ64,0)</f>
        <v>0</v>
      </c>
      <c r="AB64" s="55">
        <f>IF(AQ64="1",BH64,0)</f>
        <v>0</v>
      </c>
      <c r="AC64" s="55">
        <f>IF(AQ64="1",BI64,0)</f>
        <v>0</v>
      </c>
      <c r="AD64" s="55">
        <f>IF(AQ64="7",BH64,0)</f>
        <v>0</v>
      </c>
      <c r="AE64" s="55">
        <f>IF(AQ64="7",BI64,0)</f>
        <v>0</v>
      </c>
      <c r="AF64" s="55">
        <f>IF(AQ64="2",BH64,0)</f>
        <v>0</v>
      </c>
      <c r="AG64" s="55">
        <f>IF(AQ64="2",BI64,0)</f>
        <v>0</v>
      </c>
      <c r="AH64" s="55">
        <f>IF(AQ64="0",BJ64,0)</f>
        <v>0</v>
      </c>
      <c r="AI64" s="34" t="s">
        <v>2629</v>
      </c>
      <c r="AJ64" s="55">
        <f>IF(AN64=0,I64,0)</f>
        <v>0</v>
      </c>
      <c r="AK64" s="55">
        <f>IF(AN64=12,I64,0)</f>
        <v>0</v>
      </c>
      <c r="AL64" s="55">
        <f>IF(AN64=21,I64,0)</f>
        <v>0</v>
      </c>
      <c r="AN64" s="55">
        <v>21</v>
      </c>
      <c r="AO64" s="55">
        <f>H64*0.410526316</f>
        <v>0</v>
      </c>
      <c r="AP64" s="55">
        <f>H64*(1-0.410526316)</f>
        <v>0</v>
      </c>
      <c r="AQ64" s="58" t="s">
        <v>125</v>
      </c>
      <c r="AV64" s="55">
        <f>AW64+AX64</f>
        <v>0</v>
      </c>
      <c r="AW64" s="55">
        <f>G64*AO64</f>
        <v>0</v>
      </c>
      <c r="AX64" s="55">
        <f>G64*AP64</f>
        <v>0</v>
      </c>
      <c r="AY64" s="58" t="s">
        <v>2699</v>
      </c>
      <c r="AZ64" s="58" t="s">
        <v>2633</v>
      </c>
      <c r="BA64" s="34" t="s">
        <v>2634</v>
      </c>
      <c r="BC64" s="55">
        <f>AW64+AX64</f>
        <v>0</v>
      </c>
      <c r="BD64" s="55">
        <f>H64/(100-BE64)*100</f>
        <v>0</v>
      </c>
      <c r="BE64" s="55">
        <v>0</v>
      </c>
      <c r="BF64" s="55">
        <f>K64</f>
        <v>0</v>
      </c>
      <c r="BH64" s="55">
        <f>G64*AO64</f>
        <v>0</v>
      </c>
      <c r="BI64" s="55">
        <f>G64*AP64</f>
        <v>0</v>
      </c>
      <c r="BJ64" s="55">
        <f>G64*H64</f>
        <v>0</v>
      </c>
      <c r="BK64" s="55"/>
      <c r="BL64" s="55"/>
      <c r="BW64" s="55">
        <v>21</v>
      </c>
    </row>
    <row r="65" spans="1:12" ht="13.5" customHeight="1">
      <c r="A65" s="59"/>
      <c r="D65" s="218" t="s">
        <v>129</v>
      </c>
      <c r="E65" s="219"/>
      <c r="F65" s="219"/>
      <c r="G65" s="219"/>
      <c r="H65" s="219"/>
      <c r="I65" s="219"/>
      <c r="J65" s="219"/>
      <c r="K65" s="219"/>
      <c r="L65" s="221"/>
    </row>
    <row r="66" spans="1:75" ht="13.5" customHeight="1">
      <c r="A66" s="1" t="s">
        <v>211</v>
      </c>
      <c r="B66" s="2" t="s">
        <v>2629</v>
      </c>
      <c r="C66" s="2" t="s">
        <v>2719</v>
      </c>
      <c r="D66" s="147" t="s">
        <v>2720</v>
      </c>
      <c r="E66" s="148"/>
      <c r="F66" s="2" t="s">
        <v>174</v>
      </c>
      <c r="G66" s="55">
        <f>'Stavební rozpočet-vyplnit'!G1444</f>
        <v>220</v>
      </c>
      <c r="H66" s="55">
        <f>'Stavební rozpočet-vyplnit'!H1444</f>
        <v>0</v>
      </c>
      <c r="I66" s="55">
        <f>G66*H66</f>
        <v>0</v>
      </c>
      <c r="J66" s="55">
        <f>'Stavební rozpočet-vyplnit'!J1444</f>
        <v>0</v>
      </c>
      <c r="K66" s="55">
        <f>G66*J66</f>
        <v>0</v>
      </c>
      <c r="L66" s="57" t="s">
        <v>124</v>
      </c>
      <c r="Z66" s="55">
        <f>IF(AQ66="5",BJ66,0)</f>
        <v>0</v>
      </c>
      <c r="AB66" s="55">
        <f>IF(AQ66="1",BH66,0)</f>
        <v>0</v>
      </c>
      <c r="AC66" s="55">
        <f>IF(AQ66="1",BI66,0)</f>
        <v>0</v>
      </c>
      <c r="AD66" s="55">
        <f>IF(AQ66="7",BH66,0)</f>
        <v>0</v>
      </c>
      <c r="AE66" s="55">
        <f>IF(AQ66="7",BI66,0)</f>
        <v>0</v>
      </c>
      <c r="AF66" s="55">
        <f>IF(AQ66="2",BH66,0)</f>
        <v>0</v>
      </c>
      <c r="AG66" s="55">
        <f>IF(AQ66="2",BI66,0)</f>
        <v>0</v>
      </c>
      <c r="AH66" s="55">
        <f>IF(AQ66="0",BJ66,0)</f>
        <v>0</v>
      </c>
      <c r="AI66" s="34" t="s">
        <v>2629</v>
      </c>
      <c r="AJ66" s="55">
        <f>IF(AN66=0,I66,0)</f>
        <v>0</v>
      </c>
      <c r="AK66" s="55">
        <f>IF(AN66=12,I66,0)</f>
        <v>0</v>
      </c>
      <c r="AL66" s="55">
        <f>IF(AN66=21,I66,0)</f>
        <v>0</v>
      </c>
      <c r="AN66" s="55">
        <v>21</v>
      </c>
      <c r="AO66" s="55">
        <f>H66*0.477777778</f>
        <v>0</v>
      </c>
      <c r="AP66" s="55">
        <f>H66*(1-0.477777778)</f>
        <v>0</v>
      </c>
      <c r="AQ66" s="58" t="s">
        <v>125</v>
      </c>
      <c r="AV66" s="55">
        <f>AW66+AX66</f>
        <v>0</v>
      </c>
      <c r="AW66" s="55">
        <f>G66*AO66</f>
        <v>0</v>
      </c>
      <c r="AX66" s="55">
        <f>G66*AP66</f>
        <v>0</v>
      </c>
      <c r="AY66" s="58" t="s">
        <v>2699</v>
      </c>
      <c r="AZ66" s="58" t="s">
        <v>2633</v>
      </c>
      <c r="BA66" s="34" t="s">
        <v>2634</v>
      </c>
      <c r="BC66" s="55">
        <f>AW66+AX66</f>
        <v>0</v>
      </c>
      <c r="BD66" s="55">
        <f>H66/(100-BE66)*100</f>
        <v>0</v>
      </c>
      <c r="BE66" s="55">
        <v>0</v>
      </c>
      <c r="BF66" s="55">
        <f>K66</f>
        <v>0</v>
      </c>
      <c r="BH66" s="55">
        <f>G66*AO66</f>
        <v>0</v>
      </c>
      <c r="BI66" s="55">
        <f>G66*AP66</f>
        <v>0</v>
      </c>
      <c r="BJ66" s="55">
        <f>G66*H66</f>
        <v>0</v>
      </c>
      <c r="BK66" s="55"/>
      <c r="BL66" s="55"/>
      <c r="BW66" s="55">
        <v>21</v>
      </c>
    </row>
    <row r="67" spans="1:12" ht="13.5" customHeight="1">
      <c r="A67" s="59"/>
      <c r="D67" s="218" t="s">
        <v>129</v>
      </c>
      <c r="E67" s="219"/>
      <c r="F67" s="219"/>
      <c r="G67" s="219"/>
      <c r="H67" s="219"/>
      <c r="I67" s="219"/>
      <c r="J67" s="219"/>
      <c r="K67" s="219"/>
      <c r="L67" s="221"/>
    </row>
    <row r="68" spans="1:75" ht="13.5" customHeight="1">
      <c r="A68" s="1" t="s">
        <v>214</v>
      </c>
      <c r="B68" s="2" t="s">
        <v>2629</v>
      </c>
      <c r="C68" s="2" t="s">
        <v>2722</v>
      </c>
      <c r="D68" s="147" t="s">
        <v>2723</v>
      </c>
      <c r="E68" s="148"/>
      <c r="F68" s="2" t="s">
        <v>123</v>
      </c>
      <c r="G68" s="55">
        <f>'Stavební rozpočet-vyplnit'!G1446</f>
        <v>30</v>
      </c>
      <c r="H68" s="55">
        <f>'Stavební rozpočet-vyplnit'!H1446</f>
        <v>0</v>
      </c>
      <c r="I68" s="55">
        <f>G68*H68</f>
        <v>0</v>
      </c>
      <c r="J68" s="55">
        <f>'Stavební rozpočet-vyplnit'!J1446</f>
        <v>0</v>
      </c>
      <c r="K68" s="55">
        <f>G68*J68</f>
        <v>0</v>
      </c>
      <c r="L68" s="57" t="s">
        <v>124</v>
      </c>
      <c r="Z68" s="55">
        <f>IF(AQ68="5",BJ68,0)</f>
        <v>0</v>
      </c>
      <c r="AB68" s="55">
        <f>IF(AQ68="1",BH68,0)</f>
        <v>0</v>
      </c>
      <c r="AC68" s="55">
        <f>IF(AQ68="1",BI68,0)</f>
        <v>0</v>
      </c>
      <c r="AD68" s="55">
        <f>IF(AQ68="7",BH68,0)</f>
        <v>0</v>
      </c>
      <c r="AE68" s="55">
        <f>IF(AQ68="7",BI68,0)</f>
        <v>0</v>
      </c>
      <c r="AF68" s="55">
        <f>IF(AQ68="2",BH68,0)</f>
        <v>0</v>
      </c>
      <c r="AG68" s="55">
        <f>IF(AQ68="2",BI68,0)</f>
        <v>0</v>
      </c>
      <c r="AH68" s="55">
        <f>IF(AQ68="0",BJ68,0)</f>
        <v>0</v>
      </c>
      <c r="AI68" s="34" t="s">
        <v>2629</v>
      </c>
      <c r="AJ68" s="55">
        <f>IF(AN68=0,I68,0)</f>
        <v>0</v>
      </c>
      <c r="AK68" s="55">
        <f>IF(AN68=12,I68,0)</f>
        <v>0</v>
      </c>
      <c r="AL68" s="55">
        <f>IF(AN68=21,I68,0)</f>
        <v>0</v>
      </c>
      <c r="AN68" s="55">
        <v>21</v>
      </c>
      <c r="AO68" s="55">
        <f>H68*0.448979592</f>
        <v>0</v>
      </c>
      <c r="AP68" s="55">
        <f>H68*(1-0.448979592)</f>
        <v>0</v>
      </c>
      <c r="AQ68" s="58" t="s">
        <v>125</v>
      </c>
      <c r="AV68" s="55">
        <f>AW68+AX68</f>
        <v>0</v>
      </c>
      <c r="AW68" s="55">
        <f>G68*AO68</f>
        <v>0</v>
      </c>
      <c r="AX68" s="55">
        <f>G68*AP68</f>
        <v>0</v>
      </c>
      <c r="AY68" s="58" t="s">
        <v>2699</v>
      </c>
      <c r="AZ68" s="58" t="s">
        <v>2633</v>
      </c>
      <c r="BA68" s="34" t="s">
        <v>2634</v>
      </c>
      <c r="BC68" s="55">
        <f>AW68+AX68</f>
        <v>0</v>
      </c>
      <c r="BD68" s="55">
        <f>H68/(100-BE68)*100</f>
        <v>0</v>
      </c>
      <c r="BE68" s="55">
        <v>0</v>
      </c>
      <c r="BF68" s="55">
        <f>K68</f>
        <v>0</v>
      </c>
      <c r="BH68" s="55">
        <f>G68*AO68</f>
        <v>0</v>
      </c>
      <c r="BI68" s="55">
        <f>G68*AP68</f>
        <v>0</v>
      </c>
      <c r="BJ68" s="55">
        <f>G68*H68</f>
        <v>0</v>
      </c>
      <c r="BK68" s="55"/>
      <c r="BL68" s="55"/>
      <c r="BW68" s="55">
        <v>21</v>
      </c>
    </row>
    <row r="69" spans="1:12" ht="13.5" customHeight="1">
      <c r="A69" s="59"/>
      <c r="D69" s="218" t="s">
        <v>129</v>
      </c>
      <c r="E69" s="219"/>
      <c r="F69" s="219"/>
      <c r="G69" s="219"/>
      <c r="H69" s="219"/>
      <c r="I69" s="219"/>
      <c r="J69" s="219"/>
      <c r="K69" s="219"/>
      <c r="L69" s="221"/>
    </row>
    <row r="70" spans="1:75" ht="13.5" customHeight="1">
      <c r="A70" s="1" t="s">
        <v>217</v>
      </c>
      <c r="B70" s="2" t="s">
        <v>2629</v>
      </c>
      <c r="C70" s="2" t="s">
        <v>2725</v>
      </c>
      <c r="D70" s="147" t="s">
        <v>2726</v>
      </c>
      <c r="E70" s="148"/>
      <c r="F70" s="2" t="s">
        <v>123</v>
      </c>
      <c r="G70" s="55">
        <f>'Stavební rozpočet-vyplnit'!G1448</f>
        <v>22</v>
      </c>
      <c r="H70" s="55">
        <f>'Stavební rozpočet-vyplnit'!H1448</f>
        <v>0</v>
      </c>
      <c r="I70" s="55">
        <f>G70*H70</f>
        <v>0</v>
      </c>
      <c r="J70" s="55">
        <f>'Stavební rozpočet-vyplnit'!J1448</f>
        <v>0</v>
      </c>
      <c r="K70" s="55">
        <f>G70*J70</f>
        <v>0</v>
      </c>
      <c r="L70" s="57" t="s">
        <v>124</v>
      </c>
      <c r="Z70" s="55">
        <f>IF(AQ70="5",BJ70,0)</f>
        <v>0</v>
      </c>
      <c r="AB70" s="55">
        <f>IF(AQ70="1",BH70,0)</f>
        <v>0</v>
      </c>
      <c r="AC70" s="55">
        <f>IF(AQ70="1",BI70,0)</f>
        <v>0</v>
      </c>
      <c r="AD70" s="55">
        <f>IF(AQ70="7",BH70,0)</f>
        <v>0</v>
      </c>
      <c r="AE70" s="55">
        <f>IF(AQ70="7",BI70,0)</f>
        <v>0</v>
      </c>
      <c r="AF70" s="55">
        <f>IF(AQ70="2",BH70,0)</f>
        <v>0</v>
      </c>
      <c r="AG70" s="55">
        <f>IF(AQ70="2",BI70,0)</f>
        <v>0</v>
      </c>
      <c r="AH70" s="55">
        <f>IF(AQ70="0",BJ70,0)</f>
        <v>0</v>
      </c>
      <c r="AI70" s="34" t="s">
        <v>2629</v>
      </c>
      <c r="AJ70" s="55">
        <f>IF(AN70=0,I70,0)</f>
        <v>0</v>
      </c>
      <c r="AK70" s="55">
        <f>IF(AN70=12,I70,0)</f>
        <v>0</v>
      </c>
      <c r="AL70" s="55">
        <f>IF(AN70=21,I70,0)</f>
        <v>0</v>
      </c>
      <c r="AN70" s="55">
        <v>21</v>
      </c>
      <c r="AO70" s="55">
        <f>H70*0.5</f>
        <v>0</v>
      </c>
      <c r="AP70" s="55">
        <f>H70*(1-0.5)</f>
        <v>0</v>
      </c>
      <c r="AQ70" s="58" t="s">
        <v>125</v>
      </c>
      <c r="AV70" s="55">
        <f>AW70+AX70</f>
        <v>0</v>
      </c>
      <c r="AW70" s="55">
        <f>G70*AO70</f>
        <v>0</v>
      </c>
      <c r="AX70" s="55">
        <f>G70*AP70</f>
        <v>0</v>
      </c>
      <c r="AY70" s="58" t="s">
        <v>2699</v>
      </c>
      <c r="AZ70" s="58" t="s">
        <v>2633</v>
      </c>
      <c r="BA70" s="34" t="s">
        <v>2634</v>
      </c>
      <c r="BC70" s="55">
        <f>AW70+AX70</f>
        <v>0</v>
      </c>
      <c r="BD70" s="55">
        <f>H70/(100-BE70)*100</f>
        <v>0</v>
      </c>
      <c r="BE70" s="55">
        <v>0</v>
      </c>
      <c r="BF70" s="55">
        <f>K70</f>
        <v>0</v>
      </c>
      <c r="BH70" s="55">
        <f>G70*AO70</f>
        <v>0</v>
      </c>
      <c r="BI70" s="55">
        <f>G70*AP70</f>
        <v>0</v>
      </c>
      <c r="BJ70" s="55">
        <f>G70*H70</f>
        <v>0</v>
      </c>
      <c r="BK70" s="55"/>
      <c r="BL70" s="55"/>
      <c r="BW70" s="55">
        <v>21</v>
      </c>
    </row>
    <row r="71" spans="1:12" ht="13.5" customHeight="1">
      <c r="A71" s="59"/>
      <c r="D71" s="218" t="s">
        <v>129</v>
      </c>
      <c r="E71" s="219"/>
      <c r="F71" s="219"/>
      <c r="G71" s="219"/>
      <c r="H71" s="219"/>
      <c r="I71" s="219"/>
      <c r="J71" s="219"/>
      <c r="K71" s="219"/>
      <c r="L71" s="221"/>
    </row>
    <row r="72" spans="1:75" ht="13.5" customHeight="1">
      <c r="A72" s="1" t="s">
        <v>220</v>
      </c>
      <c r="B72" s="2" t="s">
        <v>2629</v>
      </c>
      <c r="C72" s="2" t="s">
        <v>2728</v>
      </c>
      <c r="D72" s="147" t="s">
        <v>2729</v>
      </c>
      <c r="E72" s="148"/>
      <c r="F72" s="2" t="s">
        <v>123</v>
      </c>
      <c r="G72" s="55">
        <f>'Stavební rozpočet-vyplnit'!G1450</f>
        <v>151</v>
      </c>
      <c r="H72" s="55">
        <f>'Stavební rozpočet-vyplnit'!H1450</f>
        <v>0</v>
      </c>
      <c r="I72" s="55">
        <f>G72*H72</f>
        <v>0</v>
      </c>
      <c r="J72" s="55">
        <f>'Stavební rozpočet-vyplnit'!J1450</f>
        <v>0</v>
      </c>
      <c r="K72" s="55">
        <f>G72*J72</f>
        <v>0</v>
      </c>
      <c r="L72" s="57" t="s">
        <v>124</v>
      </c>
      <c r="Z72" s="55">
        <f>IF(AQ72="5",BJ72,0)</f>
        <v>0</v>
      </c>
      <c r="AB72" s="55">
        <f>IF(AQ72="1",BH72,0)</f>
        <v>0</v>
      </c>
      <c r="AC72" s="55">
        <f>IF(AQ72="1",BI72,0)</f>
        <v>0</v>
      </c>
      <c r="AD72" s="55">
        <f>IF(AQ72="7",BH72,0)</f>
        <v>0</v>
      </c>
      <c r="AE72" s="55">
        <f>IF(AQ72="7",BI72,0)</f>
        <v>0</v>
      </c>
      <c r="AF72" s="55">
        <f>IF(AQ72="2",BH72,0)</f>
        <v>0</v>
      </c>
      <c r="AG72" s="55">
        <f>IF(AQ72="2",BI72,0)</f>
        <v>0</v>
      </c>
      <c r="AH72" s="55">
        <f>IF(AQ72="0",BJ72,0)</f>
        <v>0</v>
      </c>
      <c r="AI72" s="34" t="s">
        <v>2629</v>
      </c>
      <c r="AJ72" s="55">
        <f>IF(AN72=0,I72,0)</f>
        <v>0</v>
      </c>
      <c r="AK72" s="55">
        <f>IF(AN72=12,I72,0)</f>
        <v>0</v>
      </c>
      <c r="AL72" s="55">
        <f>IF(AN72=21,I72,0)</f>
        <v>0</v>
      </c>
      <c r="AN72" s="55">
        <v>21</v>
      </c>
      <c r="AO72" s="55">
        <f>H72*0.527272727</f>
        <v>0</v>
      </c>
      <c r="AP72" s="55">
        <f>H72*(1-0.527272727)</f>
        <v>0</v>
      </c>
      <c r="AQ72" s="58" t="s">
        <v>125</v>
      </c>
      <c r="AV72" s="55">
        <f>AW72+AX72</f>
        <v>0</v>
      </c>
      <c r="AW72" s="55">
        <f>G72*AO72</f>
        <v>0</v>
      </c>
      <c r="AX72" s="55">
        <f>G72*AP72</f>
        <v>0</v>
      </c>
      <c r="AY72" s="58" t="s">
        <v>2699</v>
      </c>
      <c r="AZ72" s="58" t="s">
        <v>2633</v>
      </c>
      <c r="BA72" s="34" t="s">
        <v>2634</v>
      </c>
      <c r="BC72" s="55">
        <f>AW72+AX72</f>
        <v>0</v>
      </c>
      <c r="BD72" s="55">
        <f>H72/(100-BE72)*100</f>
        <v>0</v>
      </c>
      <c r="BE72" s="55">
        <v>0</v>
      </c>
      <c r="BF72" s="55">
        <f>K72</f>
        <v>0</v>
      </c>
      <c r="BH72" s="55">
        <f>G72*AO72</f>
        <v>0</v>
      </c>
      <c r="BI72" s="55">
        <f>G72*AP72</f>
        <v>0</v>
      </c>
      <c r="BJ72" s="55">
        <f>G72*H72</f>
        <v>0</v>
      </c>
      <c r="BK72" s="55"/>
      <c r="BL72" s="55"/>
      <c r="BW72" s="55">
        <v>21</v>
      </c>
    </row>
    <row r="73" spans="1:12" ht="13.5" customHeight="1">
      <c r="A73" s="59"/>
      <c r="D73" s="218" t="s">
        <v>129</v>
      </c>
      <c r="E73" s="219"/>
      <c r="F73" s="219"/>
      <c r="G73" s="219"/>
      <c r="H73" s="219"/>
      <c r="I73" s="219"/>
      <c r="J73" s="219"/>
      <c r="K73" s="219"/>
      <c r="L73" s="221"/>
    </row>
    <row r="74" spans="1:75" ht="13.5" customHeight="1">
      <c r="A74" s="1" t="s">
        <v>223</v>
      </c>
      <c r="B74" s="2" t="s">
        <v>2629</v>
      </c>
      <c r="C74" s="2" t="s">
        <v>2731</v>
      </c>
      <c r="D74" s="147" t="s">
        <v>2732</v>
      </c>
      <c r="E74" s="148"/>
      <c r="F74" s="2" t="s">
        <v>123</v>
      </c>
      <c r="G74" s="55">
        <f>'Stavební rozpočet-vyplnit'!G1452</f>
        <v>54</v>
      </c>
      <c r="H74" s="55">
        <f>'Stavební rozpočet-vyplnit'!H1452</f>
        <v>0</v>
      </c>
      <c r="I74" s="55">
        <f>G74*H74</f>
        <v>0</v>
      </c>
      <c r="J74" s="55">
        <f>'Stavební rozpočet-vyplnit'!J1452</f>
        <v>0</v>
      </c>
      <c r="K74" s="55">
        <f>G74*J74</f>
        <v>0</v>
      </c>
      <c r="L74" s="57" t="s">
        <v>124</v>
      </c>
      <c r="Z74" s="55">
        <f>IF(AQ74="5",BJ74,0)</f>
        <v>0</v>
      </c>
      <c r="AB74" s="55">
        <f>IF(AQ74="1",BH74,0)</f>
        <v>0</v>
      </c>
      <c r="AC74" s="55">
        <f>IF(AQ74="1",BI74,0)</f>
        <v>0</v>
      </c>
      <c r="AD74" s="55">
        <f>IF(AQ74="7",BH74,0)</f>
        <v>0</v>
      </c>
      <c r="AE74" s="55">
        <f>IF(AQ74="7",BI74,0)</f>
        <v>0</v>
      </c>
      <c r="AF74" s="55">
        <f>IF(AQ74="2",BH74,0)</f>
        <v>0</v>
      </c>
      <c r="AG74" s="55">
        <f>IF(AQ74="2",BI74,0)</f>
        <v>0</v>
      </c>
      <c r="AH74" s="55">
        <f>IF(AQ74="0",BJ74,0)</f>
        <v>0</v>
      </c>
      <c r="AI74" s="34" t="s">
        <v>2629</v>
      </c>
      <c r="AJ74" s="55">
        <f>IF(AN74=0,I74,0)</f>
        <v>0</v>
      </c>
      <c r="AK74" s="55">
        <f>IF(AN74=12,I74,0)</f>
        <v>0</v>
      </c>
      <c r="AL74" s="55">
        <f>IF(AN74=21,I74,0)</f>
        <v>0</v>
      </c>
      <c r="AN74" s="55">
        <v>21</v>
      </c>
      <c r="AO74" s="55">
        <f>H74*0.469387755</f>
        <v>0</v>
      </c>
      <c r="AP74" s="55">
        <f>H74*(1-0.469387755)</f>
        <v>0</v>
      </c>
      <c r="AQ74" s="58" t="s">
        <v>125</v>
      </c>
      <c r="AV74" s="55">
        <f>AW74+AX74</f>
        <v>0</v>
      </c>
      <c r="AW74" s="55">
        <f>G74*AO74</f>
        <v>0</v>
      </c>
      <c r="AX74" s="55">
        <f>G74*AP74</f>
        <v>0</v>
      </c>
      <c r="AY74" s="58" t="s">
        <v>2699</v>
      </c>
      <c r="AZ74" s="58" t="s">
        <v>2633</v>
      </c>
      <c r="BA74" s="34" t="s">
        <v>2634</v>
      </c>
      <c r="BC74" s="55">
        <f>AW74+AX74</f>
        <v>0</v>
      </c>
      <c r="BD74" s="55">
        <f>H74/(100-BE74)*100</f>
        <v>0</v>
      </c>
      <c r="BE74" s="55">
        <v>0</v>
      </c>
      <c r="BF74" s="55">
        <f>K74</f>
        <v>0</v>
      </c>
      <c r="BH74" s="55">
        <f>G74*AO74</f>
        <v>0</v>
      </c>
      <c r="BI74" s="55">
        <f>G74*AP74</f>
        <v>0</v>
      </c>
      <c r="BJ74" s="55">
        <f>G74*H74</f>
        <v>0</v>
      </c>
      <c r="BK74" s="55"/>
      <c r="BL74" s="55"/>
      <c r="BW74" s="55">
        <v>21</v>
      </c>
    </row>
    <row r="75" spans="1:12" ht="13.5" customHeight="1">
      <c r="A75" s="59"/>
      <c r="D75" s="218" t="s">
        <v>129</v>
      </c>
      <c r="E75" s="219"/>
      <c r="F75" s="219"/>
      <c r="G75" s="219"/>
      <c r="H75" s="219"/>
      <c r="I75" s="219"/>
      <c r="J75" s="219"/>
      <c r="K75" s="219"/>
      <c r="L75" s="221"/>
    </row>
    <row r="76" spans="1:75" ht="13.5" customHeight="1">
      <c r="A76" s="1" t="s">
        <v>226</v>
      </c>
      <c r="B76" s="2" t="s">
        <v>2629</v>
      </c>
      <c r="C76" s="2" t="s">
        <v>2734</v>
      </c>
      <c r="D76" s="147" t="s">
        <v>2735</v>
      </c>
      <c r="E76" s="148"/>
      <c r="F76" s="2" t="s">
        <v>123</v>
      </c>
      <c r="G76" s="55">
        <f>'Stavební rozpočet-vyplnit'!G1454</f>
        <v>6</v>
      </c>
      <c r="H76" s="55">
        <f>'Stavební rozpočet-vyplnit'!H1454</f>
        <v>0</v>
      </c>
      <c r="I76" s="55">
        <f>G76*H76</f>
        <v>0</v>
      </c>
      <c r="J76" s="55">
        <f>'Stavební rozpočet-vyplnit'!J1454</f>
        <v>0</v>
      </c>
      <c r="K76" s="55">
        <f>G76*J76</f>
        <v>0</v>
      </c>
      <c r="L76" s="57" t="s">
        <v>124</v>
      </c>
      <c r="Z76" s="55">
        <f>IF(AQ76="5",BJ76,0)</f>
        <v>0</v>
      </c>
      <c r="AB76" s="55">
        <f>IF(AQ76="1",BH76,0)</f>
        <v>0</v>
      </c>
      <c r="AC76" s="55">
        <f>IF(AQ76="1",BI76,0)</f>
        <v>0</v>
      </c>
      <c r="AD76" s="55">
        <f>IF(AQ76="7",BH76,0)</f>
        <v>0</v>
      </c>
      <c r="AE76" s="55">
        <f>IF(AQ76="7",BI76,0)</f>
        <v>0</v>
      </c>
      <c r="AF76" s="55">
        <f>IF(AQ76="2",BH76,0)</f>
        <v>0</v>
      </c>
      <c r="AG76" s="55">
        <f>IF(AQ76="2",BI76,0)</f>
        <v>0</v>
      </c>
      <c r="AH76" s="55">
        <f>IF(AQ76="0",BJ76,0)</f>
        <v>0</v>
      </c>
      <c r="AI76" s="34" t="s">
        <v>2629</v>
      </c>
      <c r="AJ76" s="55">
        <f>IF(AN76=0,I76,0)</f>
        <v>0</v>
      </c>
      <c r="AK76" s="55">
        <f>IF(AN76=12,I76,0)</f>
        <v>0</v>
      </c>
      <c r="AL76" s="55">
        <f>IF(AN76=21,I76,0)</f>
        <v>0</v>
      </c>
      <c r="AN76" s="55">
        <v>21</v>
      </c>
      <c r="AO76" s="55">
        <f>H76*0.358974359</f>
        <v>0</v>
      </c>
      <c r="AP76" s="55">
        <f>H76*(1-0.358974359)</f>
        <v>0</v>
      </c>
      <c r="AQ76" s="58" t="s">
        <v>125</v>
      </c>
      <c r="AV76" s="55">
        <f>AW76+AX76</f>
        <v>0</v>
      </c>
      <c r="AW76" s="55">
        <f>G76*AO76</f>
        <v>0</v>
      </c>
      <c r="AX76" s="55">
        <f>G76*AP76</f>
        <v>0</v>
      </c>
      <c r="AY76" s="58" t="s">
        <v>2699</v>
      </c>
      <c r="AZ76" s="58" t="s">
        <v>2633</v>
      </c>
      <c r="BA76" s="34" t="s">
        <v>2634</v>
      </c>
      <c r="BC76" s="55">
        <f>AW76+AX76</f>
        <v>0</v>
      </c>
      <c r="BD76" s="55">
        <f>H76/(100-BE76)*100</f>
        <v>0</v>
      </c>
      <c r="BE76" s="55">
        <v>0</v>
      </c>
      <c r="BF76" s="55">
        <f>K76</f>
        <v>0</v>
      </c>
      <c r="BH76" s="55">
        <f>G76*AO76</f>
        <v>0</v>
      </c>
      <c r="BI76" s="55">
        <f>G76*AP76</f>
        <v>0</v>
      </c>
      <c r="BJ76" s="55">
        <f>G76*H76</f>
        <v>0</v>
      </c>
      <c r="BK76" s="55"/>
      <c r="BL76" s="55"/>
      <c r="BW76" s="55">
        <v>21</v>
      </c>
    </row>
    <row r="77" spans="1:12" ht="13.5" customHeight="1">
      <c r="A77" s="59"/>
      <c r="D77" s="218" t="s">
        <v>129</v>
      </c>
      <c r="E77" s="219"/>
      <c r="F77" s="219"/>
      <c r="G77" s="219"/>
      <c r="H77" s="219"/>
      <c r="I77" s="219"/>
      <c r="J77" s="219"/>
      <c r="K77" s="219"/>
      <c r="L77" s="221"/>
    </row>
    <row r="78" spans="1:75" ht="13.5" customHeight="1">
      <c r="A78" s="1" t="s">
        <v>229</v>
      </c>
      <c r="B78" s="2" t="s">
        <v>2629</v>
      </c>
      <c r="C78" s="2" t="s">
        <v>2737</v>
      </c>
      <c r="D78" s="147" t="s">
        <v>2738</v>
      </c>
      <c r="E78" s="148"/>
      <c r="F78" s="2" t="s">
        <v>123</v>
      </c>
      <c r="G78" s="55">
        <f>'Stavební rozpočet-vyplnit'!G1456</f>
        <v>27</v>
      </c>
      <c r="H78" s="55">
        <f>'Stavební rozpočet-vyplnit'!H1456</f>
        <v>0</v>
      </c>
      <c r="I78" s="55">
        <f>G78*H78</f>
        <v>0</v>
      </c>
      <c r="J78" s="55">
        <f>'Stavební rozpočet-vyplnit'!J1456</f>
        <v>0</v>
      </c>
      <c r="K78" s="55">
        <f>G78*J78</f>
        <v>0</v>
      </c>
      <c r="L78" s="57" t="s">
        <v>124</v>
      </c>
      <c r="Z78" s="55">
        <f>IF(AQ78="5",BJ78,0)</f>
        <v>0</v>
      </c>
      <c r="AB78" s="55">
        <f>IF(AQ78="1",BH78,0)</f>
        <v>0</v>
      </c>
      <c r="AC78" s="55">
        <f>IF(AQ78="1",BI78,0)</f>
        <v>0</v>
      </c>
      <c r="AD78" s="55">
        <f>IF(AQ78="7",BH78,0)</f>
        <v>0</v>
      </c>
      <c r="AE78" s="55">
        <f>IF(AQ78="7",BI78,0)</f>
        <v>0</v>
      </c>
      <c r="AF78" s="55">
        <f>IF(AQ78="2",BH78,0)</f>
        <v>0</v>
      </c>
      <c r="AG78" s="55">
        <f>IF(AQ78="2",BI78,0)</f>
        <v>0</v>
      </c>
      <c r="AH78" s="55">
        <f>IF(AQ78="0",BJ78,0)</f>
        <v>0</v>
      </c>
      <c r="AI78" s="34" t="s">
        <v>2629</v>
      </c>
      <c r="AJ78" s="55">
        <f>IF(AN78=0,I78,0)</f>
        <v>0</v>
      </c>
      <c r="AK78" s="55">
        <f>IF(AN78=12,I78,0)</f>
        <v>0</v>
      </c>
      <c r="AL78" s="55">
        <f>IF(AN78=21,I78,0)</f>
        <v>0</v>
      </c>
      <c r="AN78" s="55">
        <v>21</v>
      </c>
      <c r="AO78" s="55">
        <f>H78*0.524590164</f>
        <v>0</v>
      </c>
      <c r="AP78" s="55">
        <f>H78*(1-0.524590164)</f>
        <v>0</v>
      </c>
      <c r="AQ78" s="58" t="s">
        <v>125</v>
      </c>
      <c r="AV78" s="55">
        <f>AW78+AX78</f>
        <v>0</v>
      </c>
      <c r="AW78" s="55">
        <f>G78*AO78</f>
        <v>0</v>
      </c>
      <c r="AX78" s="55">
        <f>G78*AP78</f>
        <v>0</v>
      </c>
      <c r="AY78" s="58" t="s">
        <v>2699</v>
      </c>
      <c r="AZ78" s="58" t="s">
        <v>2633</v>
      </c>
      <c r="BA78" s="34" t="s">
        <v>2634</v>
      </c>
      <c r="BC78" s="55">
        <f>AW78+AX78</f>
        <v>0</v>
      </c>
      <c r="BD78" s="55">
        <f>H78/(100-BE78)*100</f>
        <v>0</v>
      </c>
      <c r="BE78" s="55">
        <v>0</v>
      </c>
      <c r="BF78" s="55">
        <f>K78</f>
        <v>0</v>
      </c>
      <c r="BH78" s="55">
        <f>G78*AO78</f>
        <v>0</v>
      </c>
      <c r="BI78" s="55">
        <f>G78*AP78</f>
        <v>0</v>
      </c>
      <c r="BJ78" s="55">
        <f>G78*H78</f>
        <v>0</v>
      </c>
      <c r="BK78" s="55"/>
      <c r="BL78" s="55"/>
      <c r="BW78" s="55">
        <v>21</v>
      </c>
    </row>
    <row r="79" spans="1:12" ht="13.5" customHeight="1">
      <c r="A79" s="59"/>
      <c r="D79" s="218" t="s">
        <v>129</v>
      </c>
      <c r="E79" s="219"/>
      <c r="F79" s="219"/>
      <c r="G79" s="219"/>
      <c r="H79" s="219"/>
      <c r="I79" s="219"/>
      <c r="J79" s="219"/>
      <c r="K79" s="219"/>
      <c r="L79" s="221"/>
    </row>
    <row r="80" spans="1:75" ht="13.5" customHeight="1">
      <c r="A80" s="1" t="s">
        <v>232</v>
      </c>
      <c r="B80" s="2" t="s">
        <v>2629</v>
      </c>
      <c r="C80" s="2" t="s">
        <v>2740</v>
      </c>
      <c r="D80" s="147" t="s">
        <v>2741</v>
      </c>
      <c r="E80" s="148"/>
      <c r="F80" s="2" t="s">
        <v>123</v>
      </c>
      <c r="G80" s="55">
        <f>'Stavební rozpočet-vyplnit'!G1458</f>
        <v>15</v>
      </c>
      <c r="H80" s="55">
        <f>'Stavební rozpočet-vyplnit'!H1458</f>
        <v>0</v>
      </c>
      <c r="I80" s="55">
        <f>G80*H80</f>
        <v>0</v>
      </c>
      <c r="J80" s="55">
        <f>'Stavební rozpočet-vyplnit'!J1458</f>
        <v>0</v>
      </c>
      <c r="K80" s="55">
        <f>G80*J80</f>
        <v>0</v>
      </c>
      <c r="L80" s="57" t="s">
        <v>124</v>
      </c>
      <c r="Z80" s="55">
        <f>IF(AQ80="5",BJ80,0)</f>
        <v>0</v>
      </c>
      <c r="AB80" s="55">
        <f>IF(AQ80="1",BH80,0)</f>
        <v>0</v>
      </c>
      <c r="AC80" s="55">
        <f>IF(AQ80="1",BI80,0)</f>
        <v>0</v>
      </c>
      <c r="AD80" s="55">
        <f>IF(AQ80="7",BH80,0)</f>
        <v>0</v>
      </c>
      <c r="AE80" s="55">
        <f>IF(AQ80="7",BI80,0)</f>
        <v>0</v>
      </c>
      <c r="AF80" s="55">
        <f>IF(AQ80="2",BH80,0)</f>
        <v>0</v>
      </c>
      <c r="AG80" s="55">
        <f>IF(AQ80="2",BI80,0)</f>
        <v>0</v>
      </c>
      <c r="AH80" s="55">
        <f>IF(AQ80="0",BJ80,0)</f>
        <v>0</v>
      </c>
      <c r="AI80" s="34" t="s">
        <v>2629</v>
      </c>
      <c r="AJ80" s="55">
        <f>IF(AN80=0,I80,0)</f>
        <v>0</v>
      </c>
      <c r="AK80" s="55">
        <f>IF(AN80=12,I80,0)</f>
        <v>0</v>
      </c>
      <c r="AL80" s="55">
        <f>IF(AN80=21,I80,0)</f>
        <v>0</v>
      </c>
      <c r="AN80" s="55">
        <v>21</v>
      </c>
      <c r="AO80" s="55">
        <f>H80*0.602836879</f>
        <v>0</v>
      </c>
      <c r="AP80" s="55">
        <f>H80*(1-0.602836879)</f>
        <v>0</v>
      </c>
      <c r="AQ80" s="58" t="s">
        <v>125</v>
      </c>
      <c r="AV80" s="55">
        <f>AW80+AX80</f>
        <v>0</v>
      </c>
      <c r="AW80" s="55">
        <f>G80*AO80</f>
        <v>0</v>
      </c>
      <c r="AX80" s="55">
        <f>G80*AP80</f>
        <v>0</v>
      </c>
      <c r="AY80" s="58" t="s">
        <v>2699</v>
      </c>
      <c r="AZ80" s="58" t="s">
        <v>2633</v>
      </c>
      <c r="BA80" s="34" t="s">
        <v>2634</v>
      </c>
      <c r="BC80" s="55">
        <f>AW80+AX80</f>
        <v>0</v>
      </c>
      <c r="BD80" s="55">
        <f>H80/(100-BE80)*100</f>
        <v>0</v>
      </c>
      <c r="BE80" s="55">
        <v>0</v>
      </c>
      <c r="BF80" s="55">
        <f>K80</f>
        <v>0</v>
      </c>
      <c r="BH80" s="55">
        <f>G80*AO80</f>
        <v>0</v>
      </c>
      <c r="BI80" s="55">
        <f>G80*AP80</f>
        <v>0</v>
      </c>
      <c r="BJ80" s="55">
        <f>G80*H80</f>
        <v>0</v>
      </c>
      <c r="BK80" s="55"/>
      <c r="BL80" s="55"/>
      <c r="BW80" s="55">
        <v>21</v>
      </c>
    </row>
    <row r="81" spans="1:12" ht="13.5" customHeight="1">
      <c r="A81" s="59"/>
      <c r="D81" s="218" t="s">
        <v>129</v>
      </c>
      <c r="E81" s="219"/>
      <c r="F81" s="219"/>
      <c r="G81" s="219"/>
      <c r="H81" s="219"/>
      <c r="I81" s="219"/>
      <c r="J81" s="219"/>
      <c r="K81" s="219"/>
      <c r="L81" s="221"/>
    </row>
    <row r="82" spans="1:75" ht="13.5" customHeight="1">
      <c r="A82" s="1" t="s">
        <v>235</v>
      </c>
      <c r="B82" s="2" t="s">
        <v>2629</v>
      </c>
      <c r="C82" s="2" t="s">
        <v>2743</v>
      </c>
      <c r="D82" s="147" t="s">
        <v>2744</v>
      </c>
      <c r="E82" s="148"/>
      <c r="F82" s="2" t="s">
        <v>123</v>
      </c>
      <c r="G82" s="55">
        <f>'Stavební rozpočet-vyplnit'!G1460</f>
        <v>5</v>
      </c>
      <c r="H82" s="55">
        <f>'Stavební rozpočet-vyplnit'!H1460</f>
        <v>0</v>
      </c>
      <c r="I82" s="55">
        <f>G82*H82</f>
        <v>0</v>
      </c>
      <c r="J82" s="55">
        <f>'Stavební rozpočet-vyplnit'!J1460</f>
        <v>0</v>
      </c>
      <c r="K82" s="55">
        <f>G82*J82</f>
        <v>0</v>
      </c>
      <c r="L82" s="57" t="s">
        <v>124</v>
      </c>
      <c r="Z82" s="55">
        <f>IF(AQ82="5",BJ82,0)</f>
        <v>0</v>
      </c>
      <c r="AB82" s="55">
        <f>IF(AQ82="1",BH82,0)</f>
        <v>0</v>
      </c>
      <c r="AC82" s="55">
        <f>IF(AQ82="1",BI82,0)</f>
        <v>0</v>
      </c>
      <c r="AD82" s="55">
        <f>IF(AQ82="7",BH82,0)</f>
        <v>0</v>
      </c>
      <c r="AE82" s="55">
        <f>IF(AQ82="7",BI82,0)</f>
        <v>0</v>
      </c>
      <c r="AF82" s="55">
        <f>IF(AQ82="2",BH82,0)</f>
        <v>0</v>
      </c>
      <c r="AG82" s="55">
        <f>IF(AQ82="2",BI82,0)</f>
        <v>0</v>
      </c>
      <c r="AH82" s="55">
        <f>IF(AQ82="0",BJ82,0)</f>
        <v>0</v>
      </c>
      <c r="AI82" s="34" t="s">
        <v>2629</v>
      </c>
      <c r="AJ82" s="55">
        <f>IF(AN82=0,I82,0)</f>
        <v>0</v>
      </c>
      <c r="AK82" s="55">
        <f>IF(AN82=12,I82,0)</f>
        <v>0</v>
      </c>
      <c r="AL82" s="55">
        <f>IF(AN82=21,I82,0)</f>
        <v>0</v>
      </c>
      <c r="AN82" s="55">
        <v>21</v>
      </c>
      <c r="AO82" s="55">
        <f>H82*0.951864169</f>
        <v>0</v>
      </c>
      <c r="AP82" s="55">
        <f>H82*(1-0.951864169)</f>
        <v>0</v>
      </c>
      <c r="AQ82" s="58" t="s">
        <v>125</v>
      </c>
      <c r="AV82" s="55">
        <f>AW82+AX82</f>
        <v>0</v>
      </c>
      <c r="AW82" s="55">
        <f>G82*AO82</f>
        <v>0</v>
      </c>
      <c r="AX82" s="55">
        <f>G82*AP82</f>
        <v>0</v>
      </c>
      <c r="AY82" s="58" t="s">
        <v>2699</v>
      </c>
      <c r="AZ82" s="58" t="s">
        <v>2633</v>
      </c>
      <c r="BA82" s="34" t="s">
        <v>2634</v>
      </c>
      <c r="BC82" s="55">
        <f>AW82+AX82</f>
        <v>0</v>
      </c>
      <c r="BD82" s="55">
        <f>H82/(100-BE82)*100</f>
        <v>0</v>
      </c>
      <c r="BE82" s="55">
        <v>0</v>
      </c>
      <c r="BF82" s="55">
        <f>K82</f>
        <v>0</v>
      </c>
      <c r="BH82" s="55">
        <f>G82*AO82</f>
        <v>0</v>
      </c>
      <c r="BI82" s="55">
        <f>G82*AP82</f>
        <v>0</v>
      </c>
      <c r="BJ82" s="55">
        <f>G82*H82</f>
        <v>0</v>
      </c>
      <c r="BK82" s="55"/>
      <c r="BL82" s="55"/>
      <c r="BW82" s="55">
        <v>21</v>
      </c>
    </row>
    <row r="83" spans="1:12" ht="13.5" customHeight="1">
      <c r="A83" s="59"/>
      <c r="D83" s="218" t="s">
        <v>129</v>
      </c>
      <c r="E83" s="219"/>
      <c r="F83" s="219"/>
      <c r="G83" s="219"/>
      <c r="H83" s="219"/>
      <c r="I83" s="219"/>
      <c r="J83" s="219"/>
      <c r="K83" s="219"/>
      <c r="L83" s="221"/>
    </row>
    <row r="84" spans="1:75" ht="13.5" customHeight="1">
      <c r="A84" s="1" t="s">
        <v>238</v>
      </c>
      <c r="B84" s="2" t="s">
        <v>2629</v>
      </c>
      <c r="C84" s="2" t="s">
        <v>2746</v>
      </c>
      <c r="D84" s="147" t="s">
        <v>2747</v>
      </c>
      <c r="E84" s="148"/>
      <c r="F84" s="2" t="s">
        <v>250</v>
      </c>
      <c r="G84" s="55">
        <f>'Stavební rozpočet-vyplnit'!G1462</f>
        <v>5</v>
      </c>
      <c r="H84" s="55">
        <f>'Stavební rozpočet-vyplnit'!H1462</f>
        <v>0</v>
      </c>
      <c r="I84" s="55">
        <f>G84*H84</f>
        <v>0</v>
      </c>
      <c r="J84" s="55">
        <f>'Stavební rozpočet-vyplnit'!J1462</f>
        <v>0</v>
      </c>
      <c r="K84" s="55">
        <f>G84*J84</f>
        <v>0</v>
      </c>
      <c r="L84" s="57" t="s">
        <v>124</v>
      </c>
      <c r="Z84" s="55">
        <f>IF(AQ84="5",BJ84,0)</f>
        <v>0</v>
      </c>
      <c r="AB84" s="55">
        <f>IF(AQ84="1",BH84,0)</f>
        <v>0</v>
      </c>
      <c r="AC84" s="55">
        <f>IF(AQ84="1",BI84,0)</f>
        <v>0</v>
      </c>
      <c r="AD84" s="55">
        <f>IF(AQ84="7",BH84,0)</f>
        <v>0</v>
      </c>
      <c r="AE84" s="55">
        <f>IF(AQ84="7",BI84,0)</f>
        <v>0</v>
      </c>
      <c r="AF84" s="55">
        <f>IF(AQ84="2",BH84,0)</f>
        <v>0</v>
      </c>
      <c r="AG84" s="55">
        <f>IF(AQ84="2",BI84,0)</f>
        <v>0</v>
      </c>
      <c r="AH84" s="55">
        <f>IF(AQ84="0",BJ84,0)</f>
        <v>0</v>
      </c>
      <c r="AI84" s="34" t="s">
        <v>2629</v>
      </c>
      <c r="AJ84" s="55">
        <f>IF(AN84=0,I84,0)</f>
        <v>0</v>
      </c>
      <c r="AK84" s="55">
        <f>IF(AN84=12,I84,0)</f>
        <v>0</v>
      </c>
      <c r="AL84" s="55">
        <f>IF(AN84=21,I84,0)</f>
        <v>0</v>
      </c>
      <c r="AN84" s="55">
        <v>21</v>
      </c>
      <c r="AO84" s="55">
        <f>H84*0.882088714</f>
        <v>0</v>
      </c>
      <c r="AP84" s="55">
        <f>H84*(1-0.882088714)</f>
        <v>0</v>
      </c>
      <c r="AQ84" s="58" t="s">
        <v>125</v>
      </c>
      <c r="AV84" s="55">
        <f>AW84+AX84</f>
        <v>0</v>
      </c>
      <c r="AW84" s="55">
        <f>G84*AO84</f>
        <v>0</v>
      </c>
      <c r="AX84" s="55">
        <f>G84*AP84</f>
        <v>0</v>
      </c>
      <c r="AY84" s="58" t="s">
        <v>2699</v>
      </c>
      <c r="AZ84" s="58" t="s">
        <v>2633</v>
      </c>
      <c r="BA84" s="34" t="s">
        <v>2634</v>
      </c>
      <c r="BC84" s="55">
        <f>AW84+AX84</f>
        <v>0</v>
      </c>
      <c r="BD84" s="55">
        <f>H84/(100-BE84)*100</f>
        <v>0</v>
      </c>
      <c r="BE84" s="55">
        <v>0</v>
      </c>
      <c r="BF84" s="55">
        <f>K84</f>
        <v>0</v>
      </c>
      <c r="BH84" s="55">
        <f>G84*AO84</f>
        <v>0</v>
      </c>
      <c r="BI84" s="55">
        <f>G84*AP84</f>
        <v>0</v>
      </c>
      <c r="BJ84" s="55">
        <f>G84*H84</f>
        <v>0</v>
      </c>
      <c r="BK84" s="55"/>
      <c r="BL84" s="55"/>
      <c r="BW84" s="55">
        <v>21</v>
      </c>
    </row>
    <row r="85" spans="1:12" ht="13.5" customHeight="1">
      <c r="A85" s="59"/>
      <c r="D85" s="218" t="s">
        <v>129</v>
      </c>
      <c r="E85" s="219"/>
      <c r="F85" s="219"/>
      <c r="G85" s="219"/>
      <c r="H85" s="219"/>
      <c r="I85" s="219"/>
      <c r="J85" s="219"/>
      <c r="K85" s="219"/>
      <c r="L85" s="221"/>
    </row>
    <row r="86" spans="1:75" ht="13.5" customHeight="1">
      <c r="A86" s="1" t="s">
        <v>241</v>
      </c>
      <c r="B86" s="2" t="s">
        <v>2629</v>
      </c>
      <c r="C86" s="2" t="s">
        <v>2749</v>
      </c>
      <c r="D86" s="147" t="s">
        <v>2750</v>
      </c>
      <c r="E86" s="148"/>
      <c r="F86" s="2" t="s">
        <v>250</v>
      </c>
      <c r="G86" s="55">
        <f>'Stavební rozpočet-vyplnit'!G1464</f>
        <v>28</v>
      </c>
      <c r="H86" s="55">
        <f>'Stavební rozpočet-vyplnit'!H1464</f>
        <v>0</v>
      </c>
      <c r="I86" s="55">
        <f>G86*H86</f>
        <v>0</v>
      </c>
      <c r="J86" s="55">
        <f>'Stavební rozpočet-vyplnit'!J1464</f>
        <v>0</v>
      </c>
      <c r="K86" s="55">
        <f>G86*J86</f>
        <v>0</v>
      </c>
      <c r="L86" s="57" t="s">
        <v>124</v>
      </c>
      <c r="Z86" s="55">
        <f>IF(AQ86="5",BJ86,0)</f>
        <v>0</v>
      </c>
      <c r="AB86" s="55">
        <f>IF(AQ86="1",BH86,0)</f>
        <v>0</v>
      </c>
      <c r="AC86" s="55">
        <f>IF(AQ86="1",BI86,0)</f>
        <v>0</v>
      </c>
      <c r="AD86" s="55">
        <f>IF(AQ86="7",BH86,0)</f>
        <v>0</v>
      </c>
      <c r="AE86" s="55">
        <f>IF(AQ86="7",BI86,0)</f>
        <v>0</v>
      </c>
      <c r="AF86" s="55">
        <f>IF(AQ86="2",BH86,0)</f>
        <v>0</v>
      </c>
      <c r="AG86" s="55">
        <f>IF(AQ86="2",BI86,0)</f>
        <v>0</v>
      </c>
      <c r="AH86" s="55">
        <f>IF(AQ86="0",BJ86,0)</f>
        <v>0</v>
      </c>
      <c r="AI86" s="34" t="s">
        <v>2629</v>
      </c>
      <c r="AJ86" s="55">
        <f>IF(AN86=0,I86,0)</f>
        <v>0</v>
      </c>
      <c r="AK86" s="55">
        <f>IF(AN86=12,I86,0)</f>
        <v>0</v>
      </c>
      <c r="AL86" s="55">
        <f>IF(AN86=21,I86,0)</f>
        <v>0</v>
      </c>
      <c r="AN86" s="55">
        <v>21</v>
      </c>
      <c r="AO86" s="55">
        <f>H86*0.615384615</f>
        <v>0</v>
      </c>
      <c r="AP86" s="55">
        <f>H86*(1-0.615384615)</f>
        <v>0</v>
      </c>
      <c r="AQ86" s="58" t="s">
        <v>125</v>
      </c>
      <c r="AV86" s="55">
        <f>AW86+AX86</f>
        <v>0</v>
      </c>
      <c r="AW86" s="55">
        <f>G86*AO86</f>
        <v>0</v>
      </c>
      <c r="AX86" s="55">
        <f>G86*AP86</f>
        <v>0</v>
      </c>
      <c r="AY86" s="58" t="s">
        <v>2699</v>
      </c>
      <c r="AZ86" s="58" t="s">
        <v>2633</v>
      </c>
      <c r="BA86" s="34" t="s">
        <v>2634</v>
      </c>
      <c r="BC86" s="55">
        <f>AW86+AX86</f>
        <v>0</v>
      </c>
      <c r="BD86" s="55">
        <f>H86/(100-BE86)*100</f>
        <v>0</v>
      </c>
      <c r="BE86" s="55">
        <v>0</v>
      </c>
      <c r="BF86" s="55">
        <f>K86</f>
        <v>0</v>
      </c>
      <c r="BH86" s="55">
        <f>G86*AO86</f>
        <v>0</v>
      </c>
      <c r="BI86" s="55">
        <f>G86*AP86</f>
        <v>0</v>
      </c>
      <c r="BJ86" s="55">
        <f>G86*H86</f>
        <v>0</v>
      </c>
      <c r="BK86" s="55"/>
      <c r="BL86" s="55"/>
      <c r="BW86" s="55">
        <v>21</v>
      </c>
    </row>
    <row r="87" spans="1:12" ht="13.5" customHeight="1">
      <c r="A87" s="59"/>
      <c r="D87" s="218" t="s">
        <v>129</v>
      </c>
      <c r="E87" s="219"/>
      <c r="F87" s="219"/>
      <c r="G87" s="219"/>
      <c r="H87" s="219"/>
      <c r="I87" s="219"/>
      <c r="J87" s="219"/>
      <c r="K87" s="219"/>
      <c r="L87" s="221"/>
    </row>
    <row r="88" spans="1:75" ht="13.5" customHeight="1">
      <c r="A88" s="1" t="s">
        <v>244</v>
      </c>
      <c r="B88" s="2" t="s">
        <v>2629</v>
      </c>
      <c r="C88" s="2" t="s">
        <v>2752</v>
      </c>
      <c r="D88" s="147" t="s">
        <v>2753</v>
      </c>
      <c r="E88" s="148"/>
      <c r="F88" s="2" t="s">
        <v>250</v>
      </c>
      <c r="G88" s="55">
        <f>'Stavební rozpočet-vyplnit'!G1466</f>
        <v>80</v>
      </c>
      <c r="H88" s="55">
        <f>'Stavební rozpočet-vyplnit'!H1466</f>
        <v>0</v>
      </c>
      <c r="I88" s="55">
        <f>G88*H88</f>
        <v>0</v>
      </c>
      <c r="J88" s="55">
        <f>'Stavební rozpočet-vyplnit'!J1466</f>
        <v>0</v>
      </c>
      <c r="K88" s="55">
        <f>G88*J88</f>
        <v>0</v>
      </c>
      <c r="L88" s="57" t="s">
        <v>124</v>
      </c>
      <c r="Z88" s="55">
        <f>IF(AQ88="5",BJ88,0)</f>
        <v>0</v>
      </c>
      <c r="AB88" s="55">
        <f>IF(AQ88="1",BH88,0)</f>
        <v>0</v>
      </c>
      <c r="AC88" s="55">
        <f>IF(AQ88="1",BI88,0)</f>
        <v>0</v>
      </c>
      <c r="AD88" s="55">
        <f>IF(AQ88="7",BH88,0)</f>
        <v>0</v>
      </c>
      <c r="AE88" s="55">
        <f>IF(AQ88="7",BI88,0)</f>
        <v>0</v>
      </c>
      <c r="AF88" s="55">
        <f>IF(AQ88="2",BH88,0)</f>
        <v>0</v>
      </c>
      <c r="AG88" s="55">
        <f>IF(AQ88="2",BI88,0)</f>
        <v>0</v>
      </c>
      <c r="AH88" s="55">
        <f>IF(AQ88="0",BJ88,0)</f>
        <v>0</v>
      </c>
      <c r="AI88" s="34" t="s">
        <v>2629</v>
      </c>
      <c r="AJ88" s="55">
        <f>IF(AN88=0,I88,0)</f>
        <v>0</v>
      </c>
      <c r="AK88" s="55">
        <f>IF(AN88=12,I88,0)</f>
        <v>0</v>
      </c>
      <c r="AL88" s="55">
        <f>IF(AN88=21,I88,0)</f>
        <v>0</v>
      </c>
      <c r="AN88" s="55">
        <v>21</v>
      </c>
      <c r="AO88" s="55">
        <f>H88*0.664031621</f>
        <v>0</v>
      </c>
      <c r="AP88" s="55">
        <f>H88*(1-0.664031621)</f>
        <v>0</v>
      </c>
      <c r="AQ88" s="58" t="s">
        <v>125</v>
      </c>
      <c r="AV88" s="55">
        <f>AW88+AX88</f>
        <v>0</v>
      </c>
      <c r="AW88" s="55">
        <f>G88*AO88</f>
        <v>0</v>
      </c>
      <c r="AX88" s="55">
        <f>G88*AP88</f>
        <v>0</v>
      </c>
      <c r="AY88" s="58" t="s">
        <v>2699</v>
      </c>
      <c r="AZ88" s="58" t="s">
        <v>2633</v>
      </c>
      <c r="BA88" s="34" t="s">
        <v>2634</v>
      </c>
      <c r="BC88" s="55">
        <f>AW88+AX88</f>
        <v>0</v>
      </c>
      <c r="BD88" s="55">
        <f>H88/(100-BE88)*100</f>
        <v>0</v>
      </c>
      <c r="BE88" s="55">
        <v>0</v>
      </c>
      <c r="BF88" s="55">
        <f>K88</f>
        <v>0</v>
      </c>
      <c r="BH88" s="55">
        <f>G88*AO88</f>
        <v>0</v>
      </c>
      <c r="BI88" s="55">
        <f>G88*AP88</f>
        <v>0</v>
      </c>
      <c r="BJ88" s="55">
        <f>G88*H88</f>
        <v>0</v>
      </c>
      <c r="BK88" s="55"/>
      <c r="BL88" s="55"/>
      <c r="BW88" s="55">
        <v>21</v>
      </c>
    </row>
    <row r="89" spans="1:12" ht="13.5" customHeight="1">
      <c r="A89" s="59"/>
      <c r="D89" s="218" t="s">
        <v>129</v>
      </c>
      <c r="E89" s="219"/>
      <c r="F89" s="219"/>
      <c r="G89" s="219"/>
      <c r="H89" s="219"/>
      <c r="I89" s="219"/>
      <c r="J89" s="219"/>
      <c r="K89" s="219"/>
      <c r="L89" s="221"/>
    </row>
    <row r="90" spans="1:75" ht="13.5" customHeight="1">
      <c r="A90" s="1" t="s">
        <v>247</v>
      </c>
      <c r="B90" s="2" t="s">
        <v>2629</v>
      </c>
      <c r="C90" s="2" t="s">
        <v>2755</v>
      </c>
      <c r="D90" s="147" t="s">
        <v>2756</v>
      </c>
      <c r="E90" s="148"/>
      <c r="F90" s="2" t="s">
        <v>250</v>
      </c>
      <c r="G90" s="55">
        <f>'Stavební rozpočet-vyplnit'!G1468</f>
        <v>105</v>
      </c>
      <c r="H90" s="55">
        <f>'Stavební rozpočet-vyplnit'!H1468</f>
        <v>0</v>
      </c>
      <c r="I90" s="55">
        <f>G90*H90</f>
        <v>0</v>
      </c>
      <c r="J90" s="55">
        <f>'Stavební rozpočet-vyplnit'!J1468</f>
        <v>0</v>
      </c>
      <c r="K90" s="55">
        <f>G90*J90</f>
        <v>0</v>
      </c>
      <c r="L90" s="57" t="s">
        <v>124</v>
      </c>
      <c r="Z90" s="55">
        <f>IF(AQ90="5",BJ90,0)</f>
        <v>0</v>
      </c>
      <c r="AB90" s="55">
        <f>IF(AQ90="1",BH90,0)</f>
        <v>0</v>
      </c>
      <c r="AC90" s="55">
        <f>IF(AQ90="1",BI90,0)</f>
        <v>0</v>
      </c>
      <c r="AD90" s="55">
        <f>IF(AQ90="7",BH90,0)</f>
        <v>0</v>
      </c>
      <c r="AE90" s="55">
        <f>IF(AQ90="7",BI90,0)</f>
        <v>0</v>
      </c>
      <c r="AF90" s="55">
        <f>IF(AQ90="2",BH90,0)</f>
        <v>0</v>
      </c>
      <c r="AG90" s="55">
        <f>IF(AQ90="2",BI90,0)</f>
        <v>0</v>
      </c>
      <c r="AH90" s="55">
        <f>IF(AQ90="0",BJ90,0)</f>
        <v>0</v>
      </c>
      <c r="AI90" s="34" t="s">
        <v>2629</v>
      </c>
      <c r="AJ90" s="55">
        <f>IF(AN90=0,I90,0)</f>
        <v>0</v>
      </c>
      <c r="AK90" s="55">
        <f>IF(AN90=12,I90,0)</f>
        <v>0</v>
      </c>
      <c r="AL90" s="55">
        <f>IF(AN90=21,I90,0)</f>
        <v>0</v>
      </c>
      <c r="AN90" s="55">
        <v>21</v>
      </c>
      <c r="AO90" s="55">
        <f>H90*0.559585492</f>
        <v>0</v>
      </c>
      <c r="AP90" s="55">
        <f>H90*(1-0.559585492)</f>
        <v>0</v>
      </c>
      <c r="AQ90" s="58" t="s">
        <v>125</v>
      </c>
      <c r="AV90" s="55">
        <f>AW90+AX90</f>
        <v>0</v>
      </c>
      <c r="AW90" s="55">
        <f>G90*AO90</f>
        <v>0</v>
      </c>
      <c r="AX90" s="55">
        <f>G90*AP90</f>
        <v>0</v>
      </c>
      <c r="AY90" s="58" t="s">
        <v>2699</v>
      </c>
      <c r="AZ90" s="58" t="s">
        <v>2633</v>
      </c>
      <c r="BA90" s="34" t="s">
        <v>2634</v>
      </c>
      <c r="BC90" s="55">
        <f>AW90+AX90</f>
        <v>0</v>
      </c>
      <c r="BD90" s="55">
        <f>H90/(100-BE90)*100</f>
        <v>0</v>
      </c>
      <c r="BE90" s="55">
        <v>0</v>
      </c>
      <c r="BF90" s="55">
        <f>K90</f>
        <v>0</v>
      </c>
      <c r="BH90" s="55">
        <f>G90*AO90</f>
        <v>0</v>
      </c>
      <c r="BI90" s="55">
        <f>G90*AP90</f>
        <v>0</v>
      </c>
      <c r="BJ90" s="55">
        <f>G90*H90</f>
        <v>0</v>
      </c>
      <c r="BK90" s="55"/>
      <c r="BL90" s="55"/>
      <c r="BW90" s="55">
        <v>21</v>
      </c>
    </row>
    <row r="91" spans="1:12" ht="13.5" customHeight="1">
      <c r="A91" s="59"/>
      <c r="D91" s="218" t="s">
        <v>129</v>
      </c>
      <c r="E91" s="219"/>
      <c r="F91" s="219"/>
      <c r="G91" s="219"/>
      <c r="H91" s="219"/>
      <c r="I91" s="219"/>
      <c r="J91" s="219"/>
      <c r="K91" s="219"/>
      <c r="L91" s="221"/>
    </row>
    <row r="92" spans="1:75" ht="13.5" customHeight="1">
      <c r="A92" s="1" t="s">
        <v>251</v>
      </c>
      <c r="B92" s="2" t="s">
        <v>2629</v>
      </c>
      <c r="C92" s="2" t="s">
        <v>2758</v>
      </c>
      <c r="D92" s="147" t="s">
        <v>2759</v>
      </c>
      <c r="E92" s="148"/>
      <c r="F92" s="2" t="s">
        <v>174</v>
      </c>
      <c r="G92" s="55">
        <f>'Stavební rozpočet-vyplnit'!G1470</f>
        <v>240</v>
      </c>
      <c r="H92" s="55">
        <f>'Stavební rozpočet-vyplnit'!H1470</f>
        <v>0</v>
      </c>
      <c r="I92" s="55">
        <f>G92*H92</f>
        <v>0</v>
      </c>
      <c r="J92" s="55">
        <f>'Stavební rozpočet-vyplnit'!J1470</f>
        <v>0</v>
      </c>
      <c r="K92" s="55">
        <f>G92*J92</f>
        <v>0</v>
      </c>
      <c r="L92" s="57" t="s">
        <v>124</v>
      </c>
      <c r="Z92" s="55">
        <f>IF(AQ92="5",BJ92,0)</f>
        <v>0</v>
      </c>
      <c r="AB92" s="55">
        <f>IF(AQ92="1",BH92,0)</f>
        <v>0</v>
      </c>
      <c r="AC92" s="55">
        <f>IF(AQ92="1",BI92,0)</f>
        <v>0</v>
      </c>
      <c r="AD92" s="55">
        <f>IF(AQ92="7",BH92,0)</f>
        <v>0</v>
      </c>
      <c r="AE92" s="55">
        <f>IF(AQ92="7",BI92,0)</f>
        <v>0</v>
      </c>
      <c r="AF92" s="55">
        <f>IF(AQ92="2",BH92,0)</f>
        <v>0</v>
      </c>
      <c r="AG92" s="55">
        <f>IF(AQ92="2",BI92,0)</f>
        <v>0</v>
      </c>
      <c r="AH92" s="55">
        <f>IF(AQ92="0",BJ92,0)</f>
        <v>0</v>
      </c>
      <c r="AI92" s="34" t="s">
        <v>2629</v>
      </c>
      <c r="AJ92" s="55">
        <f>IF(AN92=0,I92,0)</f>
        <v>0</v>
      </c>
      <c r="AK92" s="55">
        <f>IF(AN92=12,I92,0)</f>
        <v>0</v>
      </c>
      <c r="AL92" s="55">
        <f>IF(AN92=21,I92,0)</f>
        <v>0</v>
      </c>
      <c r="AN92" s="55">
        <v>21</v>
      </c>
      <c r="AO92" s="55">
        <f>H92*0.960921144</f>
        <v>0</v>
      </c>
      <c r="AP92" s="55">
        <f>H92*(1-0.960921144)</f>
        <v>0</v>
      </c>
      <c r="AQ92" s="58" t="s">
        <v>125</v>
      </c>
      <c r="AV92" s="55">
        <f>AW92+AX92</f>
        <v>0</v>
      </c>
      <c r="AW92" s="55">
        <f>G92*AO92</f>
        <v>0</v>
      </c>
      <c r="AX92" s="55">
        <f>G92*AP92</f>
        <v>0</v>
      </c>
      <c r="AY92" s="58" t="s">
        <v>2699</v>
      </c>
      <c r="AZ92" s="58" t="s">
        <v>2633</v>
      </c>
      <c r="BA92" s="34" t="s">
        <v>2634</v>
      </c>
      <c r="BC92" s="55">
        <f>AW92+AX92</f>
        <v>0</v>
      </c>
      <c r="BD92" s="55">
        <f>H92/(100-BE92)*100</f>
        <v>0</v>
      </c>
      <c r="BE92" s="55">
        <v>0</v>
      </c>
      <c r="BF92" s="55">
        <f>K92</f>
        <v>0</v>
      </c>
      <c r="BH92" s="55">
        <f>G92*AO92</f>
        <v>0</v>
      </c>
      <c r="BI92" s="55">
        <f>G92*AP92</f>
        <v>0</v>
      </c>
      <c r="BJ92" s="55">
        <f>G92*H92</f>
        <v>0</v>
      </c>
      <c r="BK92" s="55"/>
      <c r="BL92" s="55"/>
      <c r="BW92" s="55">
        <v>21</v>
      </c>
    </row>
    <row r="93" spans="1:12" ht="13.5" customHeight="1">
      <c r="A93" s="59"/>
      <c r="D93" s="218" t="s">
        <v>129</v>
      </c>
      <c r="E93" s="219"/>
      <c r="F93" s="219"/>
      <c r="G93" s="219"/>
      <c r="H93" s="219"/>
      <c r="I93" s="219"/>
      <c r="J93" s="219"/>
      <c r="K93" s="219"/>
      <c r="L93" s="221"/>
    </row>
    <row r="94" spans="1:75" ht="13.5" customHeight="1">
      <c r="A94" s="1" t="s">
        <v>254</v>
      </c>
      <c r="B94" s="2" t="s">
        <v>2629</v>
      </c>
      <c r="C94" s="2" t="s">
        <v>2761</v>
      </c>
      <c r="D94" s="147" t="s">
        <v>2762</v>
      </c>
      <c r="E94" s="148"/>
      <c r="F94" s="2" t="s">
        <v>250</v>
      </c>
      <c r="G94" s="55">
        <f>'Stavební rozpočet-vyplnit'!G1472</f>
        <v>9</v>
      </c>
      <c r="H94" s="55">
        <f>'Stavební rozpočet-vyplnit'!H1472</f>
        <v>0</v>
      </c>
      <c r="I94" s="55">
        <f>G94*H94</f>
        <v>0</v>
      </c>
      <c r="J94" s="55">
        <f>'Stavební rozpočet-vyplnit'!J1472</f>
        <v>0</v>
      </c>
      <c r="K94" s="55">
        <f>G94*J94</f>
        <v>0</v>
      </c>
      <c r="L94" s="57" t="s">
        <v>124</v>
      </c>
      <c r="Z94" s="55">
        <f>IF(AQ94="5",BJ94,0)</f>
        <v>0</v>
      </c>
      <c r="AB94" s="55">
        <f>IF(AQ94="1",BH94,0)</f>
        <v>0</v>
      </c>
      <c r="AC94" s="55">
        <f>IF(AQ94="1",BI94,0)</f>
        <v>0</v>
      </c>
      <c r="AD94" s="55">
        <f>IF(AQ94="7",BH94,0)</f>
        <v>0</v>
      </c>
      <c r="AE94" s="55">
        <f>IF(AQ94="7",BI94,0)</f>
        <v>0</v>
      </c>
      <c r="AF94" s="55">
        <f>IF(AQ94="2",BH94,0)</f>
        <v>0</v>
      </c>
      <c r="AG94" s="55">
        <f>IF(AQ94="2",BI94,0)</f>
        <v>0</v>
      </c>
      <c r="AH94" s="55">
        <f>IF(AQ94="0",BJ94,0)</f>
        <v>0</v>
      </c>
      <c r="AI94" s="34" t="s">
        <v>2629</v>
      </c>
      <c r="AJ94" s="55">
        <f>IF(AN94=0,I94,0)</f>
        <v>0</v>
      </c>
      <c r="AK94" s="55">
        <f>IF(AN94=12,I94,0)</f>
        <v>0</v>
      </c>
      <c r="AL94" s="55">
        <f>IF(AN94=21,I94,0)</f>
        <v>0</v>
      </c>
      <c r="AN94" s="55">
        <v>21</v>
      </c>
      <c r="AO94" s="55">
        <f>H94*0.764705882</f>
        <v>0</v>
      </c>
      <c r="AP94" s="55">
        <f>H94*(1-0.764705882)</f>
        <v>0</v>
      </c>
      <c r="AQ94" s="58" t="s">
        <v>125</v>
      </c>
      <c r="AV94" s="55">
        <f>AW94+AX94</f>
        <v>0</v>
      </c>
      <c r="AW94" s="55">
        <f>G94*AO94</f>
        <v>0</v>
      </c>
      <c r="AX94" s="55">
        <f>G94*AP94</f>
        <v>0</v>
      </c>
      <c r="AY94" s="58" t="s">
        <v>2699</v>
      </c>
      <c r="AZ94" s="58" t="s">
        <v>2633</v>
      </c>
      <c r="BA94" s="34" t="s">
        <v>2634</v>
      </c>
      <c r="BC94" s="55">
        <f>AW94+AX94</f>
        <v>0</v>
      </c>
      <c r="BD94" s="55">
        <f>H94/(100-BE94)*100</f>
        <v>0</v>
      </c>
      <c r="BE94" s="55">
        <v>0</v>
      </c>
      <c r="BF94" s="55">
        <f>K94</f>
        <v>0</v>
      </c>
      <c r="BH94" s="55">
        <f>G94*AO94</f>
        <v>0</v>
      </c>
      <c r="BI94" s="55">
        <f>G94*AP94</f>
        <v>0</v>
      </c>
      <c r="BJ94" s="55">
        <f>G94*H94</f>
        <v>0</v>
      </c>
      <c r="BK94" s="55"/>
      <c r="BL94" s="55"/>
      <c r="BW94" s="55">
        <v>21</v>
      </c>
    </row>
    <row r="95" spans="1:12" ht="13.5" customHeight="1">
      <c r="A95" s="59"/>
      <c r="D95" s="218" t="s">
        <v>129</v>
      </c>
      <c r="E95" s="219"/>
      <c r="F95" s="219"/>
      <c r="G95" s="219"/>
      <c r="H95" s="219"/>
      <c r="I95" s="219"/>
      <c r="J95" s="219"/>
      <c r="K95" s="219"/>
      <c r="L95" s="221"/>
    </row>
    <row r="96" spans="1:75" ht="13.5" customHeight="1">
      <c r="A96" s="1" t="s">
        <v>258</v>
      </c>
      <c r="B96" s="2" t="s">
        <v>2629</v>
      </c>
      <c r="C96" s="2" t="s">
        <v>2764</v>
      </c>
      <c r="D96" s="147" t="s">
        <v>2765</v>
      </c>
      <c r="E96" s="148"/>
      <c r="F96" s="2" t="s">
        <v>250</v>
      </c>
      <c r="G96" s="55">
        <f>'Stavební rozpočet-vyplnit'!G1474</f>
        <v>5</v>
      </c>
      <c r="H96" s="55">
        <f>'Stavební rozpočet-vyplnit'!H1474</f>
        <v>0</v>
      </c>
      <c r="I96" s="55">
        <f>G96*H96</f>
        <v>0</v>
      </c>
      <c r="J96" s="55">
        <f>'Stavební rozpočet-vyplnit'!J1474</f>
        <v>0</v>
      </c>
      <c r="K96" s="55">
        <f>G96*J96</f>
        <v>0</v>
      </c>
      <c r="L96" s="57" t="s">
        <v>124</v>
      </c>
      <c r="Z96" s="55">
        <f>IF(AQ96="5",BJ96,0)</f>
        <v>0</v>
      </c>
      <c r="AB96" s="55">
        <f>IF(AQ96="1",BH96,0)</f>
        <v>0</v>
      </c>
      <c r="AC96" s="55">
        <f>IF(AQ96="1",BI96,0)</f>
        <v>0</v>
      </c>
      <c r="AD96" s="55">
        <f>IF(AQ96="7",BH96,0)</f>
        <v>0</v>
      </c>
      <c r="AE96" s="55">
        <f>IF(AQ96="7",BI96,0)</f>
        <v>0</v>
      </c>
      <c r="AF96" s="55">
        <f>IF(AQ96="2",BH96,0)</f>
        <v>0</v>
      </c>
      <c r="AG96" s="55">
        <f>IF(AQ96="2",BI96,0)</f>
        <v>0</v>
      </c>
      <c r="AH96" s="55">
        <f>IF(AQ96="0",BJ96,0)</f>
        <v>0</v>
      </c>
      <c r="AI96" s="34" t="s">
        <v>2629</v>
      </c>
      <c r="AJ96" s="55">
        <f>IF(AN96=0,I96,0)</f>
        <v>0</v>
      </c>
      <c r="AK96" s="55">
        <f>IF(AN96=12,I96,0)</f>
        <v>0</v>
      </c>
      <c r="AL96" s="55">
        <f>IF(AN96=21,I96,0)</f>
        <v>0</v>
      </c>
      <c r="AN96" s="55">
        <v>21</v>
      </c>
      <c r="AO96" s="55">
        <f>H96*0.936927772</f>
        <v>0</v>
      </c>
      <c r="AP96" s="55">
        <f>H96*(1-0.936927772)</f>
        <v>0</v>
      </c>
      <c r="AQ96" s="58" t="s">
        <v>125</v>
      </c>
      <c r="AV96" s="55">
        <f>AW96+AX96</f>
        <v>0</v>
      </c>
      <c r="AW96" s="55">
        <f>G96*AO96</f>
        <v>0</v>
      </c>
      <c r="AX96" s="55">
        <f>G96*AP96</f>
        <v>0</v>
      </c>
      <c r="AY96" s="58" t="s">
        <v>2699</v>
      </c>
      <c r="AZ96" s="58" t="s">
        <v>2633</v>
      </c>
      <c r="BA96" s="34" t="s">
        <v>2634</v>
      </c>
      <c r="BC96" s="55">
        <f>AW96+AX96</f>
        <v>0</v>
      </c>
      <c r="BD96" s="55">
        <f>H96/(100-BE96)*100</f>
        <v>0</v>
      </c>
      <c r="BE96" s="55">
        <v>0</v>
      </c>
      <c r="BF96" s="55">
        <f>K96</f>
        <v>0</v>
      </c>
      <c r="BH96" s="55">
        <f>G96*AO96</f>
        <v>0</v>
      </c>
      <c r="BI96" s="55">
        <f>G96*AP96</f>
        <v>0</v>
      </c>
      <c r="BJ96" s="55">
        <f>G96*H96</f>
        <v>0</v>
      </c>
      <c r="BK96" s="55"/>
      <c r="BL96" s="55"/>
      <c r="BW96" s="55">
        <v>21</v>
      </c>
    </row>
    <row r="97" spans="1:12" ht="13.5" customHeight="1">
      <c r="A97" s="59"/>
      <c r="D97" s="218" t="s">
        <v>129</v>
      </c>
      <c r="E97" s="219"/>
      <c r="F97" s="219"/>
      <c r="G97" s="219"/>
      <c r="H97" s="219"/>
      <c r="I97" s="219"/>
      <c r="J97" s="219"/>
      <c r="K97" s="219"/>
      <c r="L97" s="221"/>
    </row>
    <row r="98" spans="1:75" ht="13.5" customHeight="1">
      <c r="A98" s="1" t="s">
        <v>262</v>
      </c>
      <c r="B98" s="2" t="s">
        <v>2629</v>
      </c>
      <c r="C98" s="2" t="s">
        <v>2767</v>
      </c>
      <c r="D98" s="147" t="s">
        <v>2768</v>
      </c>
      <c r="E98" s="148"/>
      <c r="F98" s="2" t="s">
        <v>250</v>
      </c>
      <c r="G98" s="55">
        <f>'Stavební rozpočet-vyplnit'!G1476</f>
        <v>13</v>
      </c>
      <c r="H98" s="55">
        <f>'Stavební rozpočet-vyplnit'!H1476</f>
        <v>0</v>
      </c>
      <c r="I98" s="55">
        <f>G98*H98</f>
        <v>0</v>
      </c>
      <c r="J98" s="55">
        <f>'Stavební rozpočet-vyplnit'!J1476</f>
        <v>0</v>
      </c>
      <c r="K98" s="55">
        <f>G98*J98</f>
        <v>0</v>
      </c>
      <c r="L98" s="57" t="s">
        <v>124</v>
      </c>
      <c r="Z98" s="55">
        <f>IF(AQ98="5",BJ98,0)</f>
        <v>0</v>
      </c>
      <c r="AB98" s="55">
        <f>IF(AQ98="1",BH98,0)</f>
        <v>0</v>
      </c>
      <c r="AC98" s="55">
        <f>IF(AQ98="1",BI98,0)</f>
        <v>0</v>
      </c>
      <c r="AD98" s="55">
        <f>IF(AQ98="7",BH98,0)</f>
        <v>0</v>
      </c>
      <c r="AE98" s="55">
        <f>IF(AQ98="7",BI98,0)</f>
        <v>0</v>
      </c>
      <c r="AF98" s="55">
        <f>IF(AQ98="2",BH98,0)</f>
        <v>0</v>
      </c>
      <c r="AG98" s="55">
        <f>IF(AQ98="2",BI98,0)</f>
        <v>0</v>
      </c>
      <c r="AH98" s="55">
        <f>IF(AQ98="0",BJ98,0)</f>
        <v>0</v>
      </c>
      <c r="AI98" s="34" t="s">
        <v>2629</v>
      </c>
      <c r="AJ98" s="55">
        <f>IF(AN98=0,I98,0)</f>
        <v>0</v>
      </c>
      <c r="AK98" s="55">
        <f>IF(AN98=12,I98,0)</f>
        <v>0</v>
      </c>
      <c r="AL98" s="55">
        <f>IF(AN98=21,I98,0)</f>
        <v>0</v>
      </c>
      <c r="AN98" s="55">
        <v>21</v>
      </c>
      <c r="AO98" s="55">
        <f>H98*0.834146341</f>
        <v>0</v>
      </c>
      <c r="AP98" s="55">
        <f>H98*(1-0.834146341)</f>
        <v>0</v>
      </c>
      <c r="AQ98" s="58" t="s">
        <v>125</v>
      </c>
      <c r="AV98" s="55">
        <f>AW98+AX98</f>
        <v>0</v>
      </c>
      <c r="AW98" s="55">
        <f>G98*AO98</f>
        <v>0</v>
      </c>
      <c r="AX98" s="55">
        <f>G98*AP98</f>
        <v>0</v>
      </c>
      <c r="AY98" s="58" t="s">
        <v>2699</v>
      </c>
      <c r="AZ98" s="58" t="s">
        <v>2633</v>
      </c>
      <c r="BA98" s="34" t="s">
        <v>2634</v>
      </c>
      <c r="BC98" s="55">
        <f>AW98+AX98</f>
        <v>0</v>
      </c>
      <c r="BD98" s="55">
        <f>H98/(100-BE98)*100</f>
        <v>0</v>
      </c>
      <c r="BE98" s="55">
        <v>0</v>
      </c>
      <c r="BF98" s="55">
        <f>K98</f>
        <v>0</v>
      </c>
      <c r="BH98" s="55">
        <f>G98*AO98</f>
        <v>0</v>
      </c>
      <c r="BI98" s="55">
        <f>G98*AP98</f>
        <v>0</v>
      </c>
      <c r="BJ98" s="55">
        <f>G98*H98</f>
        <v>0</v>
      </c>
      <c r="BK98" s="55"/>
      <c r="BL98" s="55"/>
      <c r="BW98" s="55">
        <v>21</v>
      </c>
    </row>
    <row r="99" spans="1:12" ht="13.5" customHeight="1">
      <c r="A99" s="59"/>
      <c r="D99" s="218" t="s">
        <v>129</v>
      </c>
      <c r="E99" s="219"/>
      <c r="F99" s="219"/>
      <c r="G99" s="219"/>
      <c r="H99" s="219"/>
      <c r="I99" s="219"/>
      <c r="J99" s="219"/>
      <c r="K99" s="219"/>
      <c r="L99" s="221"/>
    </row>
    <row r="100" spans="1:75" ht="13.5" customHeight="1">
      <c r="A100" s="1" t="s">
        <v>266</v>
      </c>
      <c r="B100" s="2" t="s">
        <v>2629</v>
      </c>
      <c r="C100" s="2" t="s">
        <v>2770</v>
      </c>
      <c r="D100" s="147" t="s">
        <v>2771</v>
      </c>
      <c r="E100" s="148"/>
      <c r="F100" s="2" t="s">
        <v>123</v>
      </c>
      <c r="G100" s="55">
        <f>'Stavební rozpočet-vyplnit'!G1478</f>
        <v>5</v>
      </c>
      <c r="H100" s="55">
        <f>'Stavební rozpočet-vyplnit'!H1478</f>
        <v>0</v>
      </c>
      <c r="I100" s="55">
        <f>G100*H100</f>
        <v>0</v>
      </c>
      <c r="J100" s="55">
        <f>'Stavební rozpočet-vyplnit'!J1478</f>
        <v>0</v>
      </c>
      <c r="K100" s="55">
        <f>G100*J100</f>
        <v>0</v>
      </c>
      <c r="L100" s="57" t="s">
        <v>124</v>
      </c>
      <c r="Z100" s="55">
        <f>IF(AQ100="5",BJ100,0)</f>
        <v>0</v>
      </c>
      <c r="AB100" s="55">
        <f>IF(AQ100="1",BH100,0)</f>
        <v>0</v>
      </c>
      <c r="AC100" s="55">
        <f>IF(AQ100="1",BI100,0)</f>
        <v>0</v>
      </c>
      <c r="AD100" s="55">
        <f>IF(AQ100="7",BH100,0)</f>
        <v>0</v>
      </c>
      <c r="AE100" s="55">
        <f>IF(AQ100="7",BI100,0)</f>
        <v>0</v>
      </c>
      <c r="AF100" s="55">
        <f>IF(AQ100="2",BH100,0)</f>
        <v>0</v>
      </c>
      <c r="AG100" s="55">
        <f>IF(AQ100="2",BI100,0)</f>
        <v>0</v>
      </c>
      <c r="AH100" s="55">
        <f>IF(AQ100="0",BJ100,0)</f>
        <v>0</v>
      </c>
      <c r="AI100" s="34" t="s">
        <v>2629</v>
      </c>
      <c r="AJ100" s="55">
        <f>IF(AN100=0,I100,0)</f>
        <v>0</v>
      </c>
      <c r="AK100" s="55">
        <f>IF(AN100=12,I100,0)</f>
        <v>0</v>
      </c>
      <c r="AL100" s="55">
        <f>IF(AN100=21,I100,0)</f>
        <v>0</v>
      </c>
      <c r="AN100" s="55">
        <v>21</v>
      </c>
      <c r="AO100" s="55">
        <f>H100*0.84016157</f>
        <v>0</v>
      </c>
      <c r="AP100" s="55">
        <f>H100*(1-0.84016157)</f>
        <v>0</v>
      </c>
      <c r="AQ100" s="58" t="s">
        <v>125</v>
      </c>
      <c r="AV100" s="55">
        <f>AW100+AX100</f>
        <v>0</v>
      </c>
      <c r="AW100" s="55">
        <f>G100*AO100</f>
        <v>0</v>
      </c>
      <c r="AX100" s="55">
        <f>G100*AP100</f>
        <v>0</v>
      </c>
      <c r="AY100" s="58" t="s">
        <v>2699</v>
      </c>
      <c r="AZ100" s="58" t="s">
        <v>2633</v>
      </c>
      <c r="BA100" s="34" t="s">
        <v>2634</v>
      </c>
      <c r="BC100" s="55">
        <f>AW100+AX100</f>
        <v>0</v>
      </c>
      <c r="BD100" s="55">
        <f>H100/(100-BE100)*100</f>
        <v>0</v>
      </c>
      <c r="BE100" s="55">
        <v>0</v>
      </c>
      <c r="BF100" s="55">
        <f>K100</f>
        <v>0</v>
      </c>
      <c r="BH100" s="55">
        <f>G100*AO100</f>
        <v>0</v>
      </c>
      <c r="BI100" s="55">
        <f>G100*AP100</f>
        <v>0</v>
      </c>
      <c r="BJ100" s="55">
        <f>G100*H100</f>
        <v>0</v>
      </c>
      <c r="BK100" s="55"/>
      <c r="BL100" s="55"/>
      <c r="BW100" s="55">
        <v>21</v>
      </c>
    </row>
    <row r="101" spans="1:12" ht="13.5" customHeight="1">
      <c r="A101" s="59"/>
      <c r="D101" s="218" t="s">
        <v>129</v>
      </c>
      <c r="E101" s="219"/>
      <c r="F101" s="219"/>
      <c r="G101" s="219"/>
      <c r="H101" s="219"/>
      <c r="I101" s="219"/>
      <c r="J101" s="219"/>
      <c r="K101" s="219"/>
      <c r="L101" s="221"/>
    </row>
    <row r="102" spans="1:75" ht="13.5" customHeight="1">
      <c r="A102" s="1" t="s">
        <v>269</v>
      </c>
      <c r="B102" s="2" t="s">
        <v>2629</v>
      </c>
      <c r="C102" s="2" t="s">
        <v>2773</v>
      </c>
      <c r="D102" s="147" t="s">
        <v>2774</v>
      </c>
      <c r="E102" s="148"/>
      <c r="F102" s="2" t="s">
        <v>250</v>
      </c>
      <c r="G102" s="55">
        <f>'Stavební rozpočet-vyplnit'!G1480</f>
        <v>1</v>
      </c>
      <c r="H102" s="55">
        <f>'Stavební rozpočet-vyplnit'!H1480</f>
        <v>0</v>
      </c>
      <c r="I102" s="55">
        <f aca="true" t="shared" si="0" ref="I102:I107">G102*H102</f>
        <v>0</v>
      </c>
      <c r="J102" s="55">
        <f>'Stavební rozpočet-vyplnit'!J1480</f>
        <v>0</v>
      </c>
      <c r="K102" s="55">
        <f aca="true" t="shared" si="1" ref="K102:K107">G102*J102</f>
        <v>0</v>
      </c>
      <c r="L102" s="57" t="s">
        <v>124</v>
      </c>
      <c r="Z102" s="55">
        <f aca="true" t="shared" si="2" ref="Z102:Z107">IF(AQ102="5",BJ102,0)</f>
        <v>0</v>
      </c>
      <c r="AB102" s="55">
        <f aca="true" t="shared" si="3" ref="AB102:AB107">IF(AQ102="1",BH102,0)</f>
        <v>0</v>
      </c>
      <c r="AC102" s="55">
        <f aca="true" t="shared" si="4" ref="AC102:AC107">IF(AQ102="1",BI102,0)</f>
        <v>0</v>
      </c>
      <c r="AD102" s="55">
        <f aca="true" t="shared" si="5" ref="AD102:AD107">IF(AQ102="7",BH102,0)</f>
        <v>0</v>
      </c>
      <c r="AE102" s="55">
        <f aca="true" t="shared" si="6" ref="AE102:AE107">IF(AQ102="7",BI102,0)</f>
        <v>0</v>
      </c>
      <c r="AF102" s="55">
        <f aca="true" t="shared" si="7" ref="AF102:AF107">IF(AQ102="2",BH102,0)</f>
        <v>0</v>
      </c>
      <c r="AG102" s="55">
        <f aca="true" t="shared" si="8" ref="AG102:AG107">IF(AQ102="2",BI102,0)</f>
        <v>0</v>
      </c>
      <c r="AH102" s="55">
        <f aca="true" t="shared" si="9" ref="AH102:AH107">IF(AQ102="0",BJ102,0)</f>
        <v>0</v>
      </c>
      <c r="AI102" s="34" t="s">
        <v>2629</v>
      </c>
      <c r="AJ102" s="55">
        <f aca="true" t="shared" si="10" ref="AJ102:AJ107">IF(AN102=0,I102,0)</f>
        <v>0</v>
      </c>
      <c r="AK102" s="55">
        <f aca="true" t="shared" si="11" ref="AK102:AK107">IF(AN102=12,I102,0)</f>
        <v>0</v>
      </c>
      <c r="AL102" s="55">
        <f aca="true" t="shared" si="12" ref="AL102:AL107">IF(AN102=21,I102,0)</f>
        <v>0</v>
      </c>
      <c r="AN102" s="55">
        <v>21</v>
      </c>
      <c r="AO102" s="55">
        <f aca="true" t="shared" si="13" ref="AO102:AO107">H102*0</f>
        <v>0</v>
      </c>
      <c r="AP102" s="55">
        <f aca="true" t="shared" si="14" ref="AP102:AP107">H102*(1-0)</f>
        <v>0</v>
      </c>
      <c r="AQ102" s="58" t="s">
        <v>125</v>
      </c>
      <c r="AV102" s="55">
        <f aca="true" t="shared" si="15" ref="AV102:AV107">AW102+AX102</f>
        <v>0</v>
      </c>
      <c r="AW102" s="55">
        <f aca="true" t="shared" si="16" ref="AW102:AW107">G102*AO102</f>
        <v>0</v>
      </c>
      <c r="AX102" s="55">
        <f aca="true" t="shared" si="17" ref="AX102:AX107">G102*AP102</f>
        <v>0</v>
      </c>
      <c r="AY102" s="58" t="s">
        <v>2699</v>
      </c>
      <c r="AZ102" s="58" t="s">
        <v>2633</v>
      </c>
      <c r="BA102" s="34" t="s">
        <v>2634</v>
      </c>
      <c r="BC102" s="55">
        <f aca="true" t="shared" si="18" ref="BC102:BC107">AW102+AX102</f>
        <v>0</v>
      </c>
      <c r="BD102" s="55">
        <f aca="true" t="shared" si="19" ref="BD102:BD107">H102/(100-BE102)*100</f>
        <v>0</v>
      </c>
      <c r="BE102" s="55">
        <v>0</v>
      </c>
      <c r="BF102" s="55">
        <f aca="true" t="shared" si="20" ref="BF102:BF107">K102</f>
        <v>0</v>
      </c>
      <c r="BH102" s="55">
        <f aca="true" t="shared" si="21" ref="BH102:BH107">G102*AO102</f>
        <v>0</v>
      </c>
      <c r="BI102" s="55">
        <f aca="true" t="shared" si="22" ref="BI102:BI107">G102*AP102</f>
        <v>0</v>
      </c>
      <c r="BJ102" s="55">
        <f aca="true" t="shared" si="23" ref="BJ102:BJ107">G102*H102</f>
        <v>0</v>
      </c>
      <c r="BK102" s="55"/>
      <c r="BL102" s="55"/>
      <c r="BW102" s="55">
        <v>21</v>
      </c>
    </row>
    <row r="103" spans="1:75" ht="13.5" customHeight="1">
      <c r="A103" s="1" t="s">
        <v>273</v>
      </c>
      <c r="B103" s="2" t="s">
        <v>2629</v>
      </c>
      <c r="C103" s="2" t="s">
        <v>2776</v>
      </c>
      <c r="D103" s="147" t="s">
        <v>2777</v>
      </c>
      <c r="E103" s="148"/>
      <c r="F103" s="2" t="s">
        <v>250</v>
      </c>
      <c r="G103" s="55">
        <f>'Stavební rozpočet-vyplnit'!G1481</f>
        <v>1</v>
      </c>
      <c r="H103" s="55">
        <f>'Stavební rozpočet-vyplnit'!H1481</f>
        <v>0</v>
      </c>
      <c r="I103" s="55">
        <f t="shared" si="0"/>
        <v>0</v>
      </c>
      <c r="J103" s="55">
        <f>'Stavební rozpočet-vyplnit'!J1481</f>
        <v>0</v>
      </c>
      <c r="K103" s="55">
        <f t="shared" si="1"/>
        <v>0</v>
      </c>
      <c r="L103" s="57" t="s">
        <v>124</v>
      </c>
      <c r="Z103" s="55">
        <f t="shared" si="2"/>
        <v>0</v>
      </c>
      <c r="AB103" s="55">
        <f t="shared" si="3"/>
        <v>0</v>
      </c>
      <c r="AC103" s="55">
        <f t="shared" si="4"/>
        <v>0</v>
      </c>
      <c r="AD103" s="55">
        <f t="shared" si="5"/>
        <v>0</v>
      </c>
      <c r="AE103" s="55">
        <f t="shared" si="6"/>
        <v>0</v>
      </c>
      <c r="AF103" s="55">
        <f t="shared" si="7"/>
        <v>0</v>
      </c>
      <c r="AG103" s="55">
        <f t="shared" si="8"/>
        <v>0</v>
      </c>
      <c r="AH103" s="55">
        <f t="shared" si="9"/>
        <v>0</v>
      </c>
      <c r="AI103" s="34" t="s">
        <v>2629</v>
      </c>
      <c r="AJ103" s="55">
        <f t="shared" si="10"/>
        <v>0</v>
      </c>
      <c r="AK103" s="55">
        <f t="shared" si="11"/>
        <v>0</v>
      </c>
      <c r="AL103" s="55">
        <f t="shared" si="12"/>
        <v>0</v>
      </c>
      <c r="AN103" s="55">
        <v>21</v>
      </c>
      <c r="AO103" s="55">
        <f t="shared" si="13"/>
        <v>0</v>
      </c>
      <c r="AP103" s="55">
        <f t="shared" si="14"/>
        <v>0</v>
      </c>
      <c r="AQ103" s="58" t="s">
        <v>125</v>
      </c>
      <c r="AV103" s="55">
        <f t="shared" si="15"/>
        <v>0</v>
      </c>
      <c r="AW103" s="55">
        <f t="shared" si="16"/>
        <v>0</v>
      </c>
      <c r="AX103" s="55">
        <f t="shared" si="17"/>
        <v>0</v>
      </c>
      <c r="AY103" s="58" t="s">
        <v>2699</v>
      </c>
      <c r="AZ103" s="58" t="s">
        <v>2633</v>
      </c>
      <c r="BA103" s="34" t="s">
        <v>2634</v>
      </c>
      <c r="BC103" s="55">
        <f t="shared" si="18"/>
        <v>0</v>
      </c>
      <c r="BD103" s="55">
        <f t="shared" si="19"/>
        <v>0</v>
      </c>
      <c r="BE103" s="55">
        <v>0</v>
      </c>
      <c r="BF103" s="55">
        <f t="shared" si="20"/>
        <v>0</v>
      </c>
      <c r="BH103" s="55">
        <f t="shared" si="21"/>
        <v>0</v>
      </c>
      <c r="BI103" s="55">
        <f t="shared" si="22"/>
        <v>0</v>
      </c>
      <c r="BJ103" s="55">
        <f t="shared" si="23"/>
        <v>0</v>
      </c>
      <c r="BK103" s="55"/>
      <c r="BL103" s="55"/>
      <c r="BW103" s="55">
        <v>21</v>
      </c>
    </row>
    <row r="104" spans="1:75" ht="13.5" customHeight="1">
      <c r="A104" s="1" t="s">
        <v>277</v>
      </c>
      <c r="B104" s="2" t="s">
        <v>2629</v>
      </c>
      <c r="C104" s="2" t="s">
        <v>2779</v>
      </c>
      <c r="D104" s="147" t="s">
        <v>2780</v>
      </c>
      <c r="E104" s="148"/>
      <c r="F104" s="2" t="s">
        <v>250</v>
      </c>
      <c r="G104" s="55">
        <f>'Stavební rozpočet-vyplnit'!G1482</f>
        <v>1</v>
      </c>
      <c r="H104" s="55">
        <f>'Stavební rozpočet-vyplnit'!H1482</f>
        <v>0</v>
      </c>
      <c r="I104" s="55">
        <f t="shared" si="0"/>
        <v>0</v>
      </c>
      <c r="J104" s="55">
        <f>'Stavební rozpočet-vyplnit'!J1482</f>
        <v>0</v>
      </c>
      <c r="K104" s="55">
        <f t="shared" si="1"/>
        <v>0</v>
      </c>
      <c r="L104" s="57" t="s">
        <v>124</v>
      </c>
      <c r="Z104" s="55">
        <f t="shared" si="2"/>
        <v>0</v>
      </c>
      <c r="AB104" s="55">
        <f t="shared" si="3"/>
        <v>0</v>
      </c>
      <c r="AC104" s="55">
        <f t="shared" si="4"/>
        <v>0</v>
      </c>
      <c r="AD104" s="55">
        <f t="shared" si="5"/>
        <v>0</v>
      </c>
      <c r="AE104" s="55">
        <f t="shared" si="6"/>
        <v>0</v>
      </c>
      <c r="AF104" s="55">
        <f t="shared" si="7"/>
        <v>0</v>
      </c>
      <c r="AG104" s="55">
        <f t="shared" si="8"/>
        <v>0</v>
      </c>
      <c r="AH104" s="55">
        <f t="shared" si="9"/>
        <v>0</v>
      </c>
      <c r="AI104" s="34" t="s">
        <v>2629</v>
      </c>
      <c r="AJ104" s="55">
        <f t="shared" si="10"/>
        <v>0</v>
      </c>
      <c r="AK104" s="55">
        <f t="shared" si="11"/>
        <v>0</v>
      </c>
      <c r="AL104" s="55">
        <f t="shared" si="12"/>
        <v>0</v>
      </c>
      <c r="AN104" s="55">
        <v>21</v>
      </c>
      <c r="AO104" s="55">
        <f t="shared" si="13"/>
        <v>0</v>
      </c>
      <c r="AP104" s="55">
        <f t="shared" si="14"/>
        <v>0</v>
      </c>
      <c r="AQ104" s="58" t="s">
        <v>125</v>
      </c>
      <c r="AV104" s="55">
        <f t="shared" si="15"/>
        <v>0</v>
      </c>
      <c r="AW104" s="55">
        <f t="shared" si="16"/>
        <v>0</v>
      </c>
      <c r="AX104" s="55">
        <f t="shared" si="17"/>
        <v>0</v>
      </c>
      <c r="AY104" s="58" t="s">
        <v>2699</v>
      </c>
      <c r="AZ104" s="58" t="s">
        <v>2633</v>
      </c>
      <c r="BA104" s="34" t="s">
        <v>2634</v>
      </c>
      <c r="BC104" s="55">
        <f t="shared" si="18"/>
        <v>0</v>
      </c>
      <c r="BD104" s="55">
        <f t="shared" si="19"/>
        <v>0</v>
      </c>
      <c r="BE104" s="55">
        <v>0</v>
      </c>
      <c r="BF104" s="55">
        <f t="shared" si="20"/>
        <v>0</v>
      </c>
      <c r="BH104" s="55">
        <f t="shared" si="21"/>
        <v>0</v>
      </c>
      <c r="BI104" s="55">
        <f t="shared" si="22"/>
        <v>0</v>
      </c>
      <c r="BJ104" s="55">
        <f t="shared" si="23"/>
        <v>0</v>
      </c>
      <c r="BK104" s="55"/>
      <c r="BL104" s="55"/>
      <c r="BW104" s="55">
        <v>21</v>
      </c>
    </row>
    <row r="105" spans="1:75" ht="13.5" customHeight="1">
      <c r="A105" s="1" t="s">
        <v>280</v>
      </c>
      <c r="B105" s="2" t="s">
        <v>2629</v>
      </c>
      <c r="C105" s="2" t="s">
        <v>2782</v>
      </c>
      <c r="D105" s="147" t="s">
        <v>2783</v>
      </c>
      <c r="E105" s="148"/>
      <c r="F105" s="2" t="s">
        <v>250</v>
      </c>
      <c r="G105" s="55">
        <f>'Stavební rozpočet-vyplnit'!G1483</f>
        <v>1</v>
      </c>
      <c r="H105" s="55">
        <f>'Stavební rozpočet-vyplnit'!H1483</f>
        <v>0</v>
      </c>
      <c r="I105" s="55">
        <f t="shared" si="0"/>
        <v>0</v>
      </c>
      <c r="J105" s="55">
        <f>'Stavební rozpočet-vyplnit'!J1483</f>
        <v>0</v>
      </c>
      <c r="K105" s="55">
        <f t="shared" si="1"/>
        <v>0</v>
      </c>
      <c r="L105" s="57" t="s">
        <v>124</v>
      </c>
      <c r="Z105" s="55">
        <f t="shared" si="2"/>
        <v>0</v>
      </c>
      <c r="AB105" s="55">
        <f t="shared" si="3"/>
        <v>0</v>
      </c>
      <c r="AC105" s="55">
        <f t="shared" si="4"/>
        <v>0</v>
      </c>
      <c r="AD105" s="55">
        <f t="shared" si="5"/>
        <v>0</v>
      </c>
      <c r="AE105" s="55">
        <f t="shared" si="6"/>
        <v>0</v>
      </c>
      <c r="AF105" s="55">
        <f t="shared" si="7"/>
        <v>0</v>
      </c>
      <c r="AG105" s="55">
        <f t="shared" si="8"/>
        <v>0</v>
      </c>
      <c r="AH105" s="55">
        <f t="shared" si="9"/>
        <v>0</v>
      </c>
      <c r="AI105" s="34" t="s">
        <v>2629</v>
      </c>
      <c r="AJ105" s="55">
        <f t="shared" si="10"/>
        <v>0</v>
      </c>
      <c r="AK105" s="55">
        <f t="shared" si="11"/>
        <v>0</v>
      </c>
      <c r="AL105" s="55">
        <f t="shared" si="12"/>
        <v>0</v>
      </c>
      <c r="AN105" s="55">
        <v>21</v>
      </c>
      <c r="AO105" s="55">
        <f t="shared" si="13"/>
        <v>0</v>
      </c>
      <c r="AP105" s="55">
        <f t="shared" si="14"/>
        <v>0</v>
      </c>
      <c r="AQ105" s="58" t="s">
        <v>125</v>
      </c>
      <c r="AV105" s="55">
        <f t="shared" si="15"/>
        <v>0</v>
      </c>
      <c r="AW105" s="55">
        <f t="shared" si="16"/>
        <v>0</v>
      </c>
      <c r="AX105" s="55">
        <f t="shared" si="17"/>
        <v>0</v>
      </c>
      <c r="AY105" s="58" t="s">
        <v>2699</v>
      </c>
      <c r="AZ105" s="58" t="s">
        <v>2633</v>
      </c>
      <c r="BA105" s="34" t="s">
        <v>2634</v>
      </c>
      <c r="BC105" s="55">
        <f t="shared" si="18"/>
        <v>0</v>
      </c>
      <c r="BD105" s="55">
        <f t="shared" si="19"/>
        <v>0</v>
      </c>
      <c r="BE105" s="55">
        <v>0</v>
      </c>
      <c r="BF105" s="55">
        <f t="shared" si="20"/>
        <v>0</v>
      </c>
      <c r="BH105" s="55">
        <f t="shared" si="21"/>
        <v>0</v>
      </c>
      <c r="BI105" s="55">
        <f t="shared" si="22"/>
        <v>0</v>
      </c>
      <c r="BJ105" s="55">
        <f t="shared" si="23"/>
        <v>0</v>
      </c>
      <c r="BK105" s="55"/>
      <c r="BL105" s="55"/>
      <c r="BW105" s="55">
        <v>21</v>
      </c>
    </row>
    <row r="106" spans="1:75" ht="13.5" customHeight="1">
      <c r="A106" s="1" t="s">
        <v>283</v>
      </c>
      <c r="B106" s="2" t="s">
        <v>2629</v>
      </c>
      <c r="C106" s="2" t="s">
        <v>2785</v>
      </c>
      <c r="D106" s="147" t="s">
        <v>2786</v>
      </c>
      <c r="E106" s="148"/>
      <c r="F106" s="2" t="s">
        <v>250</v>
      </c>
      <c r="G106" s="55">
        <f>'Stavební rozpočet-vyplnit'!G1484</f>
        <v>1</v>
      </c>
      <c r="H106" s="55">
        <f>'Stavební rozpočet-vyplnit'!H1484</f>
        <v>0</v>
      </c>
      <c r="I106" s="55">
        <f t="shared" si="0"/>
        <v>0</v>
      </c>
      <c r="J106" s="55">
        <f>'Stavební rozpočet-vyplnit'!J1484</f>
        <v>0</v>
      </c>
      <c r="K106" s="55">
        <f t="shared" si="1"/>
        <v>0</v>
      </c>
      <c r="L106" s="57" t="s">
        <v>124</v>
      </c>
      <c r="Z106" s="55">
        <f t="shared" si="2"/>
        <v>0</v>
      </c>
      <c r="AB106" s="55">
        <f t="shared" si="3"/>
        <v>0</v>
      </c>
      <c r="AC106" s="55">
        <f t="shared" si="4"/>
        <v>0</v>
      </c>
      <c r="AD106" s="55">
        <f t="shared" si="5"/>
        <v>0</v>
      </c>
      <c r="AE106" s="55">
        <f t="shared" si="6"/>
        <v>0</v>
      </c>
      <c r="AF106" s="55">
        <f t="shared" si="7"/>
        <v>0</v>
      </c>
      <c r="AG106" s="55">
        <f t="shared" si="8"/>
        <v>0</v>
      </c>
      <c r="AH106" s="55">
        <f t="shared" si="9"/>
        <v>0</v>
      </c>
      <c r="AI106" s="34" t="s">
        <v>2629</v>
      </c>
      <c r="AJ106" s="55">
        <f t="shared" si="10"/>
        <v>0</v>
      </c>
      <c r="AK106" s="55">
        <f t="shared" si="11"/>
        <v>0</v>
      </c>
      <c r="AL106" s="55">
        <f t="shared" si="12"/>
        <v>0</v>
      </c>
      <c r="AN106" s="55">
        <v>21</v>
      </c>
      <c r="AO106" s="55">
        <f t="shared" si="13"/>
        <v>0</v>
      </c>
      <c r="AP106" s="55">
        <f t="shared" si="14"/>
        <v>0</v>
      </c>
      <c r="AQ106" s="58" t="s">
        <v>125</v>
      </c>
      <c r="AV106" s="55">
        <f t="shared" si="15"/>
        <v>0</v>
      </c>
      <c r="AW106" s="55">
        <f t="shared" si="16"/>
        <v>0</v>
      </c>
      <c r="AX106" s="55">
        <f t="shared" si="17"/>
        <v>0</v>
      </c>
      <c r="AY106" s="58" t="s">
        <v>2699</v>
      </c>
      <c r="AZ106" s="58" t="s">
        <v>2633</v>
      </c>
      <c r="BA106" s="34" t="s">
        <v>2634</v>
      </c>
      <c r="BC106" s="55">
        <f t="shared" si="18"/>
        <v>0</v>
      </c>
      <c r="BD106" s="55">
        <f t="shared" si="19"/>
        <v>0</v>
      </c>
      <c r="BE106" s="55">
        <v>0</v>
      </c>
      <c r="BF106" s="55">
        <f t="shared" si="20"/>
        <v>0</v>
      </c>
      <c r="BH106" s="55">
        <f t="shared" si="21"/>
        <v>0</v>
      </c>
      <c r="BI106" s="55">
        <f t="shared" si="22"/>
        <v>0</v>
      </c>
      <c r="BJ106" s="55">
        <f t="shared" si="23"/>
        <v>0</v>
      </c>
      <c r="BK106" s="55"/>
      <c r="BL106" s="55"/>
      <c r="BW106" s="55">
        <v>21</v>
      </c>
    </row>
    <row r="107" spans="1:75" ht="13.5" customHeight="1">
      <c r="A107" s="1" t="s">
        <v>286</v>
      </c>
      <c r="B107" s="2" t="s">
        <v>2629</v>
      </c>
      <c r="C107" s="2" t="s">
        <v>2788</v>
      </c>
      <c r="D107" s="147" t="s">
        <v>2789</v>
      </c>
      <c r="E107" s="148"/>
      <c r="F107" s="2" t="s">
        <v>250</v>
      </c>
      <c r="G107" s="55">
        <f>'Stavební rozpočet-vyplnit'!G1485</f>
        <v>1</v>
      </c>
      <c r="H107" s="55">
        <f>'Stavební rozpočet-vyplnit'!H1485</f>
        <v>0</v>
      </c>
      <c r="I107" s="55">
        <f t="shared" si="0"/>
        <v>0</v>
      </c>
      <c r="J107" s="55">
        <f>'Stavební rozpočet-vyplnit'!J1485</f>
        <v>0</v>
      </c>
      <c r="K107" s="55">
        <f t="shared" si="1"/>
        <v>0</v>
      </c>
      <c r="L107" s="57" t="s">
        <v>124</v>
      </c>
      <c r="Z107" s="55">
        <f t="shared" si="2"/>
        <v>0</v>
      </c>
      <c r="AB107" s="55">
        <f t="shared" si="3"/>
        <v>0</v>
      </c>
      <c r="AC107" s="55">
        <f t="shared" si="4"/>
        <v>0</v>
      </c>
      <c r="AD107" s="55">
        <f t="shared" si="5"/>
        <v>0</v>
      </c>
      <c r="AE107" s="55">
        <f t="shared" si="6"/>
        <v>0</v>
      </c>
      <c r="AF107" s="55">
        <f t="shared" si="7"/>
        <v>0</v>
      </c>
      <c r="AG107" s="55">
        <f t="shared" si="8"/>
        <v>0</v>
      </c>
      <c r="AH107" s="55">
        <f t="shared" si="9"/>
        <v>0</v>
      </c>
      <c r="AI107" s="34" t="s">
        <v>2629</v>
      </c>
      <c r="AJ107" s="55">
        <f t="shared" si="10"/>
        <v>0</v>
      </c>
      <c r="AK107" s="55">
        <f t="shared" si="11"/>
        <v>0</v>
      </c>
      <c r="AL107" s="55">
        <f t="shared" si="12"/>
        <v>0</v>
      </c>
      <c r="AN107" s="55">
        <v>21</v>
      </c>
      <c r="AO107" s="55">
        <f t="shared" si="13"/>
        <v>0</v>
      </c>
      <c r="AP107" s="55">
        <f t="shared" si="14"/>
        <v>0</v>
      </c>
      <c r="AQ107" s="58" t="s">
        <v>125</v>
      </c>
      <c r="AV107" s="55">
        <f t="shared" si="15"/>
        <v>0</v>
      </c>
      <c r="AW107" s="55">
        <f t="shared" si="16"/>
        <v>0</v>
      </c>
      <c r="AX107" s="55">
        <f t="shared" si="17"/>
        <v>0</v>
      </c>
      <c r="AY107" s="58" t="s">
        <v>2699</v>
      </c>
      <c r="AZ107" s="58" t="s">
        <v>2633</v>
      </c>
      <c r="BA107" s="34" t="s">
        <v>2634</v>
      </c>
      <c r="BC107" s="55">
        <f t="shared" si="18"/>
        <v>0</v>
      </c>
      <c r="BD107" s="55">
        <f t="shared" si="19"/>
        <v>0</v>
      </c>
      <c r="BE107" s="55">
        <v>0</v>
      </c>
      <c r="BF107" s="55">
        <f t="shared" si="20"/>
        <v>0</v>
      </c>
      <c r="BH107" s="55">
        <f t="shared" si="21"/>
        <v>0</v>
      </c>
      <c r="BI107" s="55">
        <f t="shared" si="22"/>
        <v>0</v>
      </c>
      <c r="BJ107" s="55">
        <f t="shared" si="23"/>
        <v>0</v>
      </c>
      <c r="BK107" s="55"/>
      <c r="BL107" s="55"/>
      <c r="BW107" s="55">
        <v>21</v>
      </c>
    </row>
    <row r="108" spans="1:47" ht="14.4">
      <c r="A108" s="50" t="s">
        <v>4</v>
      </c>
      <c r="B108" s="51" t="s">
        <v>2629</v>
      </c>
      <c r="C108" s="51" t="s">
        <v>2790</v>
      </c>
      <c r="D108" s="222" t="s">
        <v>2791</v>
      </c>
      <c r="E108" s="223"/>
      <c r="F108" s="52" t="s">
        <v>79</v>
      </c>
      <c r="G108" s="52" t="s">
        <v>79</v>
      </c>
      <c r="H108" s="52" t="s">
        <v>79</v>
      </c>
      <c r="I108" s="27">
        <f>SUM(I109:I197)</f>
        <v>0</v>
      </c>
      <c r="J108" s="34" t="s">
        <v>4</v>
      </c>
      <c r="K108" s="27">
        <f>SUM(K109:K197)</f>
        <v>0</v>
      </c>
      <c r="L108" s="54" t="s">
        <v>4</v>
      </c>
      <c r="AI108" s="34" t="s">
        <v>2629</v>
      </c>
      <c r="AS108" s="27">
        <f>SUM(AJ109:AJ197)</f>
        <v>0</v>
      </c>
      <c r="AT108" s="27">
        <f>SUM(AK109:AK197)</f>
        <v>0</v>
      </c>
      <c r="AU108" s="27">
        <f>SUM(AL109:AL197)</f>
        <v>0</v>
      </c>
    </row>
    <row r="109" spans="1:75" ht="27" customHeight="1">
      <c r="A109" s="1" t="s">
        <v>289</v>
      </c>
      <c r="B109" s="2" t="s">
        <v>2629</v>
      </c>
      <c r="C109" s="2" t="s">
        <v>2793</v>
      </c>
      <c r="D109" s="147" t="s">
        <v>2794</v>
      </c>
      <c r="E109" s="148"/>
      <c r="F109" s="2" t="s">
        <v>374</v>
      </c>
      <c r="G109" s="55">
        <f>'Stavební rozpočet-vyplnit'!G1487</f>
        <v>204</v>
      </c>
      <c r="H109" s="55">
        <f>'Stavební rozpočet-vyplnit'!H1487</f>
        <v>0</v>
      </c>
      <c r="I109" s="55">
        <f>G109*H109</f>
        <v>0</v>
      </c>
      <c r="J109" s="55">
        <f>'Stavební rozpočet-vyplnit'!J1487</f>
        <v>0</v>
      </c>
      <c r="K109" s="55">
        <f>G109*J109</f>
        <v>0</v>
      </c>
      <c r="L109" s="57" t="s">
        <v>124</v>
      </c>
      <c r="Z109" s="55">
        <f>IF(AQ109="5",BJ109,0)</f>
        <v>0</v>
      </c>
      <c r="AB109" s="55">
        <f>IF(AQ109="1",BH109,0)</f>
        <v>0</v>
      </c>
      <c r="AC109" s="55">
        <f>IF(AQ109="1",BI109,0)</f>
        <v>0</v>
      </c>
      <c r="AD109" s="55">
        <f>IF(AQ109="7",BH109,0)</f>
        <v>0</v>
      </c>
      <c r="AE109" s="55">
        <f>IF(AQ109="7",BI109,0)</f>
        <v>0</v>
      </c>
      <c r="AF109" s="55">
        <f>IF(AQ109="2",BH109,0)</f>
        <v>0</v>
      </c>
      <c r="AG109" s="55">
        <f>IF(AQ109="2",BI109,0)</f>
        <v>0</v>
      </c>
      <c r="AH109" s="55">
        <f>IF(AQ109="0",BJ109,0)</f>
        <v>0</v>
      </c>
      <c r="AI109" s="34" t="s">
        <v>2629</v>
      </c>
      <c r="AJ109" s="55">
        <f>IF(AN109=0,I109,0)</f>
        <v>0</v>
      </c>
      <c r="AK109" s="55">
        <f>IF(AN109=12,I109,0)</f>
        <v>0</v>
      </c>
      <c r="AL109" s="55">
        <f>IF(AN109=21,I109,0)</f>
        <v>0</v>
      </c>
      <c r="AN109" s="55">
        <v>21</v>
      </c>
      <c r="AO109" s="55">
        <f>H109*0</f>
        <v>0</v>
      </c>
      <c r="AP109" s="55">
        <f>H109*(1-0)</f>
        <v>0</v>
      </c>
      <c r="AQ109" s="58" t="s">
        <v>125</v>
      </c>
      <c r="AV109" s="55">
        <f>AW109+AX109</f>
        <v>0</v>
      </c>
      <c r="AW109" s="55">
        <f>G109*AO109</f>
        <v>0</v>
      </c>
      <c r="AX109" s="55">
        <f>G109*AP109</f>
        <v>0</v>
      </c>
      <c r="AY109" s="58" t="s">
        <v>2795</v>
      </c>
      <c r="AZ109" s="58" t="s">
        <v>2633</v>
      </c>
      <c r="BA109" s="34" t="s">
        <v>2634</v>
      </c>
      <c r="BC109" s="55">
        <f>AW109+AX109</f>
        <v>0</v>
      </c>
      <c r="BD109" s="55">
        <f>H109/(100-BE109)*100</f>
        <v>0</v>
      </c>
      <c r="BE109" s="55">
        <v>0</v>
      </c>
      <c r="BF109" s="55">
        <f>K109</f>
        <v>0</v>
      </c>
      <c r="BH109" s="55">
        <f>G109*AO109</f>
        <v>0</v>
      </c>
      <c r="BI109" s="55">
        <f>G109*AP109</f>
        <v>0</v>
      </c>
      <c r="BJ109" s="55">
        <f>G109*H109</f>
        <v>0</v>
      </c>
      <c r="BK109" s="55"/>
      <c r="BL109" s="55"/>
      <c r="BW109" s="55">
        <v>21</v>
      </c>
    </row>
    <row r="110" spans="1:12" ht="13.5" customHeight="1">
      <c r="A110" s="59"/>
      <c r="D110" s="218" t="s">
        <v>2796</v>
      </c>
      <c r="E110" s="219"/>
      <c r="F110" s="219"/>
      <c r="G110" s="219"/>
      <c r="H110" s="219"/>
      <c r="I110" s="219"/>
      <c r="J110" s="219"/>
      <c r="K110" s="219"/>
      <c r="L110" s="221"/>
    </row>
    <row r="111" spans="1:75" ht="13.5" customHeight="1">
      <c r="A111" s="1" t="s">
        <v>292</v>
      </c>
      <c r="B111" s="2" t="s">
        <v>2629</v>
      </c>
      <c r="C111" s="2" t="s">
        <v>2798</v>
      </c>
      <c r="D111" s="147" t="s">
        <v>2799</v>
      </c>
      <c r="E111" s="148"/>
      <c r="F111" s="2" t="s">
        <v>174</v>
      </c>
      <c r="G111" s="55">
        <f>'Stavební rozpočet-vyplnit'!G1489</f>
        <v>238</v>
      </c>
      <c r="H111" s="55">
        <f>'Stavební rozpočet-vyplnit'!H1489</f>
        <v>0</v>
      </c>
      <c r="I111" s="55">
        <f aca="true" t="shared" si="24" ref="I111:I117">G111*H111</f>
        <v>0</v>
      </c>
      <c r="J111" s="55">
        <f>'Stavební rozpočet-vyplnit'!J1489</f>
        <v>0</v>
      </c>
      <c r="K111" s="55">
        <f aca="true" t="shared" si="25" ref="K111:K117">G111*J111</f>
        <v>0</v>
      </c>
      <c r="L111" s="57" t="s">
        <v>124</v>
      </c>
      <c r="Z111" s="55">
        <f aca="true" t="shared" si="26" ref="Z111:Z117">IF(AQ111="5",BJ111,0)</f>
        <v>0</v>
      </c>
      <c r="AB111" s="55">
        <f aca="true" t="shared" si="27" ref="AB111:AB117">IF(AQ111="1",BH111,0)</f>
        <v>0</v>
      </c>
      <c r="AC111" s="55">
        <f aca="true" t="shared" si="28" ref="AC111:AC117">IF(AQ111="1",BI111,0)</f>
        <v>0</v>
      </c>
      <c r="AD111" s="55">
        <f aca="true" t="shared" si="29" ref="AD111:AD117">IF(AQ111="7",BH111,0)</f>
        <v>0</v>
      </c>
      <c r="AE111" s="55">
        <f aca="true" t="shared" si="30" ref="AE111:AE117">IF(AQ111="7",BI111,0)</f>
        <v>0</v>
      </c>
      <c r="AF111" s="55">
        <f aca="true" t="shared" si="31" ref="AF111:AF117">IF(AQ111="2",BH111,0)</f>
        <v>0</v>
      </c>
      <c r="AG111" s="55">
        <f aca="true" t="shared" si="32" ref="AG111:AG117">IF(AQ111="2",BI111,0)</f>
        <v>0</v>
      </c>
      <c r="AH111" s="55">
        <f aca="true" t="shared" si="33" ref="AH111:AH117">IF(AQ111="0",BJ111,0)</f>
        <v>0</v>
      </c>
      <c r="AI111" s="34" t="s">
        <v>2629</v>
      </c>
      <c r="AJ111" s="55">
        <f aca="true" t="shared" si="34" ref="AJ111:AJ117">IF(AN111=0,I111,0)</f>
        <v>0</v>
      </c>
      <c r="AK111" s="55">
        <f aca="true" t="shared" si="35" ref="AK111:AK117">IF(AN111=12,I111,0)</f>
        <v>0</v>
      </c>
      <c r="AL111" s="55">
        <f aca="true" t="shared" si="36" ref="AL111:AL117">IF(AN111=21,I111,0)</f>
        <v>0</v>
      </c>
      <c r="AN111" s="55">
        <v>21</v>
      </c>
      <c r="AO111" s="55">
        <f>H111*0</f>
        <v>0</v>
      </c>
      <c r="AP111" s="55">
        <f>H111*(1-0)</f>
        <v>0</v>
      </c>
      <c r="AQ111" s="58" t="s">
        <v>125</v>
      </c>
      <c r="AV111" s="55">
        <f aca="true" t="shared" si="37" ref="AV111:AV117">AW111+AX111</f>
        <v>0</v>
      </c>
      <c r="AW111" s="55">
        <f aca="true" t="shared" si="38" ref="AW111:AW117">G111*AO111</f>
        <v>0</v>
      </c>
      <c r="AX111" s="55">
        <f aca="true" t="shared" si="39" ref="AX111:AX117">G111*AP111</f>
        <v>0</v>
      </c>
      <c r="AY111" s="58" t="s">
        <v>2795</v>
      </c>
      <c r="AZ111" s="58" t="s">
        <v>2633</v>
      </c>
      <c r="BA111" s="34" t="s">
        <v>2634</v>
      </c>
      <c r="BC111" s="55">
        <f aca="true" t="shared" si="40" ref="BC111:BC117">AW111+AX111</f>
        <v>0</v>
      </c>
      <c r="BD111" s="55">
        <f aca="true" t="shared" si="41" ref="BD111:BD117">H111/(100-BE111)*100</f>
        <v>0</v>
      </c>
      <c r="BE111" s="55">
        <v>0</v>
      </c>
      <c r="BF111" s="55">
        <f aca="true" t="shared" si="42" ref="BF111:BF117">K111</f>
        <v>0</v>
      </c>
      <c r="BH111" s="55">
        <f aca="true" t="shared" si="43" ref="BH111:BH117">G111*AO111</f>
        <v>0</v>
      </c>
      <c r="BI111" s="55">
        <f aca="true" t="shared" si="44" ref="BI111:BI117">G111*AP111</f>
        <v>0</v>
      </c>
      <c r="BJ111" s="55">
        <f aca="true" t="shared" si="45" ref="BJ111:BJ117">G111*H111</f>
        <v>0</v>
      </c>
      <c r="BK111" s="55"/>
      <c r="BL111" s="55"/>
      <c r="BW111" s="55">
        <v>21</v>
      </c>
    </row>
    <row r="112" spans="1:75" ht="27" customHeight="1">
      <c r="A112" s="61" t="s">
        <v>295</v>
      </c>
      <c r="B112" s="62" t="s">
        <v>2629</v>
      </c>
      <c r="C112" s="62" t="s">
        <v>2801</v>
      </c>
      <c r="D112" s="224" t="s">
        <v>2802</v>
      </c>
      <c r="E112" s="225"/>
      <c r="F112" s="62" t="s">
        <v>2803</v>
      </c>
      <c r="G112" s="63">
        <f>'Stavební rozpočet-vyplnit'!G1490</f>
        <v>1</v>
      </c>
      <c r="H112" s="63">
        <f>'Stavební rozpočet-vyplnit'!H1490</f>
        <v>0</v>
      </c>
      <c r="I112" s="63">
        <f t="shared" si="24"/>
        <v>0</v>
      </c>
      <c r="J112" s="63">
        <f>'Stavební rozpočet-vyplnit'!J1490</f>
        <v>0</v>
      </c>
      <c r="K112" s="63">
        <f t="shared" si="25"/>
        <v>0</v>
      </c>
      <c r="L112" s="65" t="s">
        <v>124</v>
      </c>
      <c r="Z112" s="55">
        <f t="shared" si="26"/>
        <v>0</v>
      </c>
      <c r="AB112" s="55">
        <f t="shared" si="27"/>
        <v>0</v>
      </c>
      <c r="AC112" s="55">
        <f t="shared" si="28"/>
        <v>0</v>
      </c>
      <c r="AD112" s="55">
        <f t="shared" si="29"/>
        <v>0</v>
      </c>
      <c r="AE112" s="55">
        <f t="shared" si="30"/>
        <v>0</v>
      </c>
      <c r="AF112" s="55">
        <f t="shared" si="31"/>
        <v>0</v>
      </c>
      <c r="AG112" s="55">
        <f t="shared" si="32"/>
        <v>0</v>
      </c>
      <c r="AH112" s="55">
        <f t="shared" si="33"/>
        <v>0</v>
      </c>
      <c r="AI112" s="34" t="s">
        <v>2629</v>
      </c>
      <c r="AJ112" s="63">
        <f t="shared" si="34"/>
        <v>0</v>
      </c>
      <c r="AK112" s="63">
        <f t="shared" si="35"/>
        <v>0</v>
      </c>
      <c r="AL112" s="63">
        <f t="shared" si="36"/>
        <v>0</v>
      </c>
      <c r="AN112" s="55">
        <v>21</v>
      </c>
      <c r="AO112" s="55">
        <f>H112*1</f>
        <v>0</v>
      </c>
      <c r="AP112" s="55">
        <f>H112*(1-1)</f>
        <v>0</v>
      </c>
      <c r="AQ112" s="66" t="s">
        <v>125</v>
      </c>
      <c r="AV112" s="55">
        <f t="shared" si="37"/>
        <v>0</v>
      </c>
      <c r="AW112" s="55">
        <f t="shared" si="38"/>
        <v>0</v>
      </c>
      <c r="AX112" s="55">
        <f t="shared" si="39"/>
        <v>0</v>
      </c>
      <c r="AY112" s="58" t="s">
        <v>2795</v>
      </c>
      <c r="AZ112" s="58" t="s">
        <v>2633</v>
      </c>
      <c r="BA112" s="34" t="s">
        <v>2634</v>
      </c>
      <c r="BC112" s="55">
        <f t="shared" si="40"/>
        <v>0</v>
      </c>
      <c r="BD112" s="55">
        <f t="shared" si="41"/>
        <v>0</v>
      </c>
      <c r="BE112" s="55">
        <v>0</v>
      </c>
      <c r="BF112" s="55">
        <f t="shared" si="42"/>
        <v>0</v>
      </c>
      <c r="BH112" s="63">
        <f t="shared" si="43"/>
        <v>0</v>
      </c>
      <c r="BI112" s="63">
        <f t="shared" si="44"/>
        <v>0</v>
      </c>
      <c r="BJ112" s="63">
        <f t="shared" si="45"/>
        <v>0</v>
      </c>
      <c r="BK112" s="63"/>
      <c r="BL112" s="55"/>
      <c r="BW112" s="55">
        <v>21</v>
      </c>
    </row>
    <row r="113" spans="1:75" ht="27" customHeight="1">
      <c r="A113" s="1" t="s">
        <v>298</v>
      </c>
      <c r="B113" s="2" t="s">
        <v>2629</v>
      </c>
      <c r="C113" s="2" t="s">
        <v>2805</v>
      </c>
      <c r="D113" s="147" t="s">
        <v>2806</v>
      </c>
      <c r="E113" s="148"/>
      <c r="F113" s="2" t="s">
        <v>174</v>
      </c>
      <c r="G113" s="55">
        <f>'Stavební rozpočet-vyplnit'!G1491</f>
        <v>80</v>
      </c>
      <c r="H113" s="55">
        <f>'Stavební rozpočet-vyplnit'!H1491</f>
        <v>0</v>
      </c>
      <c r="I113" s="55">
        <f t="shared" si="24"/>
        <v>0</v>
      </c>
      <c r="J113" s="55">
        <f>'Stavební rozpočet-vyplnit'!J1491</f>
        <v>0</v>
      </c>
      <c r="K113" s="55">
        <f t="shared" si="25"/>
        <v>0</v>
      </c>
      <c r="L113" s="57" t="s">
        <v>124</v>
      </c>
      <c r="Z113" s="55">
        <f t="shared" si="26"/>
        <v>0</v>
      </c>
      <c r="AB113" s="55">
        <f t="shared" si="27"/>
        <v>0</v>
      </c>
      <c r="AC113" s="55">
        <f t="shared" si="28"/>
        <v>0</v>
      </c>
      <c r="AD113" s="55">
        <f t="shared" si="29"/>
        <v>0</v>
      </c>
      <c r="AE113" s="55">
        <f t="shared" si="30"/>
        <v>0</v>
      </c>
      <c r="AF113" s="55">
        <f t="shared" si="31"/>
        <v>0</v>
      </c>
      <c r="AG113" s="55">
        <f t="shared" si="32"/>
        <v>0</v>
      </c>
      <c r="AH113" s="55">
        <f t="shared" si="33"/>
        <v>0</v>
      </c>
      <c r="AI113" s="34" t="s">
        <v>2629</v>
      </c>
      <c r="AJ113" s="55">
        <f t="shared" si="34"/>
        <v>0</v>
      </c>
      <c r="AK113" s="55">
        <f t="shared" si="35"/>
        <v>0</v>
      </c>
      <c r="AL113" s="55">
        <f t="shared" si="36"/>
        <v>0</v>
      </c>
      <c r="AN113" s="55">
        <v>21</v>
      </c>
      <c r="AO113" s="55">
        <f>H113*0</f>
        <v>0</v>
      </c>
      <c r="AP113" s="55">
        <f>H113*(1-0)</f>
        <v>0</v>
      </c>
      <c r="AQ113" s="58" t="s">
        <v>125</v>
      </c>
      <c r="AV113" s="55">
        <f t="shared" si="37"/>
        <v>0</v>
      </c>
      <c r="AW113" s="55">
        <f t="shared" si="38"/>
        <v>0</v>
      </c>
      <c r="AX113" s="55">
        <f t="shared" si="39"/>
        <v>0</v>
      </c>
      <c r="AY113" s="58" t="s">
        <v>2795</v>
      </c>
      <c r="AZ113" s="58" t="s">
        <v>2633</v>
      </c>
      <c r="BA113" s="34" t="s">
        <v>2634</v>
      </c>
      <c r="BC113" s="55">
        <f t="shared" si="40"/>
        <v>0</v>
      </c>
      <c r="BD113" s="55">
        <f t="shared" si="41"/>
        <v>0</v>
      </c>
      <c r="BE113" s="55">
        <v>0</v>
      </c>
      <c r="BF113" s="55">
        <f t="shared" si="42"/>
        <v>0</v>
      </c>
      <c r="BH113" s="55">
        <f t="shared" si="43"/>
        <v>0</v>
      </c>
      <c r="BI113" s="55">
        <f t="shared" si="44"/>
        <v>0</v>
      </c>
      <c r="BJ113" s="55">
        <f t="shared" si="45"/>
        <v>0</v>
      </c>
      <c r="BK113" s="55"/>
      <c r="BL113" s="55"/>
      <c r="BW113" s="55">
        <v>21</v>
      </c>
    </row>
    <row r="114" spans="1:75" ht="13.5" customHeight="1">
      <c r="A114" s="61" t="s">
        <v>301</v>
      </c>
      <c r="B114" s="62" t="s">
        <v>2629</v>
      </c>
      <c r="C114" s="62" t="s">
        <v>2808</v>
      </c>
      <c r="D114" s="224" t="s">
        <v>2809</v>
      </c>
      <c r="E114" s="225"/>
      <c r="F114" s="62" t="s">
        <v>174</v>
      </c>
      <c r="G114" s="63">
        <f>'Stavební rozpočet-vyplnit'!G1492</f>
        <v>80</v>
      </c>
      <c r="H114" s="63">
        <f>'Stavební rozpočet-vyplnit'!H1492</f>
        <v>0</v>
      </c>
      <c r="I114" s="63">
        <f t="shared" si="24"/>
        <v>0</v>
      </c>
      <c r="J114" s="63">
        <f>'Stavební rozpočet-vyplnit'!J1492</f>
        <v>0</v>
      </c>
      <c r="K114" s="63">
        <f t="shared" si="25"/>
        <v>0</v>
      </c>
      <c r="L114" s="65" t="s">
        <v>124</v>
      </c>
      <c r="Z114" s="55">
        <f t="shared" si="26"/>
        <v>0</v>
      </c>
      <c r="AB114" s="55">
        <f t="shared" si="27"/>
        <v>0</v>
      </c>
      <c r="AC114" s="55">
        <f t="shared" si="28"/>
        <v>0</v>
      </c>
      <c r="AD114" s="55">
        <f t="shared" si="29"/>
        <v>0</v>
      </c>
      <c r="AE114" s="55">
        <f t="shared" si="30"/>
        <v>0</v>
      </c>
      <c r="AF114" s="55">
        <f t="shared" si="31"/>
        <v>0</v>
      </c>
      <c r="AG114" s="55">
        <f t="shared" si="32"/>
        <v>0</v>
      </c>
      <c r="AH114" s="55">
        <f t="shared" si="33"/>
        <v>0</v>
      </c>
      <c r="AI114" s="34" t="s">
        <v>2629</v>
      </c>
      <c r="AJ114" s="63">
        <f t="shared" si="34"/>
        <v>0</v>
      </c>
      <c r="AK114" s="63">
        <f t="shared" si="35"/>
        <v>0</v>
      </c>
      <c r="AL114" s="63">
        <f t="shared" si="36"/>
        <v>0</v>
      </c>
      <c r="AN114" s="55">
        <v>21</v>
      </c>
      <c r="AO114" s="55">
        <f>H114*1</f>
        <v>0</v>
      </c>
      <c r="AP114" s="55">
        <f>H114*(1-1)</f>
        <v>0</v>
      </c>
      <c r="AQ114" s="66" t="s">
        <v>125</v>
      </c>
      <c r="AV114" s="55">
        <f t="shared" si="37"/>
        <v>0</v>
      </c>
      <c r="AW114" s="55">
        <f t="shared" si="38"/>
        <v>0</v>
      </c>
      <c r="AX114" s="55">
        <f t="shared" si="39"/>
        <v>0</v>
      </c>
      <c r="AY114" s="58" t="s">
        <v>2795</v>
      </c>
      <c r="AZ114" s="58" t="s">
        <v>2633</v>
      </c>
      <c r="BA114" s="34" t="s">
        <v>2634</v>
      </c>
      <c r="BC114" s="55">
        <f t="shared" si="40"/>
        <v>0</v>
      </c>
      <c r="BD114" s="55">
        <f t="shared" si="41"/>
        <v>0</v>
      </c>
      <c r="BE114" s="55">
        <v>0</v>
      </c>
      <c r="BF114" s="55">
        <f t="shared" si="42"/>
        <v>0</v>
      </c>
      <c r="BH114" s="63">
        <f t="shared" si="43"/>
        <v>0</v>
      </c>
      <c r="BI114" s="63">
        <f t="shared" si="44"/>
        <v>0</v>
      </c>
      <c r="BJ114" s="63">
        <f t="shared" si="45"/>
        <v>0</v>
      </c>
      <c r="BK114" s="63"/>
      <c r="BL114" s="55"/>
      <c r="BW114" s="55">
        <v>21</v>
      </c>
    </row>
    <row r="115" spans="1:75" ht="27" customHeight="1">
      <c r="A115" s="1" t="s">
        <v>304</v>
      </c>
      <c r="B115" s="2" t="s">
        <v>2629</v>
      </c>
      <c r="C115" s="2" t="s">
        <v>2811</v>
      </c>
      <c r="D115" s="147" t="s">
        <v>2806</v>
      </c>
      <c r="E115" s="148"/>
      <c r="F115" s="2" t="s">
        <v>174</v>
      </c>
      <c r="G115" s="55">
        <f>'Stavební rozpočet-vyplnit'!G1493</f>
        <v>51</v>
      </c>
      <c r="H115" s="55">
        <f>'Stavební rozpočet-vyplnit'!H1493</f>
        <v>0</v>
      </c>
      <c r="I115" s="55">
        <f t="shared" si="24"/>
        <v>0</v>
      </c>
      <c r="J115" s="55">
        <f>'Stavební rozpočet-vyplnit'!J1493</f>
        <v>0</v>
      </c>
      <c r="K115" s="55">
        <f t="shared" si="25"/>
        <v>0</v>
      </c>
      <c r="L115" s="57" t="s">
        <v>124</v>
      </c>
      <c r="Z115" s="55">
        <f t="shared" si="26"/>
        <v>0</v>
      </c>
      <c r="AB115" s="55">
        <f t="shared" si="27"/>
        <v>0</v>
      </c>
      <c r="AC115" s="55">
        <f t="shared" si="28"/>
        <v>0</v>
      </c>
      <c r="AD115" s="55">
        <f t="shared" si="29"/>
        <v>0</v>
      </c>
      <c r="AE115" s="55">
        <f t="shared" si="30"/>
        <v>0</v>
      </c>
      <c r="AF115" s="55">
        <f t="shared" si="31"/>
        <v>0</v>
      </c>
      <c r="AG115" s="55">
        <f t="shared" si="32"/>
        <v>0</v>
      </c>
      <c r="AH115" s="55">
        <f t="shared" si="33"/>
        <v>0</v>
      </c>
      <c r="AI115" s="34" t="s">
        <v>2629</v>
      </c>
      <c r="AJ115" s="55">
        <f t="shared" si="34"/>
        <v>0</v>
      </c>
      <c r="AK115" s="55">
        <f t="shared" si="35"/>
        <v>0</v>
      </c>
      <c r="AL115" s="55">
        <f t="shared" si="36"/>
        <v>0</v>
      </c>
      <c r="AN115" s="55">
        <v>21</v>
      </c>
      <c r="AO115" s="55">
        <f>H115*0</f>
        <v>0</v>
      </c>
      <c r="AP115" s="55">
        <f>H115*(1-0)</f>
        <v>0</v>
      </c>
      <c r="AQ115" s="58" t="s">
        <v>125</v>
      </c>
      <c r="AV115" s="55">
        <f t="shared" si="37"/>
        <v>0</v>
      </c>
      <c r="AW115" s="55">
        <f t="shared" si="38"/>
        <v>0</v>
      </c>
      <c r="AX115" s="55">
        <f t="shared" si="39"/>
        <v>0</v>
      </c>
      <c r="AY115" s="58" t="s">
        <v>2795</v>
      </c>
      <c r="AZ115" s="58" t="s">
        <v>2633</v>
      </c>
      <c r="BA115" s="34" t="s">
        <v>2634</v>
      </c>
      <c r="BC115" s="55">
        <f t="shared" si="40"/>
        <v>0</v>
      </c>
      <c r="BD115" s="55">
        <f t="shared" si="41"/>
        <v>0</v>
      </c>
      <c r="BE115" s="55">
        <v>0</v>
      </c>
      <c r="BF115" s="55">
        <f t="shared" si="42"/>
        <v>0</v>
      </c>
      <c r="BH115" s="55">
        <f t="shared" si="43"/>
        <v>0</v>
      </c>
      <c r="BI115" s="55">
        <f t="shared" si="44"/>
        <v>0</v>
      </c>
      <c r="BJ115" s="55">
        <f t="shared" si="45"/>
        <v>0</v>
      </c>
      <c r="BK115" s="55"/>
      <c r="BL115" s="55"/>
      <c r="BW115" s="55">
        <v>21</v>
      </c>
    </row>
    <row r="116" spans="1:75" ht="13.5" customHeight="1">
      <c r="A116" s="61" t="s">
        <v>307</v>
      </c>
      <c r="B116" s="62" t="s">
        <v>2629</v>
      </c>
      <c r="C116" s="62" t="s">
        <v>2813</v>
      </c>
      <c r="D116" s="224" t="s">
        <v>2814</v>
      </c>
      <c r="E116" s="225"/>
      <c r="F116" s="62" t="s">
        <v>2815</v>
      </c>
      <c r="G116" s="63">
        <f>'Stavební rozpočet-vyplnit'!G1494</f>
        <v>51</v>
      </c>
      <c r="H116" s="63">
        <f>'Stavební rozpočet-vyplnit'!H1494</f>
        <v>0</v>
      </c>
      <c r="I116" s="63">
        <f t="shared" si="24"/>
        <v>0</v>
      </c>
      <c r="J116" s="63">
        <f>'Stavební rozpočet-vyplnit'!J1494</f>
        <v>0</v>
      </c>
      <c r="K116" s="63">
        <f t="shared" si="25"/>
        <v>0</v>
      </c>
      <c r="L116" s="65" t="s">
        <v>124</v>
      </c>
      <c r="Z116" s="55">
        <f t="shared" si="26"/>
        <v>0</v>
      </c>
      <c r="AB116" s="55">
        <f t="shared" si="27"/>
        <v>0</v>
      </c>
      <c r="AC116" s="55">
        <f t="shared" si="28"/>
        <v>0</v>
      </c>
      <c r="AD116" s="55">
        <f t="shared" si="29"/>
        <v>0</v>
      </c>
      <c r="AE116" s="55">
        <f t="shared" si="30"/>
        <v>0</v>
      </c>
      <c r="AF116" s="55">
        <f t="shared" si="31"/>
        <v>0</v>
      </c>
      <c r="AG116" s="55">
        <f t="shared" si="32"/>
        <v>0</v>
      </c>
      <c r="AH116" s="55">
        <f t="shared" si="33"/>
        <v>0</v>
      </c>
      <c r="AI116" s="34" t="s">
        <v>2629</v>
      </c>
      <c r="AJ116" s="63">
        <f t="shared" si="34"/>
        <v>0</v>
      </c>
      <c r="AK116" s="63">
        <f t="shared" si="35"/>
        <v>0</v>
      </c>
      <c r="AL116" s="63">
        <f t="shared" si="36"/>
        <v>0</v>
      </c>
      <c r="AN116" s="55">
        <v>21</v>
      </c>
      <c r="AO116" s="55">
        <f>H116*1</f>
        <v>0</v>
      </c>
      <c r="AP116" s="55">
        <f>H116*(1-1)</f>
        <v>0</v>
      </c>
      <c r="AQ116" s="66" t="s">
        <v>125</v>
      </c>
      <c r="AV116" s="55">
        <f t="shared" si="37"/>
        <v>0</v>
      </c>
      <c r="AW116" s="55">
        <f t="shared" si="38"/>
        <v>0</v>
      </c>
      <c r="AX116" s="55">
        <f t="shared" si="39"/>
        <v>0</v>
      </c>
      <c r="AY116" s="58" t="s">
        <v>2795</v>
      </c>
      <c r="AZ116" s="58" t="s">
        <v>2633</v>
      </c>
      <c r="BA116" s="34" t="s">
        <v>2634</v>
      </c>
      <c r="BC116" s="55">
        <f t="shared" si="40"/>
        <v>0</v>
      </c>
      <c r="BD116" s="55">
        <f t="shared" si="41"/>
        <v>0</v>
      </c>
      <c r="BE116" s="55">
        <v>0</v>
      </c>
      <c r="BF116" s="55">
        <f t="shared" si="42"/>
        <v>0</v>
      </c>
      <c r="BH116" s="63">
        <f t="shared" si="43"/>
        <v>0</v>
      </c>
      <c r="BI116" s="63">
        <f t="shared" si="44"/>
        <v>0</v>
      </c>
      <c r="BJ116" s="63">
        <f t="shared" si="45"/>
        <v>0</v>
      </c>
      <c r="BK116" s="63"/>
      <c r="BL116" s="55"/>
      <c r="BW116" s="55">
        <v>21</v>
      </c>
    </row>
    <row r="117" spans="1:75" ht="13.5" customHeight="1">
      <c r="A117" s="1" t="s">
        <v>310</v>
      </c>
      <c r="B117" s="2" t="s">
        <v>2629</v>
      </c>
      <c r="C117" s="2" t="s">
        <v>2817</v>
      </c>
      <c r="D117" s="147" t="s">
        <v>2818</v>
      </c>
      <c r="E117" s="148"/>
      <c r="F117" s="2" t="s">
        <v>360</v>
      </c>
      <c r="G117" s="55">
        <f>'Stavební rozpočet-vyplnit'!G1495</f>
        <v>12</v>
      </c>
      <c r="H117" s="55">
        <f>'Stavební rozpočet-vyplnit'!H1495</f>
        <v>0</v>
      </c>
      <c r="I117" s="55">
        <f t="shared" si="24"/>
        <v>0</v>
      </c>
      <c r="J117" s="55">
        <f>'Stavební rozpočet-vyplnit'!J1495</f>
        <v>0</v>
      </c>
      <c r="K117" s="55">
        <f t="shared" si="25"/>
        <v>0</v>
      </c>
      <c r="L117" s="57" t="s">
        <v>124</v>
      </c>
      <c r="Z117" s="55">
        <f t="shared" si="26"/>
        <v>0</v>
      </c>
      <c r="AB117" s="55">
        <f t="shared" si="27"/>
        <v>0</v>
      </c>
      <c r="AC117" s="55">
        <f t="shared" si="28"/>
        <v>0</v>
      </c>
      <c r="AD117" s="55">
        <f t="shared" si="29"/>
        <v>0</v>
      </c>
      <c r="AE117" s="55">
        <f t="shared" si="30"/>
        <v>0</v>
      </c>
      <c r="AF117" s="55">
        <f t="shared" si="31"/>
        <v>0</v>
      </c>
      <c r="AG117" s="55">
        <f t="shared" si="32"/>
        <v>0</v>
      </c>
      <c r="AH117" s="55">
        <f t="shared" si="33"/>
        <v>0</v>
      </c>
      <c r="AI117" s="34" t="s">
        <v>2629</v>
      </c>
      <c r="AJ117" s="55">
        <f t="shared" si="34"/>
        <v>0</v>
      </c>
      <c r="AK117" s="55">
        <f t="shared" si="35"/>
        <v>0</v>
      </c>
      <c r="AL117" s="55">
        <f t="shared" si="36"/>
        <v>0</v>
      </c>
      <c r="AN117" s="55">
        <v>21</v>
      </c>
      <c r="AO117" s="55">
        <f>H117*0</f>
        <v>0</v>
      </c>
      <c r="AP117" s="55">
        <f>H117*(1-0)</f>
        <v>0</v>
      </c>
      <c r="AQ117" s="58" t="s">
        <v>125</v>
      </c>
      <c r="AV117" s="55">
        <f t="shared" si="37"/>
        <v>0</v>
      </c>
      <c r="AW117" s="55">
        <f t="shared" si="38"/>
        <v>0</v>
      </c>
      <c r="AX117" s="55">
        <f t="shared" si="39"/>
        <v>0</v>
      </c>
      <c r="AY117" s="58" t="s">
        <v>2795</v>
      </c>
      <c r="AZ117" s="58" t="s">
        <v>2633</v>
      </c>
      <c r="BA117" s="34" t="s">
        <v>2634</v>
      </c>
      <c r="BC117" s="55">
        <f t="shared" si="40"/>
        <v>0</v>
      </c>
      <c r="BD117" s="55">
        <f t="shared" si="41"/>
        <v>0</v>
      </c>
      <c r="BE117" s="55">
        <v>0</v>
      </c>
      <c r="BF117" s="55">
        <f t="shared" si="42"/>
        <v>0</v>
      </c>
      <c r="BH117" s="55">
        <f t="shared" si="43"/>
        <v>0</v>
      </c>
      <c r="BI117" s="55">
        <f t="shared" si="44"/>
        <v>0</v>
      </c>
      <c r="BJ117" s="55">
        <f t="shared" si="45"/>
        <v>0</v>
      </c>
      <c r="BK117" s="55"/>
      <c r="BL117" s="55"/>
      <c r="BW117" s="55">
        <v>21</v>
      </c>
    </row>
    <row r="118" spans="1:12" ht="13.5" customHeight="1">
      <c r="A118" s="59"/>
      <c r="D118" s="218" t="s">
        <v>2819</v>
      </c>
      <c r="E118" s="219"/>
      <c r="F118" s="219"/>
      <c r="G118" s="219"/>
      <c r="H118" s="219"/>
      <c r="I118" s="219"/>
      <c r="J118" s="219"/>
      <c r="K118" s="219"/>
      <c r="L118" s="221"/>
    </row>
    <row r="119" spans="1:75" ht="27" customHeight="1">
      <c r="A119" s="1" t="s">
        <v>313</v>
      </c>
      <c r="B119" s="2" t="s">
        <v>2629</v>
      </c>
      <c r="C119" s="2" t="s">
        <v>2821</v>
      </c>
      <c r="D119" s="147" t="s">
        <v>2822</v>
      </c>
      <c r="E119" s="148"/>
      <c r="F119" s="2" t="s">
        <v>374</v>
      </c>
      <c r="G119" s="55">
        <f>'Stavební rozpočet-vyplnit'!G1497</f>
        <v>51</v>
      </c>
      <c r="H119" s="55">
        <f>'Stavební rozpočet-vyplnit'!H1497</f>
        <v>0</v>
      </c>
      <c r="I119" s="55">
        <f aca="true" t="shared" si="46" ref="I119:I129">G119*H119</f>
        <v>0</v>
      </c>
      <c r="J119" s="55">
        <f>'Stavební rozpočet-vyplnit'!J1497</f>
        <v>0</v>
      </c>
      <c r="K119" s="55">
        <f aca="true" t="shared" si="47" ref="K119:K129">G119*J119</f>
        <v>0</v>
      </c>
      <c r="L119" s="57" t="s">
        <v>124</v>
      </c>
      <c r="Z119" s="55">
        <f aca="true" t="shared" si="48" ref="Z119:Z129">IF(AQ119="5",BJ119,0)</f>
        <v>0</v>
      </c>
      <c r="AB119" s="55">
        <f aca="true" t="shared" si="49" ref="AB119:AB129">IF(AQ119="1",BH119,0)</f>
        <v>0</v>
      </c>
      <c r="AC119" s="55">
        <f aca="true" t="shared" si="50" ref="AC119:AC129">IF(AQ119="1",BI119,0)</f>
        <v>0</v>
      </c>
      <c r="AD119" s="55">
        <f aca="true" t="shared" si="51" ref="AD119:AD129">IF(AQ119="7",BH119,0)</f>
        <v>0</v>
      </c>
      <c r="AE119" s="55">
        <f aca="true" t="shared" si="52" ref="AE119:AE129">IF(AQ119="7",BI119,0)</f>
        <v>0</v>
      </c>
      <c r="AF119" s="55">
        <f aca="true" t="shared" si="53" ref="AF119:AF129">IF(AQ119="2",BH119,0)</f>
        <v>0</v>
      </c>
      <c r="AG119" s="55">
        <f aca="true" t="shared" si="54" ref="AG119:AG129">IF(AQ119="2",BI119,0)</f>
        <v>0</v>
      </c>
      <c r="AH119" s="55">
        <f aca="true" t="shared" si="55" ref="AH119:AH129">IF(AQ119="0",BJ119,0)</f>
        <v>0</v>
      </c>
      <c r="AI119" s="34" t="s">
        <v>2629</v>
      </c>
      <c r="AJ119" s="55">
        <f aca="true" t="shared" si="56" ref="AJ119:AJ129">IF(AN119=0,I119,0)</f>
        <v>0</v>
      </c>
      <c r="AK119" s="55">
        <f aca="true" t="shared" si="57" ref="AK119:AK129">IF(AN119=12,I119,0)</f>
        <v>0</v>
      </c>
      <c r="AL119" s="55">
        <f aca="true" t="shared" si="58" ref="AL119:AL129">IF(AN119=21,I119,0)</f>
        <v>0</v>
      </c>
      <c r="AN119" s="55">
        <v>21</v>
      </c>
      <c r="AO119" s="55">
        <f>H119*0</f>
        <v>0</v>
      </c>
      <c r="AP119" s="55">
        <f>H119*(1-0)</f>
        <v>0</v>
      </c>
      <c r="AQ119" s="58" t="s">
        <v>125</v>
      </c>
      <c r="AV119" s="55">
        <f aca="true" t="shared" si="59" ref="AV119:AV129">AW119+AX119</f>
        <v>0</v>
      </c>
      <c r="AW119" s="55">
        <f aca="true" t="shared" si="60" ref="AW119:AW129">G119*AO119</f>
        <v>0</v>
      </c>
      <c r="AX119" s="55">
        <f aca="true" t="shared" si="61" ref="AX119:AX129">G119*AP119</f>
        <v>0</v>
      </c>
      <c r="AY119" s="58" t="s">
        <v>2795</v>
      </c>
      <c r="AZ119" s="58" t="s">
        <v>2633</v>
      </c>
      <c r="BA119" s="34" t="s">
        <v>2634</v>
      </c>
      <c r="BC119" s="55">
        <f aca="true" t="shared" si="62" ref="BC119:BC129">AW119+AX119</f>
        <v>0</v>
      </c>
      <c r="BD119" s="55">
        <f aca="true" t="shared" si="63" ref="BD119:BD129">H119/(100-BE119)*100</f>
        <v>0</v>
      </c>
      <c r="BE119" s="55">
        <v>0</v>
      </c>
      <c r="BF119" s="55">
        <f aca="true" t="shared" si="64" ref="BF119:BF129">K119</f>
        <v>0</v>
      </c>
      <c r="BH119" s="55">
        <f aca="true" t="shared" si="65" ref="BH119:BH129">G119*AO119</f>
        <v>0</v>
      </c>
      <c r="BI119" s="55">
        <f aca="true" t="shared" si="66" ref="BI119:BI129">G119*AP119</f>
        <v>0</v>
      </c>
      <c r="BJ119" s="55">
        <f aca="true" t="shared" si="67" ref="BJ119:BJ129">G119*H119</f>
        <v>0</v>
      </c>
      <c r="BK119" s="55"/>
      <c r="BL119" s="55"/>
      <c r="BW119" s="55">
        <v>21</v>
      </c>
    </row>
    <row r="120" spans="1:75" ht="27" customHeight="1">
      <c r="A120" s="61" t="s">
        <v>316</v>
      </c>
      <c r="B120" s="62" t="s">
        <v>2629</v>
      </c>
      <c r="C120" s="62" t="s">
        <v>2824</v>
      </c>
      <c r="D120" s="224" t="s">
        <v>2825</v>
      </c>
      <c r="E120" s="225"/>
      <c r="F120" s="62" t="s">
        <v>374</v>
      </c>
      <c r="G120" s="63">
        <f>'Stavební rozpočet-vyplnit'!G1498</f>
        <v>51</v>
      </c>
      <c r="H120" s="63">
        <f>'Stavební rozpočet-vyplnit'!H1498</f>
        <v>0</v>
      </c>
      <c r="I120" s="63">
        <f t="shared" si="46"/>
        <v>0</v>
      </c>
      <c r="J120" s="63">
        <f>'Stavební rozpočet-vyplnit'!J1498</f>
        <v>0</v>
      </c>
      <c r="K120" s="63">
        <f t="shared" si="47"/>
        <v>0</v>
      </c>
      <c r="L120" s="65" t="s">
        <v>124</v>
      </c>
      <c r="Z120" s="55">
        <f t="shared" si="48"/>
        <v>0</v>
      </c>
      <c r="AB120" s="55">
        <f t="shared" si="49"/>
        <v>0</v>
      </c>
      <c r="AC120" s="55">
        <f t="shared" si="50"/>
        <v>0</v>
      </c>
      <c r="AD120" s="55">
        <f t="shared" si="51"/>
        <v>0</v>
      </c>
      <c r="AE120" s="55">
        <f t="shared" si="52"/>
        <v>0</v>
      </c>
      <c r="AF120" s="55">
        <f t="shared" si="53"/>
        <v>0</v>
      </c>
      <c r="AG120" s="55">
        <f t="shared" si="54"/>
        <v>0</v>
      </c>
      <c r="AH120" s="55">
        <f t="shared" si="55"/>
        <v>0</v>
      </c>
      <c r="AI120" s="34" t="s">
        <v>2629</v>
      </c>
      <c r="AJ120" s="63">
        <f t="shared" si="56"/>
        <v>0</v>
      </c>
      <c r="AK120" s="63">
        <f t="shared" si="57"/>
        <v>0</v>
      </c>
      <c r="AL120" s="63">
        <f t="shared" si="58"/>
        <v>0</v>
      </c>
      <c r="AN120" s="55">
        <v>21</v>
      </c>
      <c r="AO120" s="55">
        <f>H120*1</f>
        <v>0</v>
      </c>
      <c r="AP120" s="55">
        <f>H120*(1-1)</f>
        <v>0</v>
      </c>
      <c r="AQ120" s="66" t="s">
        <v>125</v>
      </c>
      <c r="AV120" s="55">
        <f t="shared" si="59"/>
        <v>0</v>
      </c>
      <c r="AW120" s="55">
        <f t="shared" si="60"/>
        <v>0</v>
      </c>
      <c r="AX120" s="55">
        <f t="shared" si="61"/>
        <v>0</v>
      </c>
      <c r="AY120" s="58" t="s">
        <v>2795</v>
      </c>
      <c r="AZ120" s="58" t="s">
        <v>2633</v>
      </c>
      <c r="BA120" s="34" t="s">
        <v>2634</v>
      </c>
      <c r="BC120" s="55">
        <f t="shared" si="62"/>
        <v>0</v>
      </c>
      <c r="BD120" s="55">
        <f t="shared" si="63"/>
        <v>0</v>
      </c>
      <c r="BE120" s="55">
        <v>0</v>
      </c>
      <c r="BF120" s="55">
        <f t="shared" si="64"/>
        <v>0</v>
      </c>
      <c r="BH120" s="63">
        <f t="shared" si="65"/>
        <v>0</v>
      </c>
      <c r="BI120" s="63">
        <f t="shared" si="66"/>
        <v>0</v>
      </c>
      <c r="BJ120" s="63">
        <f t="shared" si="67"/>
        <v>0</v>
      </c>
      <c r="BK120" s="63"/>
      <c r="BL120" s="55"/>
      <c r="BW120" s="55">
        <v>21</v>
      </c>
    </row>
    <row r="121" spans="1:75" ht="13.5" customHeight="1">
      <c r="A121" s="1" t="s">
        <v>319</v>
      </c>
      <c r="B121" s="2" t="s">
        <v>2629</v>
      </c>
      <c r="C121" s="2" t="s">
        <v>2827</v>
      </c>
      <c r="D121" s="147" t="s">
        <v>2828</v>
      </c>
      <c r="E121" s="148"/>
      <c r="F121" s="2" t="s">
        <v>374</v>
      </c>
      <c r="G121" s="55">
        <f>'Stavební rozpočet-vyplnit'!G1499</f>
        <v>6</v>
      </c>
      <c r="H121" s="55">
        <f>'Stavební rozpočet-vyplnit'!H1499</f>
        <v>0</v>
      </c>
      <c r="I121" s="55">
        <f t="shared" si="46"/>
        <v>0</v>
      </c>
      <c r="J121" s="55">
        <f>'Stavební rozpočet-vyplnit'!J1499</f>
        <v>0</v>
      </c>
      <c r="K121" s="55">
        <f t="shared" si="47"/>
        <v>0</v>
      </c>
      <c r="L121" s="57" t="s">
        <v>124</v>
      </c>
      <c r="Z121" s="55">
        <f t="shared" si="48"/>
        <v>0</v>
      </c>
      <c r="AB121" s="55">
        <f t="shared" si="49"/>
        <v>0</v>
      </c>
      <c r="AC121" s="55">
        <f t="shared" si="50"/>
        <v>0</v>
      </c>
      <c r="AD121" s="55">
        <f t="shared" si="51"/>
        <v>0</v>
      </c>
      <c r="AE121" s="55">
        <f t="shared" si="52"/>
        <v>0</v>
      </c>
      <c r="AF121" s="55">
        <f t="shared" si="53"/>
        <v>0</v>
      </c>
      <c r="AG121" s="55">
        <f t="shared" si="54"/>
        <v>0</v>
      </c>
      <c r="AH121" s="55">
        <f t="shared" si="55"/>
        <v>0</v>
      </c>
      <c r="AI121" s="34" t="s">
        <v>2629</v>
      </c>
      <c r="AJ121" s="55">
        <f t="shared" si="56"/>
        <v>0</v>
      </c>
      <c r="AK121" s="55">
        <f t="shared" si="57"/>
        <v>0</v>
      </c>
      <c r="AL121" s="55">
        <f t="shared" si="58"/>
        <v>0</v>
      </c>
      <c r="AN121" s="55">
        <v>21</v>
      </c>
      <c r="AO121" s="55">
        <f>H121*0</f>
        <v>0</v>
      </c>
      <c r="AP121" s="55">
        <f>H121*(1-0)</f>
        <v>0</v>
      </c>
      <c r="AQ121" s="58" t="s">
        <v>125</v>
      </c>
      <c r="AV121" s="55">
        <f t="shared" si="59"/>
        <v>0</v>
      </c>
      <c r="AW121" s="55">
        <f t="shared" si="60"/>
        <v>0</v>
      </c>
      <c r="AX121" s="55">
        <f t="shared" si="61"/>
        <v>0</v>
      </c>
      <c r="AY121" s="58" t="s">
        <v>2795</v>
      </c>
      <c r="AZ121" s="58" t="s">
        <v>2633</v>
      </c>
      <c r="BA121" s="34" t="s">
        <v>2634</v>
      </c>
      <c r="BC121" s="55">
        <f t="shared" si="62"/>
        <v>0</v>
      </c>
      <c r="BD121" s="55">
        <f t="shared" si="63"/>
        <v>0</v>
      </c>
      <c r="BE121" s="55">
        <v>0</v>
      </c>
      <c r="BF121" s="55">
        <f t="shared" si="64"/>
        <v>0</v>
      </c>
      <c r="BH121" s="55">
        <f t="shared" si="65"/>
        <v>0</v>
      </c>
      <c r="BI121" s="55">
        <f t="shared" si="66"/>
        <v>0</v>
      </c>
      <c r="BJ121" s="55">
        <f t="shared" si="67"/>
        <v>0</v>
      </c>
      <c r="BK121" s="55"/>
      <c r="BL121" s="55"/>
      <c r="BW121" s="55">
        <v>21</v>
      </c>
    </row>
    <row r="122" spans="1:75" ht="27" customHeight="1">
      <c r="A122" s="61" t="s">
        <v>322</v>
      </c>
      <c r="B122" s="62" t="s">
        <v>2629</v>
      </c>
      <c r="C122" s="62" t="s">
        <v>2830</v>
      </c>
      <c r="D122" s="224" t="s">
        <v>2831</v>
      </c>
      <c r="E122" s="225"/>
      <c r="F122" s="62" t="s">
        <v>374</v>
      </c>
      <c r="G122" s="63">
        <f>'Stavební rozpočet-vyplnit'!G1500</f>
        <v>6</v>
      </c>
      <c r="H122" s="63">
        <f>'Stavební rozpočet-vyplnit'!H1500</f>
        <v>0</v>
      </c>
      <c r="I122" s="63">
        <f t="shared" si="46"/>
        <v>0</v>
      </c>
      <c r="J122" s="63">
        <f>'Stavební rozpočet-vyplnit'!J1500</f>
        <v>0</v>
      </c>
      <c r="K122" s="63">
        <f t="shared" si="47"/>
        <v>0</v>
      </c>
      <c r="L122" s="65" t="s">
        <v>124</v>
      </c>
      <c r="Z122" s="55">
        <f t="shared" si="48"/>
        <v>0</v>
      </c>
      <c r="AB122" s="55">
        <f t="shared" si="49"/>
        <v>0</v>
      </c>
      <c r="AC122" s="55">
        <f t="shared" si="50"/>
        <v>0</v>
      </c>
      <c r="AD122" s="55">
        <f t="shared" si="51"/>
        <v>0</v>
      </c>
      <c r="AE122" s="55">
        <f t="shared" si="52"/>
        <v>0</v>
      </c>
      <c r="AF122" s="55">
        <f t="shared" si="53"/>
        <v>0</v>
      </c>
      <c r="AG122" s="55">
        <f t="shared" si="54"/>
        <v>0</v>
      </c>
      <c r="AH122" s="55">
        <f t="shared" si="55"/>
        <v>0</v>
      </c>
      <c r="AI122" s="34" t="s">
        <v>2629</v>
      </c>
      <c r="AJ122" s="63">
        <f t="shared" si="56"/>
        <v>0</v>
      </c>
      <c r="AK122" s="63">
        <f t="shared" si="57"/>
        <v>0</v>
      </c>
      <c r="AL122" s="63">
        <f t="shared" si="58"/>
        <v>0</v>
      </c>
      <c r="AN122" s="55">
        <v>21</v>
      </c>
      <c r="AO122" s="55">
        <f>H122*1</f>
        <v>0</v>
      </c>
      <c r="AP122" s="55">
        <f>H122*(1-1)</f>
        <v>0</v>
      </c>
      <c r="AQ122" s="66" t="s">
        <v>125</v>
      </c>
      <c r="AV122" s="55">
        <f t="shared" si="59"/>
        <v>0</v>
      </c>
      <c r="AW122" s="55">
        <f t="shared" si="60"/>
        <v>0</v>
      </c>
      <c r="AX122" s="55">
        <f t="shared" si="61"/>
        <v>0</v>
      </c>
      <c r="AY122" s="58" t="s">
        <v>2795</v>
      </c>
      <c r="AZ122" s="58" t="s">
        <v>2633</v>
      </c>
      <c r="BA122" s="34" t="s">
        <v>2634</v>
      </c>
      <c r="BC122" s="55">
        <f t="shared" si="62"/>
        <v>0</v>
      </c>
      <c r="BD122" s="55">
        <f t="shared" si="63"/>
        <v>0</v>
      </c>
      <c r="BE122" s="55">
        <v>0</v>
      </c>
      <c r="BF122" s="55">
        <f t="shared" si="64"/>
        <v>0</v>
      </c>
      <c r="BH122" s="63">
        <f t="shared" si="65"/>
        <v>0</v>
      </c>
      <c r="BI122" s="63">
        <f t="shared" si="66"/>
        <v>0</v>
      </c>
      <c r="BJ122" s="63">
        <f t="shared" si="67"/>
        <v>0</v>
      </c>
      <c r="BK122" s="63"/>
      <c r="BL122" s="55"/>
      <c r="BW122" s="55">
        <v>21</v>
      </c>
    </row>
    <row r="123" spans="1:75" ht="13.5" customHeight="1">
      <c r="A123" s="1" t="s">
        <v>325</v>
      </c>
      <c r="B123" s="2" t="s">
        <v>2629</v>
      </c>
      <c r="C123" s="2" t="s">
        <v>2833</v>
      </c>
      <c r="D123" s="147" t="s">
        <v>2834</v>
      </c>
      <c r="E123" s="148"/>
      <c r="F123" s="2" t="s">
        <v>174</v>
      </c>
      <c r="G123" s="55">
        <f>'Stavební rozpočet-vyplnit'!G1501</f>
        <v>420</v>
      </c>
      <c r="H123" s="55">
        <f>'Stavební rozpočet-vyplnit'!H1501</f>
        <v>0</v>
      </c>
      <c r="I123" s="55">
        <f t="shared" si="46"/>
        <v>0</v>
      </c>
      <c r="J123" s="55">
        <f>'Stavební rozpočet-vyplnit'!J1501</f>
        <v>0</v>
      </c>
      <c r="K123" s="55">
        <f t="shared" si="47"/>
        <v>0</v>
      </c>
      <c r="L123" s="57" t="s">
        <v>124</v>
      </c>
      <c r="Z123" s="55">
        <f t="shared" si="48"/>
        <v>0</v>
      </c>
      <c r="AB123" s="55">
        <f t="shared" si="49"/>
        <v>0</v>
      </c>
      <c r="AC123" s="55">
        <f t="shared" si="50"/>
        <v>0</v>
      </c>
      <c r="AD123" s="55">
        <f t="shared" si="51"/>
        <v>0</v>
      </c>
      <c r="AE123" s="55">
        <f t="shared" si="52"/>
        <v>0</v>
      </c>
      <c r="AF123" s="55">
        <f t="shared" si="53"/>
        <v>0</v>
      </c>
      <c r="AG123" s="55">
        <f t="shared" si="54"/>
        <v>0</v>
      </c>
      <c r="AH123" s="55">
        <f t="shared" si="55"/>
        <v>0</v>
      </c>
      <c r="AI123" s="34" t="s">
        <v>2629</v>
      </c>
      <c r="AJ123" s="55">
        <f t="shared" si="56"/>
        <v>0</v>
      </c>
      <c r="AK123" s="55">
        <f t="shared" si="57"/>
        <v>0</v>
      </c>
      <c r="AL123" s="55">
        <f t="shared" si="58"/>
        <v>0</v>
      </c>
      <c r="AN123" s="55">
        <v>21</v>
      </c>
      <c r="AO123" s="55">
        <f>H123*0</f>
        <v>0</v>
      </c>
      <c r="AP123" s="55">
        <f>H123*(1-0)</f>
        <v>0</v>
      </c>
      <c r="AQ123" s="58" t="s">
        <v>125</v>
      </c>
      <c r="AV123" s="55">
        <f t="shared" si="59"/>
        <v>0</v>
      </c>
      <c r="AW123" s="55">
        <f t="shared" si="60"/>
        <v>0</v>
      </c>
      <c r="AX123" s="55">
        <f t="shared" si="61"/>
        <v>0</v>
      </c>
      <c r="AY123" s="58" t="s">
        <v>2795</v>
      </c>
      <c r="AZ123" s="58" t="s">
        <v>2633</v>
      </c>
      <c r="BA123" s="34" t="s">
        <v>2634</v>
      </c>
      <c r="BC123" s="55">
        <f t="shared" si="62"/>
        <v>0</v>
      </c>
      <c r="BD123" s="55">
        <f t="shared" si="63"/>
        <v>0</v>
      </c>
      <c r="BE123" s="55">
        <v>0</v>
      </c>
      <c r="BF123" s="55">
        <f t="shared" si="64"/>
        <v>0</v>
      </c>
      <c r="BH123" s="55">
        <f t="shared" si="65"/>
        <v>0</v>
      </c>
      <c r="BI123" s="55">
        <f t="shared" si="66"/>
        <v>0</v>
      </c>
      <c r="BJ123" s="55">
        <f t="shared" si="67"/>
        <v>0</v>
      </c>
      <c r="BK123" s="55"/>
      <c r="BL123" s="55"/>
      <c r="BW123" s="55">
        <v>21</v>
      </c>
    </row>
    <row r="124" spans="1:75" ht="27" customHeight="1">
      <c r="A124" s="61" t="s">
        <v>328</v>
      </c>
      <c r="B124" s="62" t="s">
        <v>2629</v>
      </c>
      <c r="C124" s="62" t="s">
        <v>2836</v>
      </c>
      <c r="D124" s="224" t="s">
        <v>2837</v>
      </c>
      <c r="E124" s="225"/>
      <c r="F124" s="62" t="s">
        <v>174</v>
      </c>
      <c r="G124" s="63">
        <f>'Stavební rozpočet-vyplnit'!G1502</f>
        <v>420</v>
      </c>
      <c r="H124" s="63">
        <f>'Stavební rozpočet-vyplnit'!H1502</f>
        <v>0</v>
      </c>
      <c r="I124" s="63">
        <f t="shared" si="46"/>
        <v>0</v>
      </c>
      <c r="J124" s="63">
        <f>'Stavební rozpočet-vyplnit'!J1502</f>
        <v>0</v>
      </c>
      <c r="K124" s="63">
        <f t="shared" si="47"/>
        <v>0</v>
      </c>
      <c r="L124" s="65" t="s">
        <v>124</v>
      </c>
      <c r="Z124" s="55">
        <f t="shared" si="48"/>
        <v>0</v>
      </c>
      <c r="AB124" s="55">
        <f t="shared" si="49"/>
        <v>0</v>
      </c>
      <c r="AC124" s="55">
        <f t="shared" si="50"/>
        <v>0</v>
      </c>
      <c r="AD124" s="55">
        <f t="shared" si="51"/>
        <v>0</v>
      </c>
      <c r="AE124" s="55">
        <f t="shared" si="52"/>
        <v>0</v>
      </c>
      <c r="AF124" s="55">
        <f t="shared" si="53"/>
        <v>0</v>
      </c>
      <c r="AG124" s="55">
        <f t="shared" si="54"/>
        <v>0</v>
      </c>
      <c r="AH124" s="55">
        <f t="shared" si="55"/>
        <v>0</v>
      </c>
      <c r="AI124" s="34" t="s">
        <v>2629</v>
      </c>
      <c r="AJ124" s="63">
        <f t="shared" si="56"/>
        <v>0</v>
      </c>
      <c r="AK124" s="63">
        <f t="shared" si="57"/>
        <v>0</v>
      </c>
      <c r="AL124" s="63">
        <f t="shared" si="58"/>
        <v>0</v>
      </c>
      <c r="AN124" s="55">
        <v>21</v>
      </c>
      <c r="AO124" s="55">
        <f>H124*1</f>
        <v>0</v>
      </c>
      <c r="AP124" s="55">
        <f>H124*(1-1)</f>
        <v>0</v>
      </c>
      <c r="AQ124" s="66" t="s">
        <v>125</v>
      </c>
      <c r="AV124" s="55">
        <f t="shared" si="59"/>
        <v>0</v>
      </c>
      <c r="AW124" s="55">
        <f t="shared" si="60"/>
        <v>0</v>
      </c>
      <c r="AX124" s="55">
        <f t="shared" si="61"/>
        <v>0</v>
      </c>
      <c r="AY124" s="58" t="s">
        <v>2795</v>
      </c>
      <c r="AZ124" s="58" t="s">
        <v>2633</v>
      </c>
      <c r="BA124" s="34" t="s">
        <v>2634</v>
      </c>
      <c r="BC124" s="55">
        <f t="shared" si="62"/>
        <v>0</v>
      </c>
      <c r="BD124" s="55">
        <f t="shared" si="63"/>
        <v>0</v>
      </c>
      <c r="BE124" s="55">
        <v>0</v>
      </c>
      <c r="BF124" s="55">
        <f t="shared" si="64"/>
        <v>0</v>
      </c>
      <c r="BH124" s="63">
        <f t="shared" si="65"/>
        <v>0</v>
      </c>
      <c r="BI124" s="63">
        <f t="shared" si="66"/>
        <v>0</v>
      </c>
      <c r="BJ124" s="63">
        <f t="shared" si="67"/>
        <v>0</v>
      </c>
      <c r="BK124" s="63"/>
      <c r="BL124" s="55"/>
      <c r="BW124" s="55">
        <v>21</v>
      </c>
    </row>
    <row r="125" spans="1:75" ht="27" customHeight="1">
      <c r="A125" s="1" t="s">
        <v>331</v>
      </c>
      <c r="B125" s="2" t="s">
        <v>2629</v>
      </c>
      <c r="C125" s="2" t="s">
        <v>2839</v>
      </c>
      <c r="D125" s="147" t="s">
        <v>2840</v>
      </c>
      <c r="E125" s="148"/>
      <c r="F125" s="2" t="s">
        <v>374</v>
      </c>
      <c r="G125" s="55">
        <f>'Stavební rozpočet-vyplnit'!G1503</f>
        <v>6</v>
      </c>
      <c r="H125" s="55">
        <f>'Stavební rozpočet-vyplnit'!H1503</f>
        <v>0</v>
      </c>
      <c r="I125" s="55">
        <f t="shared" si="46"/>
        <v>0</v>
      </c>
      <c r="J125" s="55">
        <f>'Stavební rozpočet-vyplnit'!J1503</f>
        <v>0</v>
      </c>
      <c r="K125" s="55">
        <f t="shared" si="47"/>
        <v>0</v>
      </c>
      <c r="L125" s="57" t="s">
        <v>124</v>
      </c>
      <c r="Z125" s="55">
        <f t="shared" si="48"/>
        <v>0</v>
      </c>
      <c r="AB125" s="55">
        <f t="shared" si="49"/>
        <v>0</v>
      </c>
      <c r="AC125" s="55">
        <f t="shared" si="50"/>
        <v>0</v>
      </c>
      <c r="AD125" s="55">
        <f t="shared" si="51"/>
        <v>0</v>
      </c>
      <c r="AE125" s="55">
        <f t="shared" si="52"/>
        <v>0</v>
      </c>
      <c r="AF125" s="55">
        <f t="shared" si="53"/>
        <v>0</v>
      </c>
      <c r="AG125" s="55">
        <f t="shared" si="54"/>
        <v>0</v>
      </c>
      <c r="AH125" s="55">
        <f t="shared" si="55"/>
        <v>0</v>
      </c>
      <c r="AI125" s="34" t="s">
        <v>2629</v>
      </c>
      <c r="AJ125" s="55">
        <f t="shared" si="56"/>
        <v>0</v>
      </c>
      <c r="AK125" s="55">
        <f t="shared" si="57"/>
        <v>0</v>
      </c>
      <c r="AL125" s="55">
        <f t="shared" si="58"/>
        <v>0</v>
      </c>
      <c r="AN125" s="55">
        <v>21</v>
      </c>
      <c r="AO125" s="55">
        <f>H125*0</f>
        <v>0</v>
      </c>
      <c r="AP125" s="55">
        <f>H125*(1-0)</f>
        <v>0</v>
      </c>
      <c r="AQ125" s="58" t="s">
        <v>125</v>
      </c>
      <c r="AV125" s="55">
        <f t="shared" si="59"/>
        <v>0</v>
      </c>
      <c r="AW125" s="55">
        <f t="shared" si="60"/>
        <v>0</v>
      </c>
      <c r="AX125" s="55">
        <f t="shared" si="61"/>
        <v>0</v>
      </c>
      <c r="AY125" s="58" t="s">
        <v>2795</v>
      </c>
      <c r="AZ125" s="58" t="s">
        <v>2633</v>
      </c>
      <c r="BA125" s="34" t="s">
        <v>2634</v>
      </c>
      <c r="BC125" s="55">
        <f t="shared" si="62"/>
        <v>0</v>
      </c>
      <c r="BD125" s="55">
        <f t="shared" si="63"/>
        <v>0</v>
      </c>
      <c r="BE125" s="55">
        <v>0</v>
      </c>
      <c r="BF125" s="55">
        <f t="shared" si="64"/>
        <v>0</v>
      </c>
      <c r="BH125" s="55">
        <f t="shared" si="65"/>
        <v>0</v>
      </c>
      <c r="BI125" s="55">
        <f t="shared" si="66"/>
        <v>0</v>
      </c>
      <c r="BJ125" s="55">
        <f t="shared" si="67"/>
        <v>0</v>
      </c>
      <c r="BK125" s="55"/>
      <c r="BL125" s="55"/>
      <c r="BW125" s="55">
        <v>21</v>
      </c>
    </row>
    <row r="126" spans="1:75" ht="27" customHeight="1">
      <c r="A126" s="61" t="s">
        <v>334</v>
      </c>
      <c r="B126" s="62" t="s">
        <v>2629</v>
      </c>
      <c r="C126" s="62" t="s">
        <v>2842</v>
      </c>
      <c r="D126" s="224" t="s">
        <v>2843</v>
      </c>
      <c r="E126" s="225"/>
      <c r="F126" s="62" t="s">
        <v>374</v>
      </c>
      <c r="G126" s="63">
        <f>'Stavební rozpočet-vyplnit'!G1504</f>
        <v>6</v>
      </c>
      <c r="H126" s="63">
        <f>'Stavební rozpočet-vyplnit'!H1504</f>
        <v>0</v>
      </c>
      <c r="I126" s="63">
        <f t="shared" si="46"/>
        <v>0</v>
      </c>
      <c r="J126" s="63">
        <f>'Stavební rozpočet-vyplnit'!J1504</f>
        <v>0</v>
      </c>
      <c r="K126" s="63">
        <f t="shared" si="47"/>
        <v>0</v>
      </c>
      <c r="L126" s="65" t="s">
        <v>124</v>
      </c>
      <c r="Z126" s="55">
        <f t="shared" si="48"/>
        <v>0</v>
      </c>
      <c r="AB126" s="55">
        <f t="shared" si="49"/>
        <v>0</v>
      </c>
      <c r="AC126" s="55">
        <f t="shared" si="50"/>
        <v>0</v>
      </c>
      <c r="AD126" s="55">
        <f t="shared" si="51"/>
        <v>0</v>
      </c>
      <c r="AE126" s="55">
        <f t="shared" si="52"/>
        <v>0</v>
      </c>
      <c r="AF126" s="55">
        <f t="shared" si="53"/>
        <v>0</v>
      </c>
      <c r="AG126" s="55">
        <f t="shared" si="54"/>
        <v>0</v>
      </c>
      <c r="AH126" s="55">
        <f t="shared" si="55"/>
        <v>0</v>
      </c>
      <c r="AI126" s="34" t="s">
        <v>2629</v>
      </c>
      <c r="AJ126" s="63">
        <f t="shared" si="56"/>
        <v>0</v>
      </c>
      <c r="AK126" s="63">
        <f t="shared" si="57"/>
        <v>0</v>
      </c>
      <c r="AL126" s="63">
        <f t="shared" si="58"/>
        <v>0</v>
      </c>
      <c r="AN126" s="55">
        <v>21</v>
      </c>
      <c r="AO126" s="55">
        <f>H126*1</f>
        <v>0</v>
      </c>
      <c r="AP126" s="55">
        <f>H126*(1-1)</f>
        <v>0</v>
      </c>
      <c r="AQ126" s="66" t="s">
        <v>125</v>
      </c>
      <c r="AV126" s="55">
        <f t="shared" si="59"/>
        <v>0</v>
      </c>
      <c r="AW126" s="55">
        <f t="shared" si="60"/>
        <v>0</v>
      </c>
      <c r="AX126" s="55">
        <f t="shared" si="61"/>
        <v>0</v>
      </c>
      <c r="AY126" s="58" t="s">
        <v>2795</v>
      </c>
      <c r="AZ126" s="58" t="s">
        <v>2633</v>
      </c>
      <c r="BA126" s="34" t="s">
        <v>2634</v>
      </c>
      <c r="BC126" s="55">
        <f t="shared" si="62"/>
        <v>0</v>
      </c>
      <c r="BD126" s="55">
        <f t="shared" si="63"/>
        <v>0</v>
      </c>
      <c r="BE126" s="55">
        <v>0</v>
      </c>
      <c r="BF126" s="55">
        <f t="shared" si="64"/>
        <v>0</v>
      </c>
      <c r="BH126" s="63">
        <f t="shared" si="65"/>
        <v>0</v>
      </c>
      <c r="BI126" s="63">
        <f t="shared" si="66"/>
        <v>0</v>
      </c>
      <c r="BJ126" s="63">
        <f t="shared" si="67"/>
        <v>0</v>
      </c>
      <c r="BK126" s="63"/>
      <c r="BL126" s="55"/>
      <c r="BW126" s="55">
        <v>21</v>
      </c>
    </row>
    <row r="127" spans="1:75" ht="27" customHeight="1">
      <c r="A127" s="1" t="s">
        <v>337</v>
      </c>
      <c r="B127" s="2" t="s">
        <v>2629</v>
      </c>
      <c r="C127" s="2" t="s">
        <v>2805</v>
      </c>
      <c r="D127" s="147" t="s">
        <v>2806</v>
      </c>
      <c r="E127" s="148"/>
      <c r="F127" s="2" t="s">
        <v>174</v>
      </c>
      <c r="G127" s="55">
        <f>'Stavební rozpočet-vyplnit'!G1505</f>
        <v>130</v>
      </c>
      <c r="H127" s="55">
        <f>'Stavební rozpočet-vyplnit'!H1505</f>
        <v>0</v>
      </c>
      <c r="I127" s="55">
        <f t="shared" si="46"/>
        <v>0</v>
      </c>
      <c r="J127" s="55">
        <f>'Stavební rozpočet-vyplnit'!J1505</f>
        <v>0</v>
      </c>
      <c r="K127" s="55">
        <f t="shared" si="47"/>
        <v>0</v>
      </c>
      <c r="L127" s="57" t="s">
        <v>124</v>
      </c>
      <c r="Z127" s="55">
        <f t="shared" si="48"/>
        <v>0</v>
      </c>
      <c r="AB127" s="55">
        <f t="shared" si="49"/>
        <v>0</v>
      </c>
      <c r="AC127" s="55">
        <f t="shared" si="50"/>
        <v>0</v>
      </c>
      <c r="AD127" s="55">
        <f t="shared" si="51"/>
        <v>0</v>
      </c>
      <c r="AE127" s="55">
        <f t="shared" si="52"/>
        <v>0</v>
      </c>
      <c r="AF127" s="55">
        <f t="shared" si="53"/>
        <v>0</v>
      </c>
      <c r="AG127" s="55">
        <f t="shared" si="54"/>
        <v>0</v>
      </c>
      <c r="AH127" s="55">
        <f t="shared" si="55"/>
        <v>0</v>
      </c>
      <c r="AI127" s="34" t="s">
        <v>2629</v>
      </c>
      <c r="AJ127" s="55">
        <f t="shared" si="56"/>
        <v>0</v>
      </c>
      <c r="AK127" s="55">
        <f t="shared" si="57"/>
        <v>0</v>
      </c>
      <c r="AL127" s="55">
        <f t="shared" si="58"/>
        <v>0</v>
      </c>
      <c r="AN127" s="55">
        <v>21</v>
      </c>
      <c r="AO127" s="55">
        <f>H127*0</f>
        <v>0</v>
      </c>
      <c r="AP127" s="55">
        <f>H127*(1-0)</f>
        <v>0</v>
      </c>
      <c r="AQ127" s="58" t="s">
        <v>125</v>
      </c>
      <c r="AV127" s="55">
        <f t="shared" si="59"/>
        <v>0</v>
      </c>
      <c r="AW127" s="55">
        <f t="shared" si="60"/>
        <v>0</v>
      </c>
      <c r="AX127" s="55">
        <f t="shared" si="61"/>
        <v>0</v>
      </c>
      <c r="AY127" s="58" t="s">
        <v>2795</v>
      </c>
      <c r="AZ127" s="58" t="s">
        <v>2633</v>
      </c>
      <c r="BA127" s="34" t="s">
        <v>2634</v>
      </c>
      <c r="BC127" s="55">
        <f t="shared" si="62"/>
        <v>0</v>
      </c>
      <c r="BD127" s="55">
        <f t="shared" si="63"/>
        <v>0</v>
      </c>
      <c r="BE127" s="55">
        <v>0</v>
      </c>
      <c r="BF127" s="55">
        <f t="shared" si="64"/>
        <v>0</v>
      </c>
      <c r="BH127" s="55">
        <f t="shared" si="65"/>
        <v>0</v>
      </c>
      <c r="BI127" s="55">
        <f t="shared" si="66"/>
        <v>0</v>
      </c>
      <c r="BJ127" s="55">
        <f t="shared" si="67"/>
        <v>0</v>
      </c>
      <c r="BK127" s="55"/>
      <c r="BL127" s="55"/>
      <c r="BW127" s="55">
        <v>21</v>
      </c>
    </row>
    <row r="128" spans="1:75" ht="13.5" customHeight="1">
      <c r="A128" s="61" t="s">
        <v>340</v>
      </c>
      <c r="B128" s="62" t="s">
        <v>2629</v>
      </c>
      <c r="C128" s="62" t="s">
        <v>2808</v>
      </c>
      <c r="D128" s="224" t="s">
        <v>2809</v>
      </c>
      <c r="E128" s="225"/>
      <c r="F128" s="62" t="s">
        <v>174</v>
      </c>
      <c r="G128" s="63">
        <f>'Stavební rozpočet-vyplnit'!G1506</f>
        <v>130</v>
      </c>
      <c r="H128" s="63">
        <f>'Stavební rozpočet-vyplnit'!H1506</f>
        <v>0</v>
      </c>
      <c r="I128" s="63">
        <f t="shared" si="46"/>
        <v>0</v>
      </c>
      <c r="J128" s="63">
        <f>'Stavební rozpočet-vyplnit'!J1506</f>
        <v>0</v>
      </c>
      <c r="K128" s="63">
        <f t="shared" si="47"/>
        <v>0</v>
      </c>
      <c r="L128" s="65" t="s">
        <v>124</v>
      </c>
      <c r="Z128" s="55">
        <f t="shared" si="48"/>
        <v>0</v>
      </c>
      <c r="AB128" s="55">
        <f t="shared" si="49"/>
        <v>0</v>
      </c>
      <c r="AC128" s="55">
        <f t="shared" si="50"/>
        <v>0</v>
      </c>
      <c r="AD128" s="55">
        <f t="shared" si="51"/>
        <v>0</v>
      </c>
      <c r="AE128" s="55">
        <f t="shared" si="52"/>
        <v>0</v>
      </c>
      <c r="AF128" s="55">
        <f t="shared" si="53"/>
        <v>0</v>
      </c>
      <c r="AG128" s="55">
        <f t="shared" si="54"/>
        <v>0</v>
      </c>
      <c r="AH128" s="55">
        <f t="shared" si="55"/>
        <v>0</v>
      </c>
      <c r="AI128" s="34" t="s">
        <v>2629</v>
      </c>
      <c r="AJ128" s="63">
        <f t="shared" si="56"/>
        <v>0</v>
      </c>
      <c r="AK128" s="63">
        <f t="shared" si="57"/>
        <v>0</v>
      </c>
      <c r="AL128" s="63">
        <f t="shared" si="58"/>
        <v>0</v>
      </c>
      <c r="AN128" s="55">
        <v>21</v>
      </c>
      <c r="AO128" s="55">
        <f>H128*1</f>
        <v>0</v>
      </c>
      <c r="AP128" s="55">
        <f>H128*(1-1)</f>
        <v>0</v>
      </c>
      <c r="AQ128" s="66" t="s">
        <v>125</v>
      </c>
      <c r="AV128" s="55">
        <f t="shared" si="59"/>
        <v>0</v>
      </c>
      <c r="AW128" s="55">
        <f t="shared" si="60"/>
        <v>0</v>
      </c>
      <c r="AX128" s="55">
        <f t="shared" si="61"/>
        <v>0</v>
      </c>
      <c r="AY128" s="58" t="s">
        <v>2795</v>
      </c>
      <c r="AZ128" s="58" t="s">
        <v>2633</v>
      </c>
      <c r="BA128" s="34" t="s">
        <v>2634</v>
      </c>
      <c r="BC128" s="55">
        <f t="shared" si="62"/>
        <v>0</v>
      </c>
      <c r="BD128" s="55">
        <f t="shared" si="63"/>
        <v>0</v>
      </c>
      <c r="BE128" s="55">
        <v>0</v>
      </c>
      <c r="BF128" s="55">
        <f t="shared" si="64"/>
        <v>0</v>
      </c>
      <c r="BH128" s="63">
        <f t="shared" si="65"/>
        <v>0</v>
      </c>
      <c r="BI128" s="63">
        <f t="shared" si="66"/>
        <v>0</v>
      </c>
      <c r="BJ128" s="63">
        <f t="shared" si="67"/>
        <v>0</v>
      </c>
      <c r="BK128" s="63"/>
      <c r="BL128" s="55"/>
      <c r="BW128" s="55">
        <v>21</v>
      </c>
    </row>
    <row r="129" spans="1:75" ht="27" customHeight="1">
      <c r="A129" s="1" t="s">
        <v>343</v>
      </c>
      <c r="B129" s="2" t="s">
        <v>2629</v>
      </c>
      <c r="C129" s="2" t="s">
        <v>2847</v>
      </c>
      <c r="D129" s="147" t="s">
        <v>2848</v>
      </c>
      <c r="E129" s="148"/>
      <c r="F129" s="2" t="s">
        <v>374</v>
      </c>
      <c r="G129" s="55">
        <f>'Stavební rozpočet-vyplnit'!G1507</f>
        <v>1</v>
      </c>
      <c r="H129" s="55">
        <f>'Stavební rozpočet-vyplnit'!H1507</f>
        <v>0</v>
      </c>
      <c r="I129" s="55">
        <f t="shared" si="46"/>
        <v>0</v>
      </c>
      <c r="J129" s="55">
        <f>'Stavební rozpočet-vyplnit'!J1507</f>
        <v>0</v>
      </c>
      <c r="K129" s="55">
        <f t="shared" si="47"/>
        <v>0</v>
      </c>
      <c r="L129" s="57" t="s">
        <v>124</v>
      </c>
      <c r="Z129" s="55">
        <f t="shared" si="48"/>
        <v>0</v>
      </c>
      <c r="AB129" s="55">
        <f t="shared" si="49"/>
        <v>0</v>
      </c>
      <c r="AC129" s="55">
        <f t="shared" si="50"/>
        <v>0</v>
      </c>
      <c r="AD129" s="55">
        <f t="shared" si="51"/>
        <v>0</v>
      </c>
      <c r="AE129" s="55">
        <f t="shared" si="52"/>
        <v>0</v>
      </c>
      <c r="AF129" s="55">
        <f t="shared" si="53"/>
        <v>0</v>
      </c>
      <c r="AG129" s="55">
        <f t="shared" si="54"/>
        <v>0</v>
      </c>
      <c r="AH129" s="55">
        <f t="shared" si="55"/>
        <v>0</v>
      </c>
      <c r="AI129" s="34" t="s">
        <v>2629</v>
      </c>
      <c r="AJ129" s="55">
        <f t="shared" si="56"/>
        <v>0</v>
      </c>
      <c r="AK129" s="55">
        <f t="shared" si="57"/>
        <v>0</v>
      </c>
      <c r="AL129" s="55">
        <f t="shared" si="58"/>
        <v>0</v>
      </c>
      <c r="AN129" s="55">
        <v>21</v>
      </c>
      <c r="AO129" s="55">
        <f>H129*0</f>
        <v>0</v>
      </c>
      <c r="AP129" s="55">
        <f>H129*(1-0)</f>
        <v>0</v>
      </c>
      <c r="AQ129" s="58" t="s">
        <v>125</v>
      </c>
      <c r="AV129" s="55">
        <f t="shared" si="59"/>
        <v>0</v>
      </c>
      <c r="AW129" s="55">
        <f t="shared" si="60"/>
        <v>0</v>
      </c>
      <c r="AX129" s="55">
        <f t="shared" si="61"/>
        <v>0</v>
      </c>
      <c r="AY129" s="58" t="s">
        <v>2795</v>
      </c>
      <c r="AZ129" s="58" t="s">
        <v>2633</v>
      </c>
      <c r="BA129" s="34" t="s">
        <v>2634</v>
      </c>
      <c r="BC129" s="55">
        <f t="shared" si="62"/>
        <v>0</v>
      </c>
      <c r="BD129" s="55">
        <f t="shared" si="63"/>
        <v>0</v>
      </c>
      <c r="BE129" s="55">
        <v>0</v>
      </c>
      <c r="BF129" s="55">
        <f t="shared" si="64"/>
        <v>0</v>
      </c>
      <c r="BH129" s="55">
        <f t="shared" si="65"/>
        <v>0</v>
      </c>
      <c r="BI129" s="55">
        <f t="shared" si="66"/>
        <v>0</v>
      </c>
      <c r="BJ129" s="55">
        <f t="shared" si="67"/>
        <v>0</v>
      </c>
      <c r="BK129" s="55"/>
      <c r="BL129" s="55"/>
      <c r="BW129" s="55">
        <v>21</v>
      </c>
    </row>
    <row r="130" spans="1:12" ht="13.5" customHeight="1">
      <c r="A130" s="59"/>
      <c r="D130" s="218" t="s">
        <v>2849</v>
      </c>
      <c r="E130" s="219"/>
      <c r="F130" s="219"/>
      <c r="G130" s="219"/>
      <c r="H130" s="219"/>
      <c r="I130" s="219"/>
      <c r="J130" s="219"/>
      <c r="K130" s="219"/>
      <c r="L130" s="221"/>
    </row>
    <row r="131" spans="1:75" ht="27" customHeight="1">
      <c r="A131" s="61" t="s">
        <v>346</v>
      </c>
      <c r="B131" s="62" t="s">
        <v>2629</v>
      </c>
      <c r="C131" s="62" t="s">
        <v>2851</v>
      </c>
      <c r="D131" s="224" t="s">
        <v>2852</v>
      </c>
      <c r="E131" s="225"/>
      <c r="F131" s="62" t="s">
        <v>374</v>
      </c>
      <c r="G131" s="63">
        <f>'Stavební rozpočet-vyplnit'!G1509</f>
        <v>1</v>
      </c>
      <c r="H131" s="63">
        <f>'Stavební rozpočet-vyplnit'!H1509</f>
        <v>0</v>
      </c>
      <c r="I131" s="63">
        <f aca="true" t="shared" si="68" ref="I131:I139">G131*H131</f>
        <v>0</v>
      </c>
      <c r="J131" s="63">
        <f>'Stavební rozpočet-vyplnit'!J1509</f>
        <v>0</v>
      </c>
      <c r="K131" s="63">
        <f aca="true" t="shared" si="69" ref="K131:K139">G131*J131</f>
        <v>0</v>
      </c>
      <c r="L131" s="65" t="s">
        <v>124</v>
      </c>
      <c r="Z131" s="55">
        <f aca="true" t="shared" si="70" ref="Z131:Z139">IF(AQ131="5",BJ131,0)</f>
        <v>0</v>
      </c>
      <c r="AB131" s="55">
        <f aca="true" t="shared" si="71" ref="AB131:AB139">IF(AQ131="1",BH131,0)</f>
        <v>0</v>
      </c>
      <c r="AC131" s="55">
        <f aca="true" t="shared" si="72" ref="AC131:AC139">IF(AQ131="1",BI131,0)</f>
        <v>0</v>
      </c>
      <c r="AD131" s="55">
        <f aca="true" t="shared" si="73" ref="AD131:AD139">IF(AQ131="7",BH131,0)</f>
        <v>0</v>
      </c>
      <c r="AE131" s="55">
        <f aca="true" t="shared" si="74" ref="AE131:AE139">IF(AQ131="7",BI131,0)</f>
        <v>0</v>
      </c>
      <c r="AF131" s="55">
        <f aca="true" t="shared" si="75" ref="AF131:AF139">IF(AQ131="2",BH131,0)</f>
        <v>0</v>
      </c>
      <c r="AG131" s="55">
        <f aca="true" t="shared" si="76" ref="AG131:AG139">IF(AQ131="2",BI131,0)</f>
        <v>0</v>
      </c>
      <c r="AH131" s="55">
        <f aca="true" t="shared" si="77" ref="AH131:AH139">IF(AQ131="0",BJ131,0)</f>
        <v>0</v>
      </c>
      <c r="AI131" s="34" t="s">
        <v>2629</v>
      </c>
      <c r="AJ131" s="63">
        <f aca="true" t="shared" si="78" ref="AJ131:AJ139">IF(AN131=0,I131,0)</f>
        <v>0</v>
      </c>
      <c r="AK131" s="63">
        <f aca="true" t="shared" si="79" ref="AK131:AK139">IF(AN131=12,I131,0)</f>
        <v>0</v>
      </c>
      <c r="AL131" s="63">
        <f aca="true" t="shared" si="80" ref="AL131:AL139">IF(AN131=21,I131,0)</f>
        <v>0</v>
      </c>
      <c r="AN131" s="55">
        <v>21</v>
      </c>
      <c r="AO131" s="55">
        <f>H131*1</f>
        <v>0</v>
      </c>
      <c r="AP131" s="55">
        <f>H131*(1-1)</f>
        <v>0</v>
      </c>
      <c r="AQ131" s="66" t="s">
        <v>125</v>
      </c>
      <c r="AV131" s="55">
        <f aca="true" t="shared" si="81" ref="AV131:AV139">AW131+AX131</f>
        <v>0</v>
      </c>
      <c r="AW131" s="55">
        <f aca="true" t="shared" si="82" ref="AW131:AW139">G131*AO131</f>
        <v>0</v>
      </c>
      <c r="AX131" s="55">
        <f aca="true" t="shared" si="83" ref="AX131:AX139">G131*AP131</f>
        <v>0</v>
      </c>
      <c r="AY131" s="58" t="s">
        <v>2795</v>
      </c>
      <c r="AZ131" s="58" t="s">
        <v>2633</v>
      </c>
      <c r="BA131" s="34" t="s">
        <v>2634</v>
      </c>
      <c r="BC131" s="55">
        <f aca="true" t="shared" si="84" ref="BC131:BC139">AW131+AX131</f>
        <v>0</v>
      </c>
      <c r="BD131" s="55">
        <f aca="true" t="shared" si="85" ref="BD131:BD139">H131/(100-BE131)*100</f>
        <v>0</v>
      </c>
      <c r="BE131" s="55">
        <v>0</v>
      </c>
      <c r="BF131" s="55">
        <f aca="true" t="shared" si="86" ref="BF131:BF139">K131</f>
        <v>0</v>
      </c>
      <c r="BH131" s="63">
        <f aca="true" t="shared" si="87" ref="BH131:BH139">G131*AO131</f>
        <v>0</v>
      </c>
      <c r="BI131" s="63">
        <f aca="true" t="shared" si="88" ref="BI131:BI139">G131*AP131</f>
        <v>0</v>
      </c>
      <c r="BJ131" s="63">
        <f aca="true" t="shared" si="89" ref="BJ131:BJ139">G131*H131</f>
        <v>0</v>
      </c>
      <c r="BK131" s="63"/>
      <c r="BL131" s="55"/>
      <c r="BW131" s="55">
        <v>21</v>
      </c>
    </row>
    <row r="132" spans="1:75" ht="27" customHeight="1">
      <c r="A132" s="61" t="s">
        <v>349</v>
      </c>
      <c r="B132" s="62" t="s">
        <v>2629</v>
      </c>
      <c r="C132" s="62" t="s">
        <v>2854</v>
      </c>
      <c r="D132" s="224" t="s">
        <v>2855</v>
      </c>
      <c r="E132" s="225"/>
      <c r="F132" s="62" t="s">
        <v>374</v>
      </c>
      <c r="G132" s="63">
        <f>'Stavební rozpočet-vyplnit'!G1510</f>
        <v>1</v>
      </c>
      <c r="H132" s="63">
        <f>'Stavební rozpočet-vyplnit'!H1510</f>
        <v>0</v>
      </c>
      <c r="I132" s="63">
        <f t="shared" si="68"/>
        <v>0</v>
      </c>
      <c r="J132" s="63">
        <f>'Stavební rozpočet-vyplnit'!J1510</f>
        <v>0</v>
      </c>
      <c r="K132" s="63">
        <f t="shared" si="69"/>
        <v>0</v>
      </c>
      <c r="L132" s="65" t="s">
        <v>124</v>
      </c>
      <c r="Z132" s="55">
        <f t="shared" si="70"/>
        <v>0</v>
      </c>
      <c r="AB132" s="55">
        <f t="shared" si="71"/>
        <v>0</v>
      </c>
      <c r="AC132" s="55">
        <f t="shared" si="72"/>
        <v>0</v>
      </c>
      <c r="AD132" s="55">
        <f t="shared" si="73"/>
        <v>0</v>
      </c>
      <c r="AE132" s="55">
        <f t="shared" si="74"/>
        <v>0</v>
      </c>
      <c r="AF132" s="55">
        <f t="shared" si="75"/>
        <v>0</v>
      </c>
      <c r="AG132" s="55">
        <f t="shared" si="76"/>
        <v>0</v>
      </c>
      <c r="AH132" s="55">
        <f t="shared" si="77"/>
        <v>0</v>
      </c>
      <c r="AI132" s="34" t="s">
        <v>2629</v>
      </c>
      <c r="AJ132" s="63">
        <f t="shared" si="78"/>
        <v>0</v>
      </c>
      <c r="AK132" s="63">
        <f t="shared" si="79"/>
        <v>0</v>
      </c>
      <c r="AL132" s="63">
        <f t="shared" si="80"/>
        <v>0</v>
      </c>
      <c r="AN132" s="55">
        <v>21</v>
      </c>
      <c r="AO132" s="55">
        <f>H132*1</f>
        <v>0</v>
      </c>
      <c r="AP132" s="55">
        <f>H132*(1-1)</f>
        <v>0</v>
      </c>
      <c r="AQ132" s="66" t="s">
        <v>125</v>
      </c>
      <c r="AV132" s="55">
        <f t="shared" si="81"/>
        <v>0</v>
      </c>
      <c r="AW132" s="55">
        <f t="shared" si="82"/>
        <v>0</v>
      </c>
      <c r="AX132" s="55">
        <f t="shared" si="83"/>
        <v>0</v>
      </c>
      <c r="AY132" s="58" t="s">
        <v>2795</v>
      </c>
      <c r="AZ132" s="58" t="s">
        <v>2633</v>
      </c>
      <c r="BA132" s="34" t="s">
        <v>2634</v>
      </c>
      <c r="BC132" s="55">
        <f t="shared" si="84"/>
        <v>0</v>
      </c>
      <c r="BD132" s="55">
        <f t="shared" si="85"/>
        <v>0</v>
      </c>
      <c r="BE132" s="55">
        <v>0</v>
      </c>
      <c r="BF132" s="55">
        <f t="shared" si="86"/>
        <v>0</v>
      </c>
      <c r="BH132" s="63">
        <f t="shared" si="87"/>
        <v>0</v>
      </c>
      <c r="BI132" s="63">
        <f t="shared" si="88"/>
        <v>0</v>
      </c>
      <c r="BJ132" s="63">
        <f t="shared" si="89"/>
        <v>0</v>
      </c>
      <c r="BK132" s="63"/>
      <c r="BL132" s="55"/>
      <c r="BW132" s="55">
        <v>21</v>
      </c>
    </row>
    <row r="133" spans="1:75" ht="13.5" customHeight="1">
      <c r="A133" s="1" t="s">
        <v>352</v>
      </c>
      <c r="B133" s="2" t="s">
        <v>2629</v>
      </c>
      <c r="C133" s="2" t="s">
        <v>2827</v>
      </c>
      <c r="D133" s="147" t="s">
        <v>2828</v>
      </c>
      <c r="E133" s="148"/>
      <c r="F133" s="2" t="s">
        <v>374</v>
      </c>
      <c r="G133" s="55">
        <f>'Stavební rozpočet-vyplnit'!G1511</f>
        <v>6</v>
      </c>
      <c r="H133" s="55">
        <f>'Stavební rozpočet-vyplnit'!H1511</f>
        <v>0</v>
      </c>
      <c r="I133" s="55">
        <f t="shared" si="68"/>
        <v>0</v>
      </c>
      <c r="J133" s="55">
        <f>'Stavební rozpočet-vyplnit'!J1511</f>
        <v>0</v>
      </c>
      <c r="K133" s="55">
        <f t="shared" si="69"/>
        <v>0</v>
      </c>
      <c r="L133" s="57" t="s">
        <v>124</v>
      </c>
      <c r="Z133" s="55">
        <f t="shared" si="70"/>
        <v>0</v>
      </c>
      <c r="AB133" s="55">
        <f t="shared" si="71"/>
        <v>0</v>
      </c>
      <c r="AC133" s="55">
        <f t="shared" si="72"/>
        <v>0</v>
      </c>
      <c r="AD133" s="55">
        <f t="shared" si="73"/>
        <v>0</v>
      </c>
      <c r="AE133" s="55">
        <f t="shared" si="74"/>
        <v>0</v>
      </c>
      <c r="AF133" s="55">
        <f t="shared" si="75"/>
        <v>0</v>
      </c>
      <c r="AG133" s="55">
        <f t="shared" si="76"/>
        <v>0</v>
      </c>
      <c r="AH133" s="55">
        <f t="shared" si="77"/>
        <v>0</v>
      </c>
      <c r="AI133" s="34" t="s">
        <v>2629</v>
      </c>
      <c r="AJ133" s="55">
        <f t="shared" si="78"/>
        <v>0</v>
      </c>
      <c r="AK133" s="55">
        <f t="shared" si="79"/>
        <v>0</v>
      </c>
      <c r="AL133" s="55">
        <f t="shared" si="80"/>
        <v>0</v>
      </c>
      <c r="AN133" s="55">
        <v>21</v>
      </c>
      <c r="AO133" s="55">
        <f>H133*0</f>
        <v>0</v>
      </c>
      <c r="AP133" s="55">
        <f>H133*(1-0)</f>
        <v>0</v>
      </c>
      <c r="AQ133" s="58" t="s">
        <v>125</v>
      </c>
      <c r="AV133" s="55">
        <f t="shared" si="81"/>
        <v>0</v>
      </c>
      <c r="AW133" s="55">
        <f t="shared" si="82"/>
        <v>0</v>
      </c>
      <c r="AX133" s="55">
        <f t="shared" si="83"/>
        <v>0</v>
      </c>
      <c r="AY133" s="58" t="s">
        <v>2795</v>
      </c>
      <c r="AZ133" s="58" t="s">
        <v>2633</v>
      </c>
      <c r="BA133" s="34" t="s">
        <v>2634</v>
      </c>
      <c r="BC133" s="55">
        <f t="shared" si="84"/>
        <v>0</v>
      </c>
      <c r="BD133" s="55">
        <f t="shared" si="85"/>
        <v>0</v>
      </c>
      <c r="BE133" s="55">
        <v>0</v>
      </c>
      <c r="BF133" s="55">
        <f t="shared" si="86"/>
        <v>0</v>
      </c>
      <c r="BH133" s="55">
        <f t="shared" si="87"/>
        <v>0</v>
      </c>
      <c r="BI133" s="55">
        <f t="shared" si="88"/>
        <v>0</v>
      </c>
      <c r="BJ133" s="55">
        <f t="shared" si="89"/>
        <v>0</v>
      </c>
      <c r="BK133" s="55"/>
      <c r="BL133" s="55"/>
      <c r="BW133" s="55">
        <v>21</v>
      </c>
    </row>
    <row r="134" spans="1:75" ht="27" customHeight="1">
      <c r="A134" s="61" t="s">
        <v>357</v>
      </c>
      <c r="B134" s="62" t="s">
        <v>2629</v>
      </c>
      <c r="C134" s="62" t="s">
        <v>2830</v>
      </c>
      <c r="D134" s="224" t="s">
        <v>2831</v>
      </c>
      <c r="E134" s="225"/>
      <c r="F134" s="62" t="s">
        <v>374</v>
      </c>
      <c r="G134" s="63">
        <f>'Stavební rozpočet-vyplnit'!G1512</f>
        <v>6</v>
      </c>
      <c r="H134" s="63">
        <f>'Stavební rozpočet-vyplnit'!H1512</f>
        <v>0</v>
      </c>
      <c r="I134" s="63">
        <f t="shared" si="68"/>
        <v>0</v>
      </c>
      <c r="J134" s="63">
        <f>'Stavební rozpočet-vyplnit'!J1512</f>
        <v>0</v>
      </c>
      <c r="K134" s="63">
        <f t="shared" si="69"/>
        <v>0</v>
      </c>
      <c r="L134" s="65" t="s">
        <v>124</v>
      </c>
      <c r="Z134" s="55">
        <f t="shared" si="70"/>
        <v>0</v>
      </c>
      <c r="AB134" s="55">
        <f t="shared" si="71"/>
        <v>0</v>
      </c>
      <c r="AC134" s="55">
        <f t="shared" si="72"/>
        <v>0</v>
      </c>
      <c r="AD134" s="55">
        <f t="shared" si="73"/>
        <v>0</v>
      </c>
      <c r="AE134" s="55">
        <f t="shared" si="74"/>
        <v>0</v>
      </c>
      <c r="AF134" s="55">
        <f t="shared" si="75"/>
        <v>0</v>
      </c>
      <c r="AG134" s="55">
        <f t="shared" si="76"/>
        <v>0</v>
      </c>
      <c r="AH134" s="55">
        <f t="shared" si="77"/>
        <v>0</v>
      </c>
      <c r="AI134" s="34" t="s">
        <v>2629</v>
      </c>
      <c r="AJ134" s="63">
        <f t="shared" si="78"/>
        <v>0</v>
      </c>
      <c r="AK134" s="63">
        <f t="shared" si="79"/>
        <v>0</v>
      </c>
      <c r="AL134" s="63">
        <f t="shared" si="80"/>
        <v>0</v>
      </c>
      <c r="AN134" s="55">
        <v>21</v>
      </c>
      <c r="AO134" s="55">
        <f>H134*1</f>
        <v>0</v>
      </c>
      <c r="AP134" s="55">
        <f>H134*(1-1)</f>
        <v>0</v>
      </c>
      <c r="AQ134" s="66" t="s">
        <v>125</v>
      </c>
      <c r="AV134" s="55">
        <f t="shared" si="81"/>
        <v>0</v>
      </c>
      <c r="AW134" s="55">
        <f t="shared" si="82"/>
        <v>0</v>
      </c>
      <c r="AX134" s="55">
        <f t="shared" si="83"/>
        <v>0</v>
      </c>
      <c r="AY134" s="58" t="s">
        <v>2795</v>
      </c>
      <c r="AZ134" s="58" t="s">
        <v>2633</v>
      </c>
      <c r="BA134" s="34" t="s">
        <v>2634</v>
      </c>
      <c r="BC134" s="55">
        <f t="shared" si="84"/>
        <v>0</v>
      </c>
      <c r="BD134" s="55">
        <f t="shared" si="85"/>
        <v>0</v>
      </c>
      <c r="BE134" s="55">
        <v>0</v>
      </c>
      <c r="BF134" s="55">
        <f t="shared" si="86"/>
        <v>0</v>
      </c>
      <c r="BH134" s="63">
        <f t="shared" si="87"/>
        <v>0</v>
      </c>
      <c r="BI134" s="63">
        <f t="shared" si="88"/>
        <v>0</v>
      </c>
      <c r="BJ134" s="63">
        <f t="shared" si="89"/>
        <v>0</v>
      </c>
      <c r="BK134" s="63"/>
      <c r="BL134" s="55"/>
      <c r="BW134" s="55">
        <v>21</v>
      </c>
    </row>
    <row r="135" spans="1:75" ht="27" customHeight="1">
      <c r="A135" s="1" t="s">
        <v>363</v>
      </c>
      <c r="B135" s="2" t="s">
        <v>2629</v>
      </c>
      <c r="C135" s="2" t="s">
        <v>2859</v>
      </c>
      <c r="D135" s="147" t="s">
        <v>2860</v>
      </c>
      <c r="E135" s="148"/>
      <c r="F135" s="2" t="s">
        <v>374</v>
      </c>
      <c r="G135" s="55">
        <f>'Stavební rozpočet-vyplnit'!G1513</f>
        <v>6</v>
      </c>
      <c r="H135" s="55">
        <f>'Stavební rozpočet-vyplnit'!H1513</f>
        <v>0</v>
      </c>
      <c r="I135" s="55">
        <f t="shared" si="68"/>
        <v>0</v>
      </c>
      <c r="J135" s="55">
        <f>'Stavební rozpočet-vyplnit'!J1513</f>
        <v>0</v>
      </c>
      <c r="K135" s="55">
        <f t="shared" si="69"/>
        <v>0</v>
      </c>
      <c r="L135" s="57" t="s">
        <v>124</v>
      </c>
      <c r="Z135" s="55">
        <f t="shared" si="70"/>
        <v>0</v>
      </c>
      <c r="AB135" s="55">
        <f t="shared" si="71"/>
        <v>0</v>
      </c>
      <c r="AC135" s="55">
        <f t="shared" si="72"/>
        <v>0</v>
      </c>
      <c r="AD135" s="55">
        <f t="shared" si="73"/>
        <v>0</v>
      </c>
      <c r="AE135" s="55">
        <f t="shared" si="74"/>
        <v>0</v>
      </c>
      <c r="AF135" s="55">
        <f t="shared" si="75"/>
        <v>0</v>
      </c>
      <c r="AG135" s="55">
        <f t="shared" si="76"/>
        <v>0</v>
      </c>
      <c r="AH135" s="55">
        <f t="shared" si="77"/>
        <v>0</v>
      </c>
      <c r="AI135" s="34" t="s">
        <v>2629</v>
      </c>
      <c r="AJ135" s="55">
        <f t="shared" si="78"/>
        <v>0</v>
      </c>
      <c r="AK135" s="55">
        <f t="shared" si="79"/>
        <v>0</v>
      </c>
      <c r="AL135" s="55">
        <f t="shared" si="80"/>
        <v>0</v>
      </c>
      <c r="AN135" s="55">
        <v>21</v>
      </c>
      <c r="AO135" s="55">
        <f>H135*0</f>
        <v>0</v>
      </c>
      <c r="AP135" s="55">
        <f>H135*(1-0)</f>
        <v>0</v>
      </c>
      <c r="AQ135" s="58" t="s">
        <v>125</v>
      </c>
      <c r="AV135" s="55">
        <f t="shared" si="81"/>
        <v>0</v>
      </c>
      <c r="AW135" s="55">
        <f t="shared" si="82"/>
        <v>0</v>
      </c>
      <c r="AX135" s="55">
        <f t="shared" si="83"/>
        <v>0</v>
      </c>
      <c r="AY135" s="58" t="s">
        <v>2795</v>
      </c>
      <c r="AZ135" s="58" t="s">
        <v>2633</v>
      </c>
      <c r="BA135" s="34" t="s">
        <v>2634</v>
      </c>
      <c r="BC135" s="55">
        <f t="shared" si="84"/>
        <v>0</v>
      </c>
      <c r="BD135" s="55">
        <f t="shared" si="85"/>
        <v>0</v>
      </c>
      <c r="BE135" s="55">
        <v>0</v>
      </c>
      <c r="BF135" s="55">
        <f t="shared" si="86"/>
        <v>0</v>
      </c>
      <c r="BH135" s="55">
        <f t="shared" si="87"/>
        <v>0</v>
      </c>
      <c r="BI135" s="55">
        <f t="shared" si="88"/>
        <v>0</v>
      </c>
      <c r="BJ135" s="55">
        <f t="shared" si="89"/>
        <v>0</v>
      </c>
      <c r="BK135" s="55"/>
      <c r="BL135" s="55"/>
      <c r="BW135" s="55">
        <v>21</v>
      </c>
    </row>
    <row r="136" spans="1:75" ht="13.5" customHeight="1">
      <c r="A136" s="1" t="s">
        <v>366</v>
      </c>
      <c r="B136" s="2" t="s">
        <v>2629</v>
      </c>
      <c r="C136" s="2" t="s">
        <v>2862</v>
      </c>
      <c r="D136" s="147" t="s">
        <v>2863</v>
      </c>
      <c r="E136" s="148"/>
      <c r="F136" s="2" t="s">
        <v>374</v>
      </c>
      <c r="G136" s="55">
        <f>'Stavební rozpočet-vyplnit'!G1514</f>
        <v>1</v>
      </c>
      <c r="H136" s="55">
        <f>'Stavební rozpočet-vyplnit'!H1514</f>
        <v>0</v>
      </c>
      <c r="I136" s="55">
        <f t="shared" si="68"/>
        <v>0</v>
      </c>
      <c r="J136" s="55">
        <f>'Stavební rozpočet-vyplnit'!J1514</f>
        <v>0</v>
      </c>
      <c r="K136" s="55">
        <f t="shared" si="69"/>
        <v>0</v>
      </c>
      <c r="L136" s="57" t="s">
        <v>124</v>
      </c>
      <c r="Z136" s="55">
        <f t="shared" si="70"/>
        <v>0</v>
      </c>
      <c r="AB136" s="55">
        <f t="shared" si="71"/>
        <v>0</v>
      </c>
      <c r="AC136" s="55">
        <f t="shared" si="72"/>
        <v>0</v>
      </c>
      <c r="AD136" s="55">
        <f t="shared" si="73"/>
        <v>0</v>
      </c>
      <c r="AE136" s="55">
        <f t="shared" si="74"/>
        <v>0</v>
      </c>
      <c r="AF136" s="55">
        <f t="shared" si="75"/>
        <v>0</v>
      </c>
      <c r="AG136" s="55">
        <f t="shared" si="76"/>
        <v>0</v>
      </c>
      <c r="AH136" s="55">
        <f t="shared" si="77"/>
        <v>0</v>
      </c>
      <c r="AI136" s="34" t="s">
        <v>2629</v>
      </c>
      <c r="AJ136" s="55">
        <f t="shared" si="78"/>
        <v>0</v>
      </c>
      <c r="AK136" s="55">
        <f t="shared" si="79"/>
        <v>0</v>
      </c>
      <c r="AL136" s="55">
        <f t="shared" si="80"/>
        <v>0</v>
      </c>
      <c r="AN136" s="55">
        <v>21</v>
      </c>
      <c r="AO136" s="55">
        <f>H136*0</f>
        <v>0</v>
      </c>
      <c r="AP136" s="55">
        <f>H136*(1-0)</f>
        <v>0</v>
      </c>
      <c r="AQ136" s="58" t="s">
        <v>125</v>
      </c>
      <c r="AV136" s="55">
        <f t="shared" si="81"/>
        <v>0</v>
      </c>
      <c r="AW136" s="55">
        <f t="shared" si="82"/>
        <v>0</v>
      </c>
      <c r="AX136" s="55">
        <f t="shared" si="83"/>
        <v>0</v>
      </c>
      <c r="AY136" s="58" t="s">
        <v>2795</v>
      </c>
      <c r="AZ136" s="58" t="s">
        <v>2633</v>
      </c>
      <c r="BA136" s="34" t="s">
        <v>2634</v>
      </c>
      <c r="BC136" s="55">
        <f t="shared" si="84"/>
        <v>0</v>
      </c>
      <c r="BD136" s="55">
        <f t="shared" si="85"/>
        <v>0</v>
      </c>
      <c r="BE136" s="55">
        <v>0</v>
      </c>
      <c r="BF136" s="55">
        <f t="shared" si="86"/>
        <v>0</v>
      </c>
      <c r="BH136" s="55">
        <f t="shared" si="87"/>
        <v>0</v>
      </c>
      <c r="BI136" s="55">
        <f t="shared" si="88"/>
        <v>0</v>
      </c>
      <c r="BJ136" s="55">
        <f t="shared" si="89"/>
        <v>0</v>
      </c>
      <c r="BK136" s="55"/>
      <c r="BL136" s="55"/>
      <c r="BW136" s="55">
        <v>21</v>
      </c>
    </row>
    <row r="137" spans="1:75" ht="27" customHeight="1">
      <c r="A137" s="1" t="s">
        <v>371</v>
      </c>
      <c r="B137" s="2" t="s">
        <v>2629</v>
      </c>
      <c r="C137" s="2" t="s">
        <v>2865</v>
      </c>
      <c r="D137" s="147" t="s">
        <v>2866</v>
      </c>
      <c r="E137" s="148"/>
      <c r="F137" s="2" t="s">
        <v>174</v>
      </c>
      <c r="G137" s="55">
        <f>'Stavební rozpočet-vyplnit'!G1515</f>
        <v>92</v>
      </c>
      <c r="H137" s="55">
        <f>'Stavební rozpočet-vyplnit'!H1515</f>
        <v>0</v>
      </c>
      <c r="I137" s="55">
        <f t="shared" si="68"/>
        <v>0</v>
      </c>
      <c r="J137" s="55">
        <f>'Stavební rozpočet-vyplnit'!J1515</f>
        <v>0</v>
      </c>
      <c r="K137" s="55">
        <f t="shared" si="69"/>
        <v>0</v>
      </c>
      <c r="L137" s="57" t="s">
        <v>124</v>
      </c>
      <c r="Z137" s="55">
        <f t="shared" si="70"/>
        <v>0</v>
      </c>
      <c r="AB137" s="55">
        <f t="shared" si="71"/>
        <v>0</v>
      </c>
      <c r="AC137" s="55">
        <f t="shared" si="72"/>
        <v>0</v>
      </c>
      <c r="AD137" s="55">
        <f t="shared" si="73"/>
        <v>0</v>
      </c>
      <c r="AE137" s="55">
        <f t="shared" si="74"/>
        <v>0</v>
      </c>
      <c r="AF137" s="55">
        <f t="shared" si="75"/>
        <v>0</v>
      </c>
      <c r="AG137" s="55">
        <f t="shared" si="76"/>
        <v>0</v>
      </c>
      <c r="AH137" s="55">
        <f t="shared" si="77"/>
        <v>0</v>
      </c>
      <c r="AI137" s="34" t="s">
        <v>2629</v>
      </c>
      <c r="AJ137" s="55">
        <f t="shared" si="78"/>
        <v>0</v>
      </c>
      <c r="AK137" s="55">
        <f t="shared" si="79"/>
        <v>0</v>
      </c>
      <c r="AL137" s="55">
        <f t="shared" si="80"/>
        <v>0</v>
      </c>
      <c r="AN137" s="55">
        <v>21</v>
      </c>
      <c r="AO137" s="55">
        <f>H137*0</f>
        <v>0</v>
      </c>
      <c r="AP137" s="55">
        <f>H137*(1-0)</f>
        <v>0</v>
      </c>
      <c r="AQ137" s="58" t="s">
        <v>125</v>
      </c>
      <c r="AV137" s="55">
        <f t="shared" si="81"/>
        <v>0</v>
      </c>
      <c r="AW137" s="55">
        <f t="shared" si="82"/>
        <v>0</v>
      </c>
      <c r="AX137" s="55">
        <f t="shared" si="83"/>
        <v>0</v>
      </c>
      <c r="AY137" s="58" t="s">
        <v>2795</v>
      </c>
      <c r="AZ137" s="58" t="s">
        <v>2633</v>
      </c>
      <c r="BA137" s="34" t="s">
        <v>2634</v>
      </c>
      <c r="BC137" s="55">
        <f t="shared" si="84"/>
        <v>0</v>
      </c>
      <c r="BD137" s="55">
        <f t="shared" si="85"/>
        <v>0</v>
      </c>
      <c r="BE137" s="55">
        <v>0</v>
      </c>
      <c r="BF137" s="55">
        <f t="shared" si="86"/>
        <v>0</v>
      </c>
      <c r="BH137" s="55">
        <f t="shared" si="87"/>
        <v>0</v>
      </c>
      <c r="BI137" s="55">
        <f t="shared" si="88"/>
        <v>0</v>
      </c>
      <c r="BJ137" s="55">
        <f t="shared" si="89"/>
        <v>0</v>
      </c>
      <c r="BK137" s="55"/>
      <c r="BL137" s="55"/>
      <c r="BW137" s="55">
        <v>21</v>
      </c>
    </row>
    <row r="138" spans="1:75" ht="13.5" customHeight="1">
      <c r="A138" s="61" t="s">
        <v>376</v>
      </c>
      <c r="B138" s="62" t="s">
        <v>2629</v>
      </c>
      <c r="C138" s="62" t="s">
        <v>2868</v>
      </c>
      <c r="D138" s="224" t="s">
        <v>2869</v>
      </c>
      <c r="E138" s="225"/>
      <c r="F138" s="62" t="s">
        <v>174</v>
      </c>
      <c r="G138" s="63">
        <f>'Stavební rozpočet-vyplnit'!G1516</f>
        <v>92</v>
      </c>
      <c r="H138" s="63">
        <f>'Stavební rozpočet-vyplnit'!H1516</f>
        <v>0</v>
      </c>
      <c r="I138" s="63">
        <f t="shared" si="68"/>
        <v>0</v>
      </c>
      <c r="J138" s="63">
        <f>'Stavební rozpočet-vyplnit'!J1516</f>
        <v>0</v>
      </c>
      <c r="K138" s="63">
        <f t="shared" si="69"/>
        <v>0</v>
      </c>
      <c r="L138" s="65" t="s">
        <v>124</v>
      </c>
      <c r="Z138" s="55">
        <f t="shared" si="70"/>
        <v>0</v>
      </c>
      <c r="AB138" s="55">
        <f t="shared" si="71"/>
        <v>0</v>
      </c>
      <c r="AC138" s="55">
        <f t="shared" si="72"/>
        <v>0</v>
      </c>
      <c r="AD138" s="55">
        <f t="shared" si="73"/>
        <v>0</v>
      </c>
      <c r="AE138" s="55">
        <f t="shared" si="74"/>
        <v>0</v>
      </c>
      <c r="AF138" s="55">
        <f t="shared" si="75"/>
        <v>0</v>
      </c>
      <c r="AG138" s="55">
        <f t="shared" si="76"/>
        <v>0</v>
      </c>
      <c r="AH138" s="55">
        <f t="shared" si="77"/>
        <v>0</v>
      </c>
      <c r="AI138" s="34" t="s">
        <v>2629</v>
      </c>
      <c r="AJ138" s="63">
        <f t="shared" si="78"/>
        <v>0</v>
      </c>
      <c r="AK138" s="63">
        <f t="shared" si="79"/>
        <v>0</v>
      </c>
      <c r="AL138" s="63">
        <f t="shared" si="80"/>
        <v>0</v>
      </c>
      <c r="AN138" s="55">
        <v>21</v>
      </c>
      <c r="AO138" s="55">
        <f>H138*1</f>
        <v>0</v>
      </c>
      <c r="AP138" s="55">
        <f>H138*(1-1)</f>
        <v>0</v>
      </c>
      <c r="AQ138" s="66" t="s">
        <v>125</v>
      </c>
      <c r="AV138" s="55">
        <f t="shared" si="81"/>
        <v>0</v>
      </c>
      <c r="AW138" s="55">
        <f t="shared" si="82"/>
        <v>0</v>
      </c>
      <c r="AX138" s="55">
        <f t="shared" si="83"/>
        <v>0</v>
      </c>
      <c r="AY138" s="58" t="s">
        <v>2795</v>
      </c>
      <c r="AZ138" s="58" t="s">
        <v>2633</v>
      </c>
      <c r="BA138" s="34" t="s">
        <v>2634</v>
      </c>
      <c r="BC138" s="55">
        <f t="shared" si="84"/>
        <v>0</v>
      </c>
      <c r="BD138" s="55">
        <f t="shared" si="85"/>
        <v>0</v>
      </c>
      <c r="BE138" s="55">
        <v>0</v>
      </c>
      <c r="BF138" s="55">
        <f t="shared" si="86"/>
        <v>0</v>
      </c>
      <c r="BH138" s="63">
        <f t="shared" si="87"/>
        <v>0</v>
      </c>
      <c r="BI138" s="63">
        <f t="shared" si="88"/>
        <v>0</v>
      </c>
      <c r="BJ138" s="63">
        <f t="shared" si="89"/>
        <v>0</v>
      </c>
      <c r="BK138" s="63"/>
      <c r="BL138" s="55"/>
      <c r="BW138" s="55">
        <v>21</v>
      </c>
    </row>
    <row r="139" spans="1:75" ht="27" customHeight="1">
      <c r="A139" s="1" t="s">
        <v>379</v>
      </c>
      <c r="B139" s="2" t="s">
        <v>2629</v>
      </c>
      <c r="C139" s="2" t="s">
        <v>2805</v>
      </c>
      <c r="D139" s="147" t="s">
        <v>2871</v>
      </c>
      <c r="E139" s="148"/>
      <c r="F139" s="2" t="s">
        <v>174</v>
      </c>
      <c r="G139" s="55">
        <f>'Stavební rozpočet-vyplnit'!G1517</f>
        <v>55</v>
      </c>
      <c r="H139" s="55">
        <f>'Stavební rozpočet-vyplnit'!H1517</f>
        <v>0</v>
      </c>
      <c r="I139" s="55">
        <f t="shared" si="68"/>
        <v>0</v>
      </c>
      <c r="J139" s="55">
        <f>'Stavební rozpočet-vyplnit'!J1517</f>
        <v>0</v>
      </c>
      <c r="K139" s="55">
        <f t="shared" si="69"/>
        <v>0</v>
      </c>
      <c r="L139" s="57" t="s">
        <v>124</v>
      </c>
      <c r="Z139" s="55">
        <f t="shared" si="70"/>
        <v>0</v>
      </c>
      <c r="AB139" s="55">
        <f t="shared" si="71"/>
        <v>0</v>
      </c>
      <c r="AC139" s="55">
        <f t="shared" si="72"/>
        <v>0</v>
      </c>
      <c r="AD139" s="55">
        <f t="shared" si="73"/>
        <v>0</v>
      </c>
      <c r="AE139" s="55">
        <f t="shared" si="74"/>
        <v>0</v>
      </c>
      <c r="AF139" s="55">
        <f t="shared" si="75"/>
        <v>0</v>
      </c>
      <c r="AG139" s="55">
        <f t="shared" si="76"/>
        <v>0</v>
      </c>
      <c r="AH139" s="55">
        <f t="shared" si="77"/>
        <v>0</v>
      </c>
      <c r="AI139" s="34" t="s">
        <v>2629</v>
      </c>
      <c r="AJ139" s="55">
        <f t="shared" si="78"/>
        <v>0</v>
      </c>
      <c r="AK139" s="55">
        <f t="shared" si="79"/>
        <v>0</v>
      </c>
      <c r="AL139" s="55">
        <f t="shared" si="80"/>
        <v>0</v>
      </c>
      <c r="AN139" s="55">
        <v>21</v>
      </c>
      <c r="AO139" s="55">
        <f>H139*0</f>
        <v>0</v>
      </c>
      <c r="AP139" s="55">
        <f>H139*(1-0)</f>
        <v>0</v>
      </c>
      <c r="AQ139" s="58" t="s">
        <v>125</v>
      </c>
      <c r="AV139" s="55">
        <f t="shared" si="81"/>
        <v>0</v>
      </c>
      <c r="AW139" s="55">
        <f t="shared" si="82"/>
        <v>0</v>
      </c>
      <c r="AX139" s="55">
        <f t="shared" si="83"/>
        <v>0</v>
      </c>
      <c r="AY139" s="58" t="s">
        <v>2795</v>
      </c>
      <c r="AZ139" s="58" t="s">
        <v>2633</v>
      </c>
      <c r="BA139" s="34" t="s">
        <v>2634</v>
      </c>
      <c r="BC139" s="55">
        <f t="shared" si="84"/>
        <v>0</v>
      </c>
      <c r="BD139" s="55">
        <f t="shared" si="85"/>
        <v>0</v>
      </c>
      <c r="BE139" s="55">
        <v>0</v>
      </c>
      <c r="BF139" s="55">
        <f t="shared" si="86"/>
        <v>0</v>
      </c>
      <c r="BH139" s="55">
        <f t="shared" si="87"/>
        <v>0</v>
      </c>
      <c r="BI139" s="55">
        <f t="shared" si="88"/>
        <v>0</v>
      </c>
      <c r="BJ139" s="55">
        <f t="shared" si="89"/>
        <v>0</v>
      </c>
      <c r="BK139" s="55"/>
      <c r="BL139" s="55"/>
      <c r="BW139" s="55">
        <v>21</v>
      </c>
    </row>
    <row r="140" spans="1:12" ht="13.5" customHeight="1">
      <c r="A140" s="59"/>
      <c r="D140" s="218" t="s">
        <v>2872</v>
      </c>
      <c r="E140" s="219"/>
      <c r="F140" s="219"/>
      <c r="G140" s="219"/>
      <c r="H140" s="219"/>
      <c r="I140" s="219"/>
      <c r="J140" s="219"/>
      <c r="K140" s="219"/>
      <c r="L140" s="221"/>
    </row>
    <row r="141" spans="1:75" ht="13.5" customHeight="1">
      <c r="A141" s="61" t="s">
        <v>382</v>
      </c>
      <c r="B141" s="62" t="s">
        <v>2629</v>
      </c>
      <c r="C141" s="62" t="s">
        <v>2808</v>
      </c>
      <c r="D141" s="224" t="s">
        <v>2809</v>
      </c>
      <c r="E141" s="225"/>
      <c r="F141" s="62" t="s">
        <v>174</v>
      </c>
      <c r="G141" s="63">
        <f>'Stavební rozpočet-vyplnit'!G1519</f>
        <v>55</v>
      </c>
      <c r="H141" s="63">
        <f>'Stavební rozpočet-vyplnit'!H1519</f>
        <v>0</v>
      </c>
      <c r="I141" s="63">
        <f>G141*H141</f>
        <v>0</v>
      </c>
      <c r="J141" s="63">
        <f>'Stavební rozpočet-vyplnit'!J1519</f>
        <v>0</v>
      </c>
      <c r="K141" s="63">
        <f>G141*J141</f>
        <v>0</v>
      </c>
      <c r="L141" s="65" t="s">
        <v>124</v>
      </c>
      <c r="Z141" s="55">
        <f>IF(AQ141="5",BJ141,0)</f>
        <v>0</v>
      </c>
      <c r="AB141" s="55">
        <f>IF(AQ141="1",BH141,0)</f>
        <v>0</v>
      </c>
      <c r="AC141" s="55">
        <f>IF(AQ141="1",BI141,0)</f>
        <v>0</v>
      </c>
      <c r="AD141" s="55">
        <f>IF(AQ141="7",BH141,0)</f>
        <v>0</v>
      </c>
      <c r="AE141" s="55">
        <f>IF(AQ141="7",BI141,0)</f>
        <v>0</v>
      </c>
      <c r="AF141" s="55">
        <f>IF(AQ141="2",BH141,0)</f>
        <v>0</v>
      </c>
      <c r="AG141" s="55">
        <f>IF(AQ141="2",BI141,0)</f>
        <v>0</v>
      </c>
      <c r="AH141" s="55">
        <f>IF(AQ141="0",BJ141,0)</f>
        <v>0</v>
      </c>
      <c r="AI141" s="34" t="s">
        <v>2629</v>
      </c>
      <c r="AJ141" s="63">
        <f>IF(AN141=0,I141,0)</f>
        <v>0</v>
      </c>
      <c r="AK141" s="63">
        <f>IF(AN141=12,I141,0)</f>
        <v>0</v>
      </c>
      <c r="AL141" s="63">
        <f>IF(AN141=21,I141,0)</f>
        <v>0</v>
      </c>
      <c r="AN141" s="55">
        <v>21</v>
      </c>
      <c r="AO141" s="55">
        <f>H141*1</f>
        <v>0</v>
      </c>
      <c r="AP141" s="55">
        <f>H141*(1-1)</f>
        <v>0</v>
      </c>
      <c r="AQ141" s="66" t="s">
        <v>125</v>
      </c>
      <c r="AV141" s="55">
        <f>AW141+AX141</f>
        <v>0</v>
      </c>
      <c r="AW141" s="55">
        <f>G141*AO141</f>
        <v>0</v>
      </c>
      <c r="AX141" s="55">
        <f>G141*AP141</f>
        <v>0</v>
      </c>
      <c r="AY141" s="58" t="s">
        <v>2795</v>
      </c>
      <c r="AZ141" s="58" t="s">
        <v>2633</v>
      </c>
      <c r="BA141" s="34" t="s">
        <v>2634</v>
      </c>
      <c r="BC141" s="55">
        <f>AW141+AX141</f>
        <v>0</v>
      </c>
      <c r="BD141" s="55">
        <f>H141/(100-BE141)*100</f>
        <v>0</v>
      </c>
      <c r="BE141" s="55">
        <v>0</v>
      </c>
      <c r="BF141" s="55">
        <f>K141</f>
        <v>0</v>
      </c>
      <c r="BH141" s="63">
        <f>G141*AO141</f>
        <v>0</v>
      </c>
      <c r="BI141" s="63">
        <f>G141*AP141</f>
        <v>0</v>
      </c>
      <c r="BJ141" s="63">
        <f>G141*H141</f>
        <v>0</v>
      </c>
      <c r="BK141" s="63"/>
      <c r="BL141" s="55"/>
      <c r="BW141" s="55">
        <v>21</v>
      </c>
    </row>
    <row r="142" spans="1:75" ht="27" customHeight="1">
      <c r="A142" s="1" t="s">
        <v>385</v>
      </c>
      <c r="B142" s="2" t="s">
        <v>2629</v>
      </c>
      <c r="C142" s="2" t="s">
        <v>2805</v>
      </c>
      <c r="D142" s="147" t="s">
        <v>2806</v>
      </c>
      <c r="E142" s="148"/>
      <c r="F142" s="2" t="s">
        <v>174</v>
      </c>
      <c r="G142" s="55">
        <f>'Stavební rozpočet-vyplnit'!G1520</f>
        <v>55</v>
      </c>
      <c r="H142" s="55">
        <f>'Stavební rozpočet-vyplnit'!H1520</f>
        <v>0</v>
      </c>
      <c r="I142" s="55">
        <f>G142*H142</f>
        <v>0</v>
      </c>
      <c r="J142" s="55">
        <f>'Stavební rozpočet-vyplnit'!J1520</f>
        <v>0</v>
      </c>
      <c r="K142" s="55">
        <f>G142*J142</f>
        <v>0</v>
      </c>
      <c r="L142" s="57" t="s">
        <v>124</v>
      </c>
      <c r="Z142" s="55">
        <f>IF(AQ142="5",BJ142,0)</f>
        <v>0</v>
      </c>
      <c r="AB142" s="55">
        <f>IF(AQ142="1",BH142,0)</f>
        <v>0</v>
      </c>
      <c r="AC142" s="55">
        <f>IF(AQ142="1",BI142,0)</f>
        <v>0</v>
      </c>
      <c r="AD142" s="55">
        <f>IF(AQ142="7",BH142,0)</f>
        <v>0</v>
      </c>
      <c r="AE142" s="55">
        <f>IF(AQ142="7",BI142,0)</f>
        <v>0</v>
      </c>
      <c r="AF142" s="55">
        <f>IF(AQ142="2",BH142,0)</f>
        <v>0</v>
      </c>
      <c r="AG142" s="55">
        <f>IF(AQ142="2",BI142,0)</f>
        <v>0</v>
      </c>
      <c r="AH142" s="55">
        <f>IF(AQ142="0",BJ142,0)</f>
        <v>0</v>
      </c>
      <c r="AI142" s="34" t="s">
        <v>2629</v>
      </c>
      <c r="AJ142" s="55">
        <f>IF(AN142=0,I142,0)</f>
        <v>0</v>
      </c>
      <c r="AK142" s="55">
        <f>IF(AN142=12,I142,0)</f>
        <v>0</v>
      </c>
      <c r="AL142" s="55">
        <f>IF(AN142=21,I142,0)</f>
        <v>0</v>
      </c>
      <c r="AN142" s="55">
        <v>21</v>
      </c>
      <c r="AO142" s="55">
        <f>H142*0</f>
        <v>0</v>
      </c>
      <c r="AP142" s="55">
        <f>H142*(1-0)</f>
        <v>0</v>
      </c>
      <c r="AQ142" s="58" t="s">
        <v>125</v>
      </c>
      <c r="AV142" s="55">
        <f>AW142+AX142</f>
        <v>0</v>
      </c>
      <c r="AW142" s="55">
        <f>G142*AO142</f>
        <v>0</v>
      </c>
      <c r="AX142" s="55">
        <f>G142*AP142</f>
        <v>0</v>
      </c>
      <c r="AY142" s="58" t="s">
        <v>2795</v>
      </c>
      <c r="AZ142" s="58" t="s">
        <v>2633</v>
      </c>
      <c r="BA142" s="34" t="s">
        <v>2634</v>
      </c>
      <c r="BC142" s="55">
        <f>AW142+AX142</f>
        <v>0</v>
      </c>
      <c r="BD142" s="55">
        <f>H142/(100-BE142)*100</f>
        <v>0</v>
      </c>
      <c r="BE142" s="55">
        <v>0</v>
      </c>
      <c r="BF142" s="55">
        <f>K142</f>
        <v>0</v>
      </c>
      <c r="BH142" s="55">
        <f>G142*AO142</f>
        <v>0</v>
      </c>
      <c r="BI142" s="55">
        <f>G142*AP142</f>
        <v>0</v>
      </c>
      <c r="BJ142" s="55">
        <f>G142*H142</f>
        <v>0</v>
      </c>
      <c r="BK142" s="55"/>
      <c r="BL142" s="55"/>
      <c r="BW142" s="55">
        <v>21</v>
      </c>
    </row>
    <row r="143" spans="1:75" ht="27" customHeight="1">
      <c r="A143" s="1" t="s">
        <v>388</v>
      </c>
      <c r="B143" s="2" t="s">
        <v>2629</v>
      </c>
      <c r="C143" s="2" t="s">
        <v>2875</v>
      </c>
      <c r="D143" s="147" t="s">
        <v>2876</v>
      </c>
      <c r="E143" s="148"/>
      <c r="F143" s="2" t="s">
        <v>174</v>
      </c>
      <c r="G143" s="55">
        <f>'Stavební rozpočet-vyplnit'!G1521</f>
        <v>60</v>
      </c>
      <c r="H143" s="55">
        <f>'Stavební rozpočet-vyplnit'!H1521</f>
        <v>0</v>
      </c>
      <c r="I143" s="55">
        <f>G143*H143</f>
        <v>0</v>
      </c>
      <c r="J143" s="55">
        <f>'Stavební rozpočet-vyplnit'!J1521</f>
        <v>0</v>
      </c>
      <c r="K143" s="55">
        <f>G143*J143</f>
        <v>0</v>
      </c>
      <c r="L143" s="57" t="s">
        <v>124</v>
      </c>
      <c r="Z143" s="55">
        <f>IF(AQ143="5",BJ143,0)</f>
        <v>0</v>
      </c>
      <c r="AB143" s="55">
        <f>IF(AQ143="1",BH143,0)</f>
        <v>0</v>
      </c>
      <c r="AC143" s="55">
        <f>IF(AQ143="1",BI143,0)</f>
        <v>0</v>
      </c>
      <c r="AD143" s="55">
        <f>IF(AQ143="7",BH143,0)</f>
        <v>0</v>
      </c>
      <c r="AE143" s="55">
        <f>IF(AQ143="7",BI143,0)</f>
        <v>0</v>
      </c>
      <c r="AF143" s="55">
        <f>IF(AQ143="2",BH143,0)</f>
        <v>0</v>
      </c>
      <c r="AG143" s="55">
        <f>IF(AQ143="2",BI143,0)</f>
        <v>0</v>
      </c>
      <c r="AH143" s="55">
        <f>IF(AQ143="0",BJ143,0)</f>
        <v>0</v>
      </c>
      <c r="AI143" s="34" t="s">
        <v>2629</v>
      </c>
      <c r="AJ143" s="55">
        <f>IF(AN143=0,I143,0)</f>
        <v>0</v>
      </c>
      <c r="AK143" s="55">
        <f>IF(AN143=12,I143,0)</f>
        <v>0</v>
      </c>
      <c r="AL143" s="55">
        <f>IF(AN143=21,I143,0)</f>
        <v>0</v>
      </c>
      <c r="AN143" s="55">
        <v>21</v>
      </c>
      <c r="AO143" s="55">
        <f>H143*0</f>
        <v>0</v>
      </c>
      <c r="AP143" s="55">
        <f>H143*(1-0)</f>
        <v>0</v>
      </c>
      <c r="AQ143" s="58" t="s">
        <v>125</v>
      </c>
      <c r="AV143" s="55">
        <f>AW143+AX143</f>
        <v>0</v>
      </c>
      <c r="AW143" s="55">
        <f>G143*AO143</f>
        <v>0</v>
      </c>
      <c r="AX143" s="55">
        <f>G143*AP143</f>
        <v>0</v>
      </c>
      <c r="AY143" s="58" t="s">
        <v>2795</v>
      </c>
      <c r="AZ143" s="58" t="s">
        <v>2633</v>
      </c>
      <c r="BA143" s="34" t="s">
        <v>2634</v>
      </c>
      <c r="BC143" s="55">
        <f>AW143+AX143</f>
        <v>0</v>
      </c>
      <c r="BD143" s="55">
        <f>H143/(100-BE143)*100</f>
        <v>0</v>
      </c>
      <c r="BE143" s="55">
        <v>0</v>
      </c>
      <c r="BF143" s="55">
        <f>K143</f>
        <v>0</v>
      </c>
      <c r="BH143" s="55">
        <f>G143*AO143</f>
        <v>0</v>
      </c>
      <c r="BI143" s="55">
        <f>G143*AP143</f>
        <v>0</v>
      </c>
      <c r="BJ143" s="55">
        <f>G143*H143</f>
        <v>0</v>
      </c>
      <c r="BK143" s="55"/>
      <c r="BL143" s="55"/>
      <c r="BW143" s="55">
        <v>21</v>
      </c>
    </row>
    <row r="144" spans="1:75" ht="13.5" customHeight="1">
      <c r="A144" s="61" t="s">
        <v>391</v>
      </c>
      <c r="B144" s="62" t="s">
        <v>2629</v>
      </c>
      <c r="C144" s="62" t="s">
        <v>2877</v>
      </c>
      <c r="D144" s="224" t="s">
        <v>2878</v>
      </c>
      <c r="E144" s="225"/>
      <c r="F144" s="62" t="s">
        <v>2815</v>
      </c>
      <c r="G144" s="63">
        <f>'Stavební rozpočet-vyplnit'!G1522</f>
        <v>60</v>
      </c>
      <c r="H144" s="63">
        <f>'Stavební rozpočet-vyplnit'!H1522</f>
        <v>0</v>
      </c>
      <c r="I144" s="63">
        <f>G144*H144</f>
        <v>0</v>
      </c>
      <c r="J144" s="63">
        <f>'Stavební rozpočet-vyplnit'!J1522</f>
        <v>0</v>
      </c>
      <c r="K144" s="63">
        <f>G144*J144</f>
        <v>0</v>
      </c>
      <c r="L144" s="65" t="s">
        <v>124</v>
      </c>
      <c r="Z144" s="55">
        <f>IF(AQ144="5",BJ144,0)</f>
        <v>0</v>
      </c>
      <c r="AB144" s="55">
        <f>IF(AQ144="1",BH144,0)</f>
        <v>0</v>
      </c>
      <c r="AC144" s="55">
        <f>IF(AQ144="1",BI144,0)</f>
        <v>0</v>
      </c>
      <c r="AD144" s="55">
        <f>IF(AQ144="7",BH144,0)</f>
        <v>0</v>
      </c>
      <c r="AE144" s="55">
        <f>IF(AQ144="7",BI144,0)</f>
        <v>0</v>
      </c>
      <c r="AF144" s="55">
        <f>IF(AQ144="2",BH144,0)</f>
        <v>0</v>
      </c>
      <c r="AG144" s="55">
        <f>IF(AQ144="2",BI144,0)</f>
        <v>0</v>
      </c>
      <c r="AH144" s="55">
        <f>IF(AQ144="0",BJ144,0)</f>
        <v>0</v>
      </c>
      <c r="AI144" s="34" t="s">
        <v>2629</v>
      </c>
      <c r="AJ144" s="63">
        <f>IF(AN144=0,I144,0)</f>
        <v>0</v>
      </c>
      <c r="AK144" s="63">
        <f>IF(AN144=12,I144,0)</f>
        <v>0</v>
      </c>
      <c r="AL144" s="63">
        <f>IF(AN144=21,I144,0)</f>
        <v>0</v>
      </c>
      <c r="AN144" s="55">
        <v>21</v>
      </c>
      <c r="AO144" s="55">
        <f>H144*1</f>
        <v>0</v>
      </c>
      <c r="AP144" s="55">
        <f>H144*(1-1)</f>
        <v>0</v>
      </c>
      <c r="AQ144" s="66" t="s">
        <v>125</v>
      </c>
      <c r="AV144" s="55">
        <f>AW144+AX144</f>
        <v>0</v>
      </c>
      <c r="AW144" s="55">
        <f>G144*AO144</f>
        <v>0</v>
      </c>
      <c r="AX144" s="55">
        <f>G144*AP144</f>
        <v>0</v>
      </c>
      <c r="AY144" s="58" t="s">
        <v>2795</v>
      </c>
      <c r="AZ144" s="58" t="s">
        <v>2633</v>
      </c>
      <c r="BA144" s="34" t="s">
        <v>2634</v>
      </c>
      <c r="BC144" s="55">
        <f>AW144+AX144</f>
        <v>0</v>
      </c>
      <c r="BD144" s="55">
        <f>H144/(100-BE144)*100</f>
        <v>0</v>
      </c>
      <c r="BE144" s="55">
        <v>0</v>
      </c>
      <c r="BF144" s="55">
        <f>K144</f>
        <v>0</v>
      </c>
      <c r="BH144" s="63">
        <f>G144*AO144</f>
        <v>0</v>
      </c>
      <c r="BI144" s="63">
        <f>G144*AP144</f>
        <v>0</v>
      </c>
      <c r="BJ144" s="63">
        <f>G144*H144</f>
        <v>0</v>
      </c>
      <c r="BK144" s="63"/>
      <c r="BL144" s="55"/>
      <c r="BW144" s="55">
        <v>21</v>
      </c>
    </row>
    <row r="145" spans="1:75" ht="27" customHeight="1">
      <c r="A145" s="1" t="s">
        <v>394</v>
      </c>
      <c r="B145" s="2" t="s">
        <v>2629</v>
      </c>
      <c r="C145" s="2" t="s">
        <v>2880</v>
      </c>
      <c r="D145" s="147" t="s">
        <v>2881</v>
      </c>
      <c r="E145" s="148"/>
      <c r="F145" s="2" t="s">
        <v>374</v>
      </c>
      <c r="G145" s="55">
        <f>'Stavební rozpočet-vyplnit'!G1523</f>
        <v>1</v>
      </c>
      <c r="H145" s="55">
        <f>'Stavební rozpočet-vyplnit'!H1523</f>
        <v>0</v>
      </c>
      <c r="I145" s="55">
        <f>G145*H145</f>
        <v>0</v>
      </c>
      <c r="J145" s="55">
        <f>'Stavební rozpočet-vyplnit'!J1523</f>
        <v>0</v>
      </c>
      <c r="K145" s="55">
        <f>G145*J145</f>
        <v>0</v>
      </c>
      <c r="L145" s="57" t="s">
        <v>124</v>
      </c>
      <c r="Z145" s="55">
        <f>IF(AQ145="5",BJ145,0)</f>
        <v>0</v>
      </c>
      <c r="AB145" s="55">
        <f>IF(AQ145="1",BH145,0)</f>
        <v>0</v>
      </c>
      <c r="AC145" s="55">
        <f>IF(AQ145="1",BI145,0)</f>
        <v>0</v>
      </c>
      <c r="AD145" s="55">
        <f>IF(AQ145="7",BH145,0)</f>
        <v>0</v>
      </c>
      <c r="AE145" s="55">
        <f>IF(AQ145="7",BI145,0)</f>
        <v>0</v>
      </c>
      <c r="AF145" s="55">
        <f>IF(AQ145="2",BH145,0)</f>
        <v>0</v>
      </c>
      <c r="AG145" s="55">
        <f>IF(AQ145="2",BI145,0)</f>
        <v>0</v>
      </c>
      <c r="AH145" s="55">
        <f>IF(AQ145="0",BJ145,0)</f>
        <v>0</v>
      </c>
      <c r="AI145" s="34" t="s">
        <v>2629</v>
      </c>
      <c r="AJ145" s="55">
        <f>IF(AN145=0,I145,0)</f>
        <v>0</v>
      </c>
      <c r="AK145" s="55">
        <f>IF(AN145=12,I145,0)</f>
        <v>0</v>
      </c>
      <c r="AL145" s="55">
        <f>IF(AN145=21,I145,0)</f>
        <v>0</v>
      </c>
      <c r="AN145" s="55">
        <v>21</v>
      </c>
      <c r="AO145" s="55">
        <f>H145*0</f>
        <v>0</v>
      </c>
      <c r="AP145" s="55">
        <f>H145*(1-0)</f>
        <v>0</v>
      </c>
      <c r="AQ145" s="58" t="s">
        <v>125</v>
      </c>
      <c r="AV145" s="55">
        <f>AW145+AX145</f>
        <v>0</v>
      </c>
      <c r="AW145" s="55">
        <f>G145*AO145</f>
        <v>0</v>
      </c>
      <c r="AX145" s="55">
        <f>G145*AP145</f>
        <v>0</v>
      </c>
      <c r="AY145" s="58" t="s">
        <v>2795</v>
      </c>
      <c r="AZ145" s="58" t="s">
        <v>2633</v>
      </c>
      <c r="BA145" s="34" t="s">
        <v>2634</v>
      </c>
      <c r="BC145" s="55">
        <f>AW145+AX145</f>
        <v>0</v>
      </c>
      <c r="BD145" s="55">
        <f>H145/(100-BE145)*100</f>
        <v>0</v>
      </c>
      <c r="BE145" s="55">
        <v>0</v>
      </c>
      <c r="BF145" s="55">
        <f>K145</f>
        <v>0</v>
      </c>
      <c r="BH145" s="55">
        <f>G145*AO145</f>
        <v>0</v>
      </c>
      <c r="BI145" s="55">
        <f>G145*AP145</f>
        <v>0</v>
      </c>
      <c r="BJ145" s="55">
        <f>G145*H145</f>
        <v>0</v>
      </c>
      <c r="BK145" s="55"/>
      <c r="BL145" s="55"/>
      <c r="BW145" s="55">
        <v>21</v>
      </c>
    </row>
    <row r="146" spans="1:12" ht="13.5" customHeight="1">
      <c r="A146" s="59"/>
      <c r="D146" s="218" t="s">
        <v>2882</v>
      </c>
      <c r="E146" s="219"/>
      <c r="F146" s="219"/>
      <c r="G146" s="219"/>
      <c r="H146" s="219"/>
      <c r="I146" s="219"/>
      <c r="J146" s="219"/>
      <c r="K146" s="219"/>
      <c r="L146" s="221"/>
    </row>
    <row r="147" spans="1:75" ht="27" customHeight="1">
      <c r="A147" s="1" t="s">
        <v>397</v>
      </c>
      <c r="B147" s="2" t="s">
        <v>2629</v>
      </c>
      <c r="C147" s="2" t="s">
        <v>2884</v>
      </c>
      <c r="D147" s="147" t="s">
        <v>2885</v>
      </c>
      <c r="E147" s="148"/>
      <c r="F147" s="2" t="s">
        <v>374</v>
      </c>
      <c r="G147" s="55">
        <f>'Stavební rozpočet-vyplnit'!G1525</f>
        <v>5</v>
      </c>
      <c r="H147" s="55">
        <f>'Stavební rozpočet-vyplnit'!H1525</f>
        <v>0</v>
      </c>
      <c r="I147" s="55">
        <f>G147*H147</f>
        <v>0</v>
      </c>
      <c r="J147" s="55">
        <f>'Stavební rozpočet-vyplnit'!J1525</f>
        <v>0</v>
      </c>
      <c r="K147" s="55">
        <f>G147*J147</f>
        <v>0</v>
      </c>
      <c r="L147" s="57" t="s">
        <v>124</v>
      </c>
      <c r="Z147" s="55">
        <f>IF(AQ147="5",BJ147,0)</f>
        <v>0</v>
      </c>
      <c r="AB147" s="55">
        <f>IF(AQ147="1",BH147,0)</f>
        <v>0</v>
      </c>
      <c r="AC147" s="55">
        <f>IF(AQ147="1",BI147,0)</f>
        <v>0</v>
      </c>
      <c r="AD147" s="55">
        <f>IF(AQ147="7",BH147,0)</f>
        <v>0</v>
      </c>
      <c r="AE147" s="55">
        <f>IF(AQ147="7",BI147,0)</f>
        <v>0</v>
      </c>
      <c r="AF147" s="55">
        <f>IF(AQ147="2",BH147,0)</f>
        <v>0</v>
      </c>
      <c r="AG147" s="55">
        <f>IF(AQ147="2",BI147,0)</f>
        <v>0</v>
      </c>
      <c r="AH147" s="55">
        <f>IF(AQ147="0",BJ147,0)</f>
        <v>0</v>
      </c>
      <c r="AI147" s="34" t="s">
        <v>2629</v>
      </c>
      <c r="AJ147" s="55">
        <f>IF(AN147=0,I147,0)</f>
        <v>0</v>
      </c>
      <c r="AK147" s="55">
        <f>IF(AN147=12,I147,0)</f>
        <v>0</v>
      </c>
      <c r="AL147" s="55">
        <f>IF(AN147=21,I147,0)</f>
        <v>0</v>
      </c>
      <c r="AN147" s="55">
        <v>21</v>
      </c>
      <c r="AO147" s="55">
        <f>H147*0</f>
        <v>0</v>
      </c>
      <c r="AP147" s="55">
        <f>H147*(1-0)</f>
        <v>0</v>
      </c>
      <c r="AQ147" s="58" t="s">
        <v>125</v>
      </c>
      <c r="AV147" s="55">
        <f>AW147+AX147</f>
        <v>0</v>
      </c>
      <c r="AW147" s="55">
        <f>G147*AO147</f>
        <v>0</v>
      </c>
      <c r="AX147" s="55">
        <f>G147*AP147</f>
        <v>0</v>
      </c>
      <c r="AY147" s="58" t="s">
        <v>2795</v>
      </c>
      <c r="AZ147" s="58" t="s">
        <v>2633</v>
      </c>
      <c r="BA147" s="34" t="s">
        <v>2634</v>
      </c>
      <c r="BC147" s="55">
        <f>AW147+AX147</f>
        <v>0</v>
      </c>
      <c r="BD147" s="55">
        <f>H147/(100-BE147)*100</f>
        <v>0</v>
      </c>
      <c r="BE147" s="55">
        <v>0</v>
      </c>
      <c r="BF147" s="55">
        <f>K147</f>
        <v>0</v>
      </c>
      <c r="BH147" s="55">
        <f>G147*AO147</f>
        <v>0</v>
      </c>
      <c r="BI147" s="55">
        <f>G147*AP147</f>
        <v>0</v>
      </c>
      <c r="BJ147" s="55">
        <f>G147*H147</f>
        <v>0</v>
      </c>
      <c r="BK147" s="55"/>
      <c r="BL147" s="55"/>
      <c r="BW147" s="55">
        <v>21</v>
      </c>
    </row>
    <row r="148" spans="1:12" ht="13.5" customHeight="1">
      <c r="A148" s="59"/>
      <c r="D148" s="218" t="s">
        <v>2886</v>
      </c>
      <c r="E148" s="219"/>
      <c r="F148" s="219"/>
      <c r="G148" s="219"/>
      <c r="H148" s="219"/>
      <c r="I148" s="219"/>
      <c r="J148" s="219"/>
      <c r="K148" s="219"/>
      <c r="L148" s="221"/>
    </row>
    <row r="149" spans="1:75" ht="13.5" customHeight="1">
      <c r="A149" s="1" t="s">
        <v>401</v>
      </c>
      <c r="B149" s="2" t="s">
        <v>2629</v>
      </c>
      <c r="C149" s="2" t="s">
        <v>2862</v>
      </c>
      <c r="D149" s="147" t="s">
        <v>2863</v>
      </c>
      <c r="E149" s="148"/>
      <c r="F149" s="2" t="s">
        <v>374</v>
      </c>
      <c r="G149" s="55">
        <f>'Stavební rozpočet-vyplnit'!G1527</f>
        <v>1</v>
      </c>
      <c r="H149" s="55">
        <f>'Stavební rozpočet-vyplnit'!H1527</f>
        <v>0</v>
      </c>
      <c r="I149" s="55">
        <f>G149*H149</f>
        <v>0</v>
      </c>
      <c r="J149" s="55">
        <f>'Stavební rozpočet-vyplnit'!J1527</f>
        <v>0</v>
      </c>
      <c r="K149" s="55">
        <f>G149*J149</f>
        <v>0</v>
      </c>
      <c r="L149" s="57" t="s">
        <v>124</v>
      </c>
      <c r="Z149" s="55">
        <f>IF(AQ149="5",BJ149,0)</f>
        <v>0</v>
      </c>
      <c r="AB149" s="55">
        <f>IF(AQ149="1",BH149,0)</f>
        <v>0</v>
      </c>
      <c r="AC149" s="55">
        <f>IF(AQ149="1",BI149,0)</f>
        <v>0</v>
      </c>
      <c r="AD149" s="55">
        <f>IF(AQ149="7",BH149,0)</f>
        <v>0</v>
      </c>
      <c r="AE149" s="55">
        <f>IF(AQ149="7",BI149,0)</f>
        <v>0</v>
      </c>
      <c r="AF149" s="55">
        <f>IF(AQ149="2",BH149,0)</f>
        <v>0</v>
      </c>
      <c r="AG149" s="55">
        <f>IF(AQ149="2",BI149,0)</f>
        <v>0</v>
      </c>
      <c r="AH149" s="55">
        <f>IF(AQ149="0",BJ149,0)</f>
        <v>0</v>
      </c>
      <c r="AI149" s="34" t="s">
        <v>2629</v>
      </c>
      <c r="AJ149" s="55">
        <f>IF(AN149=0,I149,0)</f>
        <v>0</v>
      </c>
      <c r="AK149" s="55">
        <f>IF(AN149=12,I149,0)</f>
        <v>0</v>
      </c>
      <c r="AL149" s="55">
        <f>IF(AN149=21,I149,0)</f>
        <v>0</v>
      </c>
      <c r="AN149" s="55">
        <v>21</v>
      </c>
      <c r="AO149" s="55">
        <f>H149*0</f>
        <v>0</v>
      </c>
      <c r="AP149" s="55">
        <f>H149*(1-0)</f>
        <v>0</v>
      </c>
      <c r="AQ149" s="58" t="s">
        <v>125</v>
      </c>
      <c r="AV149" s="55">
        <f>AW149+AX149</f>
        <v>0</v>
      </c>
      <c r="AW149" s="55">
        <f>G149*AO149</f>
        <v>0</v>
      </c>
      <c r="AX149" s="55">
        <f>G149*AP149</f>
        <v>0</v>
      </c>
      <c r="AY149" s="58" t="s">
        <v>2795</v>
      </c>
      <c r="AZ149" s="58" t="s">
        <v>2633</v>
      </c>
      <c r="BA149" s="34" t="s">
        <v>2634</v>
      </c>
      <c r="BC149" s="55">
        <f>AW149+AX149</f>
        <v>0</v>
      </c>
      <c r="BD149" s="55">
        <f>H149/(100-BE149)*100</f>
        <v>0</v>
      </c>
      <c r="BE149" s="55">
        <v>0</v>
      </c>
      <c r="BF149" s="55">
        <f>K149</f>
        <v>0</v>
      </c>
      <c r="BH149" s="55">
        <f>G149*AO149</f>
        <v>0</v>
      </c>
      <c r="BI149" s="55">
        <f>G149*AP149</f>
        <v>0</v>
      </c>
      <c r="BJ149" s="55">
        <f>G149*H149</f>
        <v>0</v>
      </c>
      <c r="BK149" s="55"/>
      <c r="BL149" s="55"/>
      <c r="BW149" s="55">
        <v>21</v>
      </c>
    </row>
    <row r="150" spans="1:12" ht="13.5" customHeight="1">
      <c r="A150" s="59"/>
      <c r="D150" s="218" t="s">
        <v>2886</v>
      </c>
      <c r="E150" s="219"/>
      <c r="F150" s="219"/>
      <c r="G150" s="219"/>
      <c r="H150" s="219"/>
      <c r="I150" s="219"/>
      <c r="J150" s="219"/>
      <c r="K150" s="219"/>
      <c r="L150" s="221"/>
    </row>
    <row r="151" spans="1:75" ht="27" customHeight="1">
      <c r="A151" s="1" t="s">
        <v>404</v>
      </c>
      <c r="B151" s="2" t="s">
        <v>2629</v>
      </c>
      <c r="C151" s="2" t="s">
        <v>2889</v>
      </c>
      <c r="D151" s="147" t="s">
        <v>2890</v>
      </c>
      <c r="E151" s="148"/>
      <c r="F151" s="2" t="s">
        <v>174</v>
      </c>
      <c r="G151" s="55">
        <f>'Stavební rozpočet-vyplnit'!G1529</f>
        <v>0</v>
      </c>
      <c r="H151" s="55">
        <f>'Stavební rozpočet-vyplnit'!H1529</f>
        <v>0</v>
      </c>
      <c r="I151" s="55">
        <f>G151*H151</f>
        <v>0</v>
      </c>
      <c r="J151" s="55">
        <f>'Stavební rozpočet-vyplnit'!J1529</f>
        <v>0</v>
      </c>
      <c r="K151" s="55">
        <f>G151*J151</f>
        <v>0</v>
      </c>
      <c r="L151" s="57" t="s">
        <v>124</v>
      </c>
      <c r="Z151" s="55">
        <f>IF(AQ151="5",BJ151,0)</f>
        <v>0</v>
      </c>
      <c r="AB151" s="55">
        <f>IF(AQ151="1",BH151,0)</f>
        <v>0</v>
      </c>
      <c r="AC151" s="55">
        <f>IF(AQ151="1",BI151,0)</f>
        <v>0</v>
      </c>
      <c r="AD151" s="55">
        <f>IF(AQ151="7",BH151,0)</f>
        <v>0</v>
      </c>
      <c r="AE151" s="55">
        <f>IF(AQ151="7",BI151,0)</f>
        <v>0</v>
      </c>
      <c r="AF151" s="55">
        <f>IF(AQ151="2",BH151,0)</f>
        <v>0</v>
      </c>
      <c r="AG151" s="55">
        <f>IF(AQ151="2",BI151,0)</f>
        <v>0</v>
      </c>
      <c r="AH151" s="55">
        <f>IF(AQ151="0",BJ151,0)</f>
        <v>0</v>
      </c>
      <c r="AI151" s="34" t="s">
        <v>2629</v>
      </c>
      <c r="AJ151" s="55">
        <f>IF(AN151=0,I151,0)</f>
        <v>0</v>
      </c>
      <c r="AK151" s="55">
        <f>IF(AN151=12,I151,0)</f>
        <v>0</v>
      </c>
      <c r="AL151" s="55">
        <f>IF(AN151=21,I151,0)</f>
        <v>0</v>
      </c>
      <c r="AN151" s="55">
        <v>21</v>
      </c>
      <c r="AO151" s="55">
        <f>H151*0</f>
        <v>0</v>
      </c>
      <c r="AP151" s="55">
        <f>H151*(1-0)</f>
        <v>0</v>
      </c>
      <c r="AQ151" s="58" t="s">
        <v>125</v>
      </c>
      <c r="AV151" s="55">
        <f>AW151+AX151</f>
        <v>0</v>
      </c>
      <c r="AW151" s="55">
        <f>G151*AO151</f>
        <v>0</v>
      </c>
      <c r="AX151" s="55">
        <f>G151*AP151</f>
        <v>0</v>
      </c>
      <c r="AY151" s="58" t="s">
        <v>2795</v>
      </c>
      <c r="AZ151" s="58" t="s">
        <v>2633</v>
      </c>
      <c r="BA151" s="34" t="s">
        <v>2634</v>
      </c>
      <c r="BC151" s="55">
        <f>AW151+AX151</f>
        <v>0</v>
      </c>
      <c r="BD151" s="55">
        <f>H151/(100-BE151)*100</f>
        <v>0</v>
      </c>
      <c r="BE151" s="55">
        <v>0</v>
      </c>
      <c r="BF151" s="55">
        <f>K151</f>
        <v>0</v>
      </c>
      <c r="BH151" s="55">
        <f>G151*AO151</f>
        <v>0</v>
      </c>
      <c r="BI151" s="55">
        <f>G151*AP151</f>
        <v>0</v>
      </c>
      <c r="BJ151" s="55">
        <f>G151*H151</f>
        <v>0</v>
      </c>
      <c r="BK151" s="55"/>
      <c r="BL151" s="55"/>
      <c r="BW151" s="55">
        <v>21</v>
      </c>
    </row>
    <row r="152" spans="1:12" ht="13.5" customHeight="1">
      <c r="A152" s="59"/>
      <c r="D152" s="218" t="s">
        <v>2886</v>
      </c>
      <c r="E152" s="219"/>
      <c r="F152" s="219"/>
      <c r="G152" s="219"/>
      <c r="H152" s="219"/>
      <c r="I152" s="219"/>
      <c r="J152" s="219"/>
      <c r="K152" s="219"/>
      <c r="L152" s="221"/>
    </row>
    <row r="153" spans="1:75" ht="13.5" customHeight="1">
      <c r="A153" s="61" t="s">
        <v>407</v>
      </c>
      <c r="B153" s="62" t="s">
        <v>2629</v>
      </c>
      <c r="C153" s="62" t="s">
        <v>2892</v>
      </c>
      <c r="D153" s="224" t="s">
        <v>2893</v>
      </c>
      <c r="E153" s="225"/>
      <c r="F153" s="62" t="s">
        <v>174</v>
      </c>
      <c r="G153" s="63">
        <f>'Stavební rozpočet-vyplnit'!G1531</f>
        <v>6</v>
      </c>
      <c r="H153" s="63">
        <f>'Stavební rozpočet-vyplnit'!H1531</f>
        <v>0</v>
      </c>
      <c r="I153" s="63">
        <f>G153*H153</f>
        <v>0</v>
      </c>
      <c r="J153" s="63">
        <f>'Stavební rozpočet-vyplnit'!J1531</f>
        <v>0</v>
      </c>
      <c r="K153" s="63">
        <f>G153*J153</f>
        <v>0</v>
      </c>
      <c r="L153" s="65" t="s">
        <v>124</v>
      </c>
      <c r="Z153" s="55">
        <f>IF(AQ153="5",BJ153,0)</f>
        <v>0</v>
      </c>
      <c r="AB153" s="55">
        <f>IF(AQ153="1",BH153,0)</f>
        <v>0</v>
      </c>
      <c r="AC153" s="55">
        <f>IF(AQ153="1",BI153,0)</f>
        <v>0</v>
      </c>
      <c r="AD153" s="55">
        <f>IF(AQ153="7",BH153,0)</f>
        <v>0</v>
      </c>
      <c r="AE153" s="55">
        <f>IF(AQ153="7",BI153,0)</f>
        <v>0</v>
      </c>
      <c r="AF153" s="55">
        <f>IF(AQ153="2",BH153,0)</f>
        <v>0</v>
      </c>
      <c r="AG153" s="55">
        <f>IF(AQ153="2",BI153,0)</f>
        <v>0</v>
      </c>
      <c r="AH153" s="55">
        <f>IF(AQ153="0",BJ153,0)</f>
        <v>0</v>
      </c>
      <c r="AI153" s="34" t="s">
        <v>2629</v>
      </c>
      <c r="AJ153" s="63">
        <f>IF(AN153=0,I153,0)</f>
        <v>0</v>
      </c>
      <c r="AK153" s="63">
        <f>IF(AN153=12,I153,0)</f>
        <v>0</v>
      </c>
      <c r="AL153" s="63">
        <f>IF(AN153=21,I153,0)</f>
        <v>0</v>
      </c>
      <c r="AN153" s="55">
        <v>21</v>
      </c>
      <c r="AO153" s="55">
        <f>H153*1</f>
        <v>0</v>
      </c>
      <c r="AP153" s="55">
        <f>H153*(1-1)</f>
        <v>0</v>
      </c>
      <c r="AQ153" s="66" t="s">
        <v>125</v>
      </c>
      <c r="AV153" s="55">
        <f>AW153+AX153</f>
        <v>0</v>
      </c>
      <c r="AW153" s="55">
        <f>G153*AO153</f>
        <v>0</v>
      </c>
      <c r="AX153" s="55">
        <f>G153*AP153</f>
        <v>0</v>
      </c>
      <c r="AY153" s="58" t="s">
        <v>2795</v>
      </c>
      <c r="AZ153" s="58" t="s">
        <v>2633</v>
      </c>
      <c r="BA153" s="34" t="s">
        <v>2634</v>
      </c>
      <c r="BC153" s="55">
        <f>AW153+AX153</f>
        <v>0</v>
      </c>
      <c r="BD153" s="55">
        <f>H153/(100-BE153)*100</f>
        <v>0</v>
      </c>
      <c r="BE153" s="55">
        <v>0</v>
      </c>
      <c r="BF153" s="55">
        <f>K153</f>
        <v>0</v>
      </c>
      <c r="BH153" s="63">
        <f>G153*AO153</f>
        <v>0</v>
      </c>
      <c r="BI153" s="63">
        <f>G153*AP153</f>
        <v>0</v>
      </c>
      <c r="BJ153" s="63">
        <f>G153*H153</f>
        <v>0</v>
      </c>
      <c r="BK153" s="63"/>
      <c r="BL153" s="55"/>
      <c r="BW153" s="55">
        <v>21</v>
      </c>
    </row>
    <row r="154" spans="1:75" ht="13.5" customHeight="1">
      <c r="A154" s="1" t="s">
        <v>410</v>
      </c>
      <c r="B154" s="2" t="s">
        <v>2629</v>
      </c>
      <c r="C154" s="2" t="s">
        <v>2895</v>
      </c>
      <c r="D154" s="147" t="s">
        <v>2896</v>
      </c>
      <c r="E154" s="148"/>
      <c r="F154" s="2" t="s">
        <v>374</v>
      </c>
      <c r="G154" s="55">
        <f>'Stavební rozpočet-vyplnit'!G1532</f>
        <v>1</v>
      </c>
      <c r="H154" s="55">
        <f>'Stavební rozpočet-vyplnit'!H1532</f>
        <v>0</v>
      </c>
      <c r="I154" s="55">
        <f>G154*H154</f>
        <v>0</v>
      </c>
      <c r="J154" s="55">
        <f>'Stavební rozpočet-vyplnit'!J1532</f>
        <v>0</v>
      </c>
      <c r="K154" s="55">
        <f>G154*J154</f>
        <v>0</v>
      </c>
      <c r="L154" s="57" t="s">
        <v>124</v>
      </c>
      <c r="Z154" s="55">
        <f>IF(AQ154="5",BJ154,0)</f>
        <v>0</v>
      </c>
      <c r="AB154" s="55">
        <f>IF(AQ154="1",BH154,0)</f>
        <v>0</v>
      </c>
      <c r="AC154" s="55">
        <f>IF(AQ154="1",BI154,0)</f>
        <v>0</v>
      </c>
      <c r="AD154" s="55">
        <f>IF(AQ154="7",BH154,0)</f>
        <v>0</v>
      </c>
      <c r="AE154" s="55">
        <f>IF(AQ154="7",BI154,0)</f>
        <v>0</v>
      </c>
      <c r="AF154" s="55">
        <f>IF(AQ154="2",BH154,0)</f>
        <v>0</v>
      </c>
      <c r="AG154" s="55">
        <f>IF(AQ154="2",BI154,0)</f>
        <v>0</v>
      </c>
      <c r="AH154" s="55">
        <f>IF(AQ154="0",BJ154,0)</f>
        <v>0</v>
      </c>
      <c r="AI154" s="34" t="s">
        <v>2629</v>
      </c>
      <c r="AJ154" s="55">
        <f>IF(AN154=0,I154,0)</f>
        <v>0</v>
      </c>
      <c r="AK154" s="55">
        <f>IF(AN154=12,I154,0)</f>
        <v>0</v>
      </c>
      <c r="AL154" s="55">
        <f>IF(AN154=21,I154,0)</f>
        <v>0</v>
      </c>
      <c r="AN154" s="55">
        <v>21</v>
      </c>
      <c r="AO154" s="55">
        <f>H154*0</f>
        <v>0</v>
      </c>
      <c r="AP154" s="55">
        <f>H154*(1-0)</f>
        <v>0</v>
      </c>
      <c r="AQ154" s="58" t="s">
        <v>125</v>
      </c>
      <c r="AV154" s="55">
        <f>AW154+AX154</f>
        <v>0</v>
      </c>
      <c r="AW154" s="55">
        <f>G154*AO154</f>
        <v>0</v>
      </c>
      <c r="AX154" s="55">
        <f>G154*AP154</f>
        <v>0</v>
      </c>
      <c r="AY154" s="58" t="s">
        <v>2795</v>
      </c>
      <c r="AZ154" s="58" t="s">
        <v>2633</v>
      </c>
      <c r="BA154" s="34" t="s">
        <v>2634</v>
      </c>
      <c r="BC154" s="55">
        <f>AW154+AX154</f>
        <v>0</v>
      </c>
      <c r="BD154" s="55">
        <f>H154/(100-BE154)*100</f>
        <v>0</v>
      </c>
      <c r="BE154" s="55">
        <v>0</v>
      </c>
      <c r="BF154" s="55">
        <f>K154</f>
        <v>0</v>
      </c>
      <c r="BH154" s="55">
        <f>G154*AO154</f>
        <v>0</v>
      </c>
      <c r="BI154" s="55">
        <f>G154*AP154</f>
        <v>0</v>
      </c>
      <c r="BJ154" s="55">
        <f>G154*H154</f>
        <v>0</v>
      </c>
      <c r="BK154" s="55"/>
      <c r="BL154" s="55"/>
      <c r="BW154" s="55">
        <v>21</v>
      </c>
    </row>
    <row r="155" spans="1:12" ht="13.5" customHeight="1">
      <c r="A155" s="59"/>
      <c r="D155" s="218" t="s">
        <v>2897</v>
      </c>
      <c r="E155" s="219"/>
      <c r="F155" s="219"/>
      <c r="G155" s="219"/>
      <c r="H155" s="219"/>
      <c r="I155" s="219"/>
      <c r="J155" s="219"/>
      <c r="K155" s="219"/>
      <c r="L155" s="221"/>
    </row>
    <row r="156" spans="1:75" ht="13.5" customHeight="1">
      <c r="A156" s="61" t="s">
        <v>413</v>
      </c>
      <c r="B156" s="62" t="s">
        <v>2629</v>
      </c>
      <c r="C156" s="62" t="s">
        <v>2898</v>
      </c>
      <c r="D156" s="224" t="s">
        <v>2899</v>
      </c>
      <c r="E156" s="225"/>
      <c r="F156" s="62" t="s">
        <v>374</v>
      </c>
      <c r="G156" s="63">
        <f>'Stavební rozpočet-vyplnit'!G1534</f>
        <v>1</v>
      </c>
      <c r="H156" s="63">
        <f>'Stavební rozpočet-vyplnit'!H1534</f>
        <v>0</v>
      </c>
      <c r="I156" s="63">
        <f>G156*H156</f>
        <v>0</v>
      </c>
      <c r="J156" s="63">
        <f>'Stavební rozpočet-vyplnit'!J1534</f>
        <v>0</v>
      </c>
      <c r="K156" s="63">
        <f>G156*J156</f>
        <v>0</v>
      </c>
      <c r="L156" s="65" t="s">
        <v>124</v>
      </c>
      <c r="Z156" s="55">
        <f>IF(AQ156="5",BJ156,0)</f>
        <v>0</v>
      </c>
      <c r="AB156" s="55">
        <f>IF(AQ156="1",BH156,0)</f>
        <v>0</v>
      </c>
      <c r="AC156" s="55">
        <f>IF(AQ156="1",BI156,0)</f>
        <v>0</v>
      </c>
      <c r="AD156" s="55">
        <f>IF(AQ156="7",BH156,0)</f>
        <v>0</v>
      </c>
      <c r="AE156" s="55">
        <f>IF(AQ156="7",BI156,0)</f>
        <v>0</v>
      </c>
      <c r="AF156" s="55">
        <f>IF(AQ156="2",BH156,0)</f>
        <v>0</v>
      </c>
      <c r="AG156" s="55">
        <f>IF(AQ156="2",BI156,0)</f>
        <v>0</v>
      </c>
      <c r="AH156" s="55">
        <f>IF(AQ156="0",BJ156,0)</f>
        <v>0</v>
      </c>
      <c r="AI156" s="34" t="s">
        <v>2629</v>
      </c>
      <c r="AJ156" s="63">
        <f>IF(AN156=0,I156,0)</f>
        <v>0</v>
      </c>
      <c r="AK156" s="63">
        <f>IF(AN156=12,I156,0)</f>
        <v>0</v>
      </c>
      <c r="AL156" s="63">
        <f>IF(AN156=21,I156,0)</f>
        <v>0</v>
      </c>
      <c r="AN156" s="55">
        <v>21</v>
      </c>
      <c r="AO156" s="55">
        <f>H156*1</f>
        <v>0</v>
      </c>
      <c r="AP156" s="55">
        <f>H156*(1-1)</f>
        <v>0</v>
      </c>
      <c r="AQ156" s="66" t="s">
        <v>125</v>
      </c>
      <c r="AV156" s="55">
        <f>AW156+AX156</f>
        <v>0</v>
      </c>
      <c r="AW156" s="55">
        <f>G156*AO156</f>
        <v>0</v>
      </c>
      <c r="AX156" s="55">
        <f>G156*AP156</f>
        <v>0</v>
      </c>
      <c r="AY156" s="58" t="s">
        <v>2795</v>
      </c>
      <c r="AZ156" s="58" t="s">
        <v>2633</v>
      </c>
      <c r="BA156" s="34" t="s">
        <v>2634</v>
      </c>
      <c r="BC156" s="55">
        <f>AW156+AX156</f>
        <v>0</v>
      </c>
      <c r="BD156" s="55">
        <f>H156/(100-BE156)*100</f>
        <v>0</v>
      </c>
      <c r="BE156" s="55">
        <v>0</v>
      </c>
      <c r="BF156" s="55">
        <f>K156</f>
        <v>0</v>
      </c>
      <c r="BH156" s="63">
        <f>G156*AO156</f>
        <v>0</v>
      </c>
      <c r="BI156" s="63">
        <f>G156*AP156</f>
        <v>0</v>
      </c>
      <c r="BJ156" s="63">
        <f>G156*H156</f>
        <v>0</v>
      </c>
      <c r="BK156" s="63"/>
      <c r="BL156" s="55"/>
      <c r="BW156" s="55">
        <v>21</v>
      </c>
    </row>
    <row r="157" spans="1:75" ht="27" customHeight="1">
      <c r="A157" s="1" t="s">
        <v>416</v>
      </c>
      <c r="B157" s="2" t="s">
        <v>2629</v>
      </c>
      <c r="C157" s="2" t="s">
        <v>2900</v>
      </c>
      <c r="D157" s="147" t="s">
        <v>2901</v>
      </c>
      <c r="E157" s="148"/>
      <c r="F157" s="2" t="s">
        <v>174</v>
      </c>
      <c r="G157" s="55">
        <f>'Stavební rozpočet-vyplnit'!G1535</f>
        <v>10</v>
      </c>
      <c r="H157" s="55">
        <f>'Stavební rozpočet-vyplnit'!H1535</f>
        <v>0</v>
      </c>
      <c r="I157" s="55">
        <f>G157*H157</f>
        <v>0</v>
      </c>
      <c r="J157" s="55">
        <f>'Stavební rozpočet-vyplnit'!J1535</f>
        <v>0</v>
      </c>
      <c r="K157" s="55">
        <f>G157*J157</f>
        <v>0</v>
      </c>
      <c r="L157" s="57" t="s">
        <v>124</v>
      </c>
      <c r="Z157" s="55">
        <f>IF(AQ157="5",BJ157,0)</f>
        <v>0</v>
      </c>
      <c r="AB157" s="55">
        <f>IF(AQ157="1",BH157,0)</f>
        <v>0</v>
      </c>
      <c r="AC157" s="55">
        <f>IF(AQ157="1",BI157,0)</f>
        <v>0</v>
      </c>
      <c r="AD157" s="55">
        <f>IF(AQ157="7",BH157,0)</f>
        <v>0</v>
      </c>
      <c r="AE157" s="55">
        <f>IF(AQ157="7",BI157,0)</f>
        <v>0</v>
      </c>
      <c r="AF157" s="55">
        <f>IF(AQ157="2",BH157,0)</f>
        <v>0</v>
      </c>
      <c r="AG157" s="55">
        <f>IF(AQ157="2",BI157,0)</f>
        <v>0</v>
      </c>
      <c r="AH157" s="55">
        <f>IF(AQ157="0",BJ157,0)</f>
        <v>0</v>
      </c>
      <c r="AI157" s="34" t="s">
        <v>2629</v>
      </c>
      <c r="AJ157" s="55">
        <f>IF(AN157=0,I157,0)</f>
        <v>0</v>
      </c>
      <c r="AK157" s="55">
        <f>IF(AN157=12,I157,0)</f>
        <v>0</v>
      </c>
      <c r="AL157" s="55">
        <f>IF(AN157=21,I157,0)</f>
        <v>0</v>
      </c>
      <c r="AN157" s="55">
        <v>21</v>
      </c>
      <c r="AO157" s="55">
        <f>H157*0</f>
        <v>0</v>
      </c>
      <c r="AP157" s="55">
        <f>H157*(1-0)</f>
        <v>0</v>
      </c>
      <c r="AQ157" s="58" t="s">
        <v>125</v>
      </c>
      <c r="AV157" s="55">
        <f>AW157+AX157</f>
        <v>0</v>
      </c>
      <c r="AW157" s="55">
        <f>G157*AO157</f>
        <v>0</v>
      </c>
      <c r="AX157" s="55">
        <f>G157*AP157</f>
        <v>0</v>
      </c>
      <c r="AY157" s="58" t="s">
        <v>2795</v>
      </c>
      <c r="AZ157" s="58" t="s">
        <v>2633</v>
      </c>
      <c r="BA157" s="34" t="s">
        <v>2634</v>
      </c>
      <c r="BC157" s="55">
        <f>AW157+AX157</f>
        <v>0</v>
      </c>
      <c r="BD157" s="55">
        <f>H157/(100-BE157)*100</f>
        <v>0</v>
      </c>
      <c r="BE157" s="55">
        <v>0</v>
      </c>
      <c r="BF157" s="55">
        <f>K157</f>
        <v>0</v>
      </c>
      <c r="BH157" s="55">
        <f>G157*AO157</f>
        <v>0</v>
      </c>
      <c r="BI157" s="55">
        <f>G157*AP157</f>
        <v>0</v>
      </c>
      <c r="BJ157" s="55">
        <f>G157*H157</f>
        <v>0</v>
      </c>
      <c r="BK157" s="55"/>
      <c r="BL157" s="55"/>
      <c r="BW157" s="55">
        <v>21</v>
      </c>
    </row>
    <row r="158" spans="1:12" ht="13.5" customHeight="1">
      <c r="A158" s="59"/>
      <c r="D158" s="218" t="s">
        <v>2897</v>
      </c>
      <c r="E158" s="219"/>
      <c r="F158" s="219"/>
      <c r="G158" s="219"/>
      <c r="H158" s="219"/>
      <c r="I158" s="219"/>
      <c r="J158" s="219"/>
      <c r="K158" s="219"/>
      <c r="L158" s="221"/>
    </row>
    <row r="159" spans="1:75" ht="13.5" customHeight="1">
      <c r="A159" s="61" t="s">
        <v>419</v>
      </c>
      <c r="B159" s="62" t="s">
        <v>2629</v>
      </c>
      <c r="C159" s="62" t="s">
        <v>2902</v>
      </c>
      <c r="D159" s="224" t="s">
        <v>2903</v>
      </c>
      <c r="E159" s="225"/>
      <c r="F159" s="62" t="s">
        <v>174</v>
      </c>
      <c r="G159" s="63">
        <f>'Stavební rozpočet-vyplnit'!G1537</f>
        <v>10</v>
      </c>
      <c r="H159" s="63">
        <f>'Stavební rozpočet-vyplnit'!H1537</f>
        <v>0</v>
      </c>
      <c r="I159" s="63">
        <f>G159*H159</f>
        <v>0</v>
      </c>
      <c r="J159" s="63">
        <f>'Stavební rozpočet-vyplnit'!J1537</f>
        <v>0</v>
      </c>
      <c r="K159" s="63">
        <f>G159*J159</f>
        <v>0</v>
      </c>
      <c r="L159" s="65" t="s">
        <v>124</v>
      </c>
      <c r="Z159" s="55">
        <f>IF(AQ159="5",BJ159,0)</f>
        <v>0</v>
      </c>
      <c r="AB159" s="55">
        <f>IF(AQ159="1",BH159,0)</f>
        <v>0</v>
      </c>
      <c r="AC159" s="55">
        <f>IF(AQ159="1",BI159,0)</f>
        <v>0</v>
      </c>
      <c r="AD159" s="55">
        <f>IF(AQ159="7",BH159,0)</f>
        <v>0</v>
      </c>
      <c r="AE159" s="55">
        <f>IF(AQ159="7",BI159,0)</f>
        <v>0</v>
      </c>
      <c r="AF159" s="55">
        <f>IF(AQ159="2",BH159,0)</f>
        <v>0</v>
      </c>
      <c r="AG159" s="55">
        <f>IF(AQ159="2",BI159,0)</f>
        <v>0</v>
      </c>
      <c r="AH159" s="55">
        <f>IF(AQ159="0",BJ159,0)</f>
        <v>0</v>
      </c>
      <c r="AI159" s="34" t="s">
        <v>2629</v>
      </c>
      <c r="AJ159" s="63">
        <f>IF(AN159=0,I159,0)</f>
        <v>0</v>
      </c>
      <c r="AK159" s="63">
        <f>IF(AN159=12,I159,0)</f>
        <v>0</v>
      </c>
      <c r="AL159" s="63">
        <f>IF(AN159=21,I159,0)</f>
        <v>0</v>
      </c>
      <c r="AN159" s="55">
        <v>21</v>
      </c>
      <c r="AO159" s="55">
        <f>H159*1</f>
        <v>0</v>
      </c>
      <c r="AP159" s="55">
        <f>H159*(1-1)</f>
        <v>0</v>
      </c>
      <c r="AQ159" s="66" t="s">
        <v>125</v>
      </c>
      <c r="AV159" s="55">
        <f>AW159+AX159</f>
        <v>0</v>
      </c>
      <c r="AW159" s="55">
        <f>G159*AO159</f>
        <v>0</v>
      </c>
      <c r="AX159" s="55">
        <f>G159*AP159</f>
        <v>0</v>
      </c>
      <c r="AY159" s="58" t="s">
        <v>2795</v>
      </c>
      <c r="AZ159" s="58" t="s">
        <v>2633</v>
      </c>
      <c r="BA159" s="34" t="s">
        <v>2634</v>
      </c>
      <c r="BC159" s="55">
        <f>AW159+AX159</f>
        <v>0</v>
      </c>
      <c r="BD159" s="55">
        <f>H159/(100-BE159)*100</f>
        <v>0</v>
      </c>
      <c r="BE159" s="55">
        <v>0</v>
      </c>
      <c r="BF159" s="55">
        <f>K159</f>
        <v>0</v>
      </c>
      <c r="BH159" s="63">
        <f>G159*AO159</f>
        <v>0</v>
      </c>
      <c r="BI159" s="63">
        <f>G159*AP159</f>
        <v>0</v>
      </c>
      <c r="BJ159" s="63">
        <f>G159*H159</f>
        <v>0</v>
      </c>
      <c r="BK159" s="63"/>
      <c r="BL159" s="55"/>
      <c r="BW159" s="55">
        <v>21</v>
      </c>
    </row>
    <row r="160" spans="1:75" ht="27" customHeight="1">
      <c r="A160" s="1" t="s">
        <v>422</v>
      </c>
      <c r="B160" s="2" t="s">
        <v>2629</v>
      </c>
      <c r="C160" s="2" t="s">
        <v>2905</v>
      </c>
      <c r="D160" s="147" t="s">
        <v>2906</v>
      </c>
      <c r="E160" s="148"/>
      <c r="F160" s="2" t="s">
        <v>174</v>
      </c>
      <c r="G160" s="55">
        <f>'Stavební rozpočet-vyplnit'!G1538</f>
        <v>100</v>
      </c>
      <c r="H160" s="55">
        <f>'Stavební rozpočet-vyplnit'!H1538</f>
        <v>0</v>
      </c>
      <c r="I160" s="55">
        <f>G160*H160</f>
        <v>0</v>
      </c>
      <c r="J160" s="55">
        <f>'Stavební rozpočet-vyplnit'!J1538</f>
        <v>0</v>
      </c>
      <c r="K160" s="55">
        <f>G160*J160</f>
        <v>0</v>
      </c>
      <c r="L160" s="57" t="s">
        <v>124</v>
      </c>
      <c r="Z160" s="55">
        <f>IF(AQ160="5",BJ160,0)</f>
        <v>0</v>
      </c>
      <c r="AB160" s="55">
        <f>IF(AQ160="1",BH160,0)</f>
        <v>0</v>
      </c>
      <c r="AC160" s="55">
        <f>IF(AQ160="1",BI160,0)</f>
        <v>0</v>
      </c>
      <c r="AD160" s="55">
        <f>IF(AQ160="7",BH160,0)</f>
        <v>0</v>
      </c>
      <c r="AE160" s="55">
        <f>IF(AQ160="7",BI160,0)</f>
        <v>0</v>
      </c>
      <c r="AF160" s="55">
        <f>IF(AQ160="2",BH160,0)</f>
        <v>0</v>
      </c>
      <c r="AG160" s="55">
        <f>IF(AQ160="2",BI160,0)</f>
        <v>0</v>
      </c>
      <c r="AH160" s="55">
        <f>IF(AQ160="0",BJ160,0)</f>
        <v>0</v>
      </c>
      <c r="AI160" s="34" t="s">
        <v>2629</v>
      </c>
      <c r="AJ160" s="55">
        <f>IF(AN160=0,I160,0)</f>
        <v>0</v>
      </c>
      <c r="AK160" s="55">
        <f>IF(AN160=12,I160,0)</f>
        <v>0</v>
      </c>
      <c r="AL160" s="55">
        <f>IF(AN160=21,I160,0)</f>
        <v>0</v>
      </c>
      <c r="AN160" s="55">
        <v>21</v>
      </c>
      <c r="AO160" s="55">
        <f>H160*0</f>
        <v>0</v>
      </c>
      <c r="AP160" s="55">
        <f>H160*(1-0)</f>
        <v>0</v>
      </c>
      <c r="AQ160" s="58" t="s">
        <v>125</v>
      </c>
      <c r="AV160" s="55">
        <f>AW160+AX160</f>
        <v>0</v>
      </c>
      <c r="AW160" s="55">
        <f>G160*AO160</f>
        <v>0</v>
      </c>
      <c r="AX160" s="55">
        <f>G160*AP160</f>
        <v>0</v>
      </c>
      <c r="AY160" s="58" t="s">
        <v>2795</v>
      </c>
      <c r="AZ160" s="58" t="s">
        <v>2633</v>
      </c>
      <c r="BA160" s="34" t="s">
        <v>2634</v>
      </c>
      <c r="BC160" s="55">
        <f>AW160+AX160</f>
        <v>0</v>
      </c>
      <c r="BD160" s="55">
        <f>H160/(100-BE160)*100</f>
        <v>0</v>
      </c>
      <c r="BE160" s="55">
        <v>0</v>
      </c>
      <c r="BF160" s="55">
        <f>K160</f>
        <v>0</v>
      </c>
      <c r="BH160" s="55">
        <f>G160*AO160</f>
        <v>0</v>
      </c>
      <c r="BI160" s="55">
        <f>G160*AP160</f>
        <v>0</v>
      </c>
      <c r="BJ160" s="55">
        <f>G160*H160</f>
        <v>0</v>
      </c>
      <c r="BK160" s="55"/>
      <c r="BL160" s="55"/>
      <c r="BW160" s="55">
        <v>21</v>
      </c>
    </row>
    <row r="161" spans="1:75" ht="13.5" customHeight="1">
      <c r="A161" s="61" t="s">
        <v>425</v>
      </c>
      <c r="B161" s="62" t="s">
        <v>2629</v>
      </c>
      <c r="C161" s="62" t="s">
        <v>2907</v>
      </c>
      <c r="D161" s="224" t="s">
        <v>2908</v>
      </c>
      <c r="E161" s="225"/>
      <c r="F161" s="62" t="s">
        <v>2815</v>
      </c>
      <c r="G161" s="63">
        <f>'Stavební rozpočet-vyplnit'!G1539</f>
        <v>100</v>
      </c>
      <c r="H161" s="63">
        <f>'Stavební rozpočet-vyplnit'!H1539</f>
        <v>0</v>
      </c>
      <c r="I161" s="63">
        <f>G161*H161</f>
        <v>0</v>
      </c>
      <c r="J161" s="63">
        <f>'Stavební rozpočet-vyplnit'!J1539</f>
        <v>0</v>
      </c>
      <c r="K161" s="63">
        <f>G161*J161</f>
        <v>0</v>
      </c>
      <c r="L161" s="65" t="s">
        <v>124</v>
      </c>
      <c r="Z161" s="55">
        <f>IF(AQ161="5",BJ161,0)</f>
        <v>0</v>
      </c>
      <c r="AB161" s="55">
        <f>IF(AQ161="1",BH161,0)</f>
        <v>0</v>
      </c>
      <c r="AC161" s="55">
        <f>IF(AQ161="1",BI161,0)</f>
        <v>0</v>
      </c>
      <c r="AD161" s="55">
        <f>IF(AQ161="7",BH161,0)</f>
        <v>0</v>
      </c>
      <c r="AE161" s="55">
        <f>IF(AQ161="7",BI161,0)</f>
        <v>0</v>
      </c>
      <c r="AF161" s="55">
        <f>IF(AQ161="2",BH161,0)</f>
        <v>0</v>
      </c>
      <c r="AG161" s="55">
        <f>IF(AQ161="2",BI161,0)</f>
        <v>0</v>
      </c>
      <c r="AH161" s="55">
        <f>IF(AQ161="0",BJ161,0)</f>
        <v>0</v>
      </c>
      <c r="AI161" s="34" t="s">
        <v>2629</v>
      </c>
      <c r="AJ161" s="63">
        <f>IF(AN161=0,I161,0)</f>
        <v>0</v>
      </c>
      <c r="AK161" s="63">
        <f>IF(AN161=12,I161,0)</f>
        <v>0</v>
      </c>
      <c r="AL161" s="63">
        <f>IF(AN161=21,I161,0)</f>
        <v>0</v>
      </c>
      <c r="AN161" s="55">
        <v>21</v>
      </c>
      <c r="AO161" s="55">
        <f>H161*1</f>
        <v>0</v>
      </c>
      <c r="AP161" s="55">
        <f>H161*(1-1)</f>
        <v>0</v>
      </c>
      <c r="AQ161" s="66" t="s">
        <v>125</v>
      </c>
      <c r="AV161" s="55">
        <f>AW161+AX161</f>
        <v>0</v>
      </c>
      <c r="AW161" s="55">
        <f>G161*AO161</f>
        <v>0</v>
      </c>
      <c r="AX161" s="55">
        <f>G161*AP161</f>
        <v>0</v>
      </c>
      <c r="AY161" s="58" t="s">
        <v>2795</v>
      </c>
      <c r="AZ161" s="58" t="s">
        <v>2633</v>
      </c>
      <c r="BA161" s="34" t="s">
        <v>2634</v>
      </c>
      <c r="BC161" s="55">
        <f>AW161+AX161</f>
        <v>0</v>
      </c>
      <c r="BD161" s="55">
        <f>H161/(100-BE161)*100</f>
        <v>0</v>
      </c>
      <c r="BE161" s="55">
        <v>0</v>
      </c>
      <c r="BF161" s="55">
        <f>K161</f>
        <v>0</v>
      </c>
      <c r="BH161" s="63">
        <f>G161*AO161</f>
        <v>0</v>
      </c>
      <c r="BI161" s="63">
        <f>G161*AP161</f>
        <v>0</v>
      </c>
      <c r="BJ161" s="63">
        <f>G161*H161</f>
        <v>0</v>
      </c>
      <c r="BK161" s="63"/>
      <c r="BL161" s="55"/>
      <c r="BW161" s="55">
        <v>21</v>
      </c>
    </row>
    <row r="162" spans="1:75" ht="27" customHeight="1">
      <c r="A162" s="1" t="s">
        <v>428</v>
      </c>
      <c r="B162" s="2" t="s">
        <v>2629</v>
      </c>
      <c r="C162" s="2" t="s">
        <v>2811</v>
      </c>
      <c r="D162" s="147" t="s">
        <v>2871</v>
      </c>
      <c r="E162" s="148"/>
      <c r="F162" s="2" t="s">
        <v>174</v>
      </c>
      <c r="G162" s="55">
        <f>'Stavební rozpočet-vyplnit'!G1540</f>
        <v>30</v>
      </c>
      <c r="H162" s="55">
        <f>'Stavební rozpočet-vyplnit'!H1540</f>
        <v>0</v>
      </c>
      <c r="I162" s="55">
        <f>G162*H162</f>
        <v>0</v>
      </c>
      <c r="J162" s="55">
        <f>'Stavební rozpočet-vyplnit'!J1540</f>
        <v>0</v>
      </c>
      <c r="K162" s="55">
        <f>G162*J162</f>
        <v>0</v>
      </c>
      <c r="L162" s="57" t="s">
        <v>124</v>
      </c>
      <c r="Z162" s="55">
        <f>IF(AQ162="5",BJ162,0)</f>
        <v>0</v>
      </c>
      <c r="AB162" s="55">
        <f>IF(AQ162="1",BH162,0)</f>
        <v>0</v>
      </c>
      <c r="AC162" s="55">
        <f>IF(AQ162="1",BI162,0)</f>
        <v>0</v>
      </c>
      <c r="AD162" s="55">
        <f>IF(AQ162="7",BH162,0)</f>
        <v>0</v>
      </c>
      <c r="AE162" s="55">
        <f>IF(AQ162="7",BI162,0)</f>
        <v>0</v>
      </c>
      <c r="AF162" s="55">
        <f>IF(AQ162="2",BH162,0)</f>
        <v>0</v>
      </c>
      <c r="AG162" s="55">
        <f>IF(AQ162="2",BI162,0)</f>
        <v>0</v>
      </c>
      <c r="AH162" s="55">
        <f>IF(AQ162="0",BJ162,0)</f>
        <v>0</v>
      </c>
      <c r="AI162" s="34" t="s">
        <v>2629</v>
      </c>
      <c r="AJ162" s="55">
        <f>IF(AN162=0,I162,0)</f>
        <v>0</v>
      </c>
      <c r="AK162" s="55">
        <f>IF(AN162=12,I162,0)</f>
        <v>0</v>
      </c>
      <c r="AL162" s="55">
        <f>IF(AN162=21,I162,0)</f>
        <v>0</v>
      </c>
      <c r="AN162" s="55">
        <v>21</v>
      </c>
      <c r="AO162" s="55">
        <f>H162*0</f>
        <v>0</v>
      </c>
      <c r="AP162" s="55">
        <f>H162*(1-0)</f>
        <v>0</v>
      </c>
      <c r="AQ162" s="58" t="s">
        <v>125</v>
      </c>
      <c r="AV162" s="55">
        <f>AW162+AX162</f>
        <v>0</v>
      </c>
      <c r="AW162" s="55">
        <f>G162*AO162</f>
        <v>0</v>
      </c>
      <c r="AX162" s="55">
        <f>G162*AP162</f>
        <v>0</v>
      </c>
      <c r="AY162" s="58" t="s">
        <v>2795</v>
      </c>
      <c r="AZ162" s="58" t="s">
        <v>2633</v>
      </c>
      <c r="BA162" s="34" t="s">
        <v>2634</v>
      </c>
      <c r="BC162" s="55">
        <f>AW162+AX162</f>
        <v>0</v>
      </c>
      <c r="BD162" s="55">
        <f>H162/(100-BE162)*100</f>
        <v>0</v>
      </c>
      <c r="BE162" s="55">
        <v>0</v>
      </c>
      <c r="BF162" s="55">
        <f>K162</f>
        <v>0</v>
      </c>
      <c r="BH162" s="55">
        <f>G162*AO162</f>
        <v>0</v>
      </c>
      <c r="BI162" s="55">
        <f>G162*AP162</f>
        <v>0</v>
      </c>
      <c r="BJ162" s="55">
        <f>G162*H162</f>
        <v>0</v>
      </c>
      <c r="BK162" s="55"/>
      <c r="BL162" s="55"/>
      <c r="BW162" s="55">
        <v>21</v>
      </c>
    </row>
    <row r="163" spans="1:12" ht="13.5" customHeight="1">
      <c r="A163" s="59"/>
      <c r="D163" s="218" t="s">
        <v>2909</v>
      </c>
      <c r="E163" s="219"/>
      <c r="F163" s="219"/>
      <c r="G163" s="219"/>
      <c r="H163" s="219"/>
      <c r="I163" s="219"/>
      <c r="J163" s="219"/>
      <c r="K163" s="219"/>
      <c r="L163" s="221"/>
    </row>
    <row r="164" spans="1:75" ht="13.5" customHeight="1">
      <c r="A164" s="61" t="s">
        <v>431</v>
      </c>
      <c r="B164" s="62" t="s">
        <v>2629</v>
      </c>
      <c r="C164" s="62" t="s">
        <v>2910</v>
      </c>
      <c r="D164" s="224" t="s">
        <v>2911</v>
      </c>
      <c r="E164" s="225"/>
      <c r="F164" s="62" t="s">
        <v>2815</v>
      </c>
      <c r="G164" s="63">
        <f>'Stavební rozpočet-vyplnit'!G1542</f>
        <v>30</v>
      </c>
      <c r="H164" s="63">
        <f>'Stavební rozpočet-vyplnit'!H1542</f>
        <v>0</v>
      </c>
      <c r="I164" s="63">
        <f>G164*H164</f>
        <v>0</v>
      </c>
      <c r="J164" s="63">
        <f>'Stavební rozpočet-vyplnit'!J1542</f>
        <v>0</v>
      </c>
      <c r="K164" s="63">
        <f>G164*J164</f>
        <v>0</v>
      </c>
      <c r="L164" s="65" t="s">
        <v>124</v>
      </c>
      <c r="Z164" s="55">
        <f>IF(AQ164="5",BJ164,0)</f>
        <v>0</v>
      </c>
      <c r="AB164" s="55">
        <f>IF(AQ164="1",BH164,0)</f>
        <v>0</v>
      </c>
      <c r="AC164" s="55">
        <f>IF(AQ164="1",BI164,0)</f>
        <v>0</v>
      </c>
      <c r="AD164" s="55">
        <f>IF(AQ164="7",BH164,0)</f>
        <v>0</v>
      </c>
      <c r="AE164" s="55">
        <f>IF(AQ164="7",BI164,0)</f>
        <v>0</v>
      </c>
      <c r="AF164" s="55">
        <f>IF(AQ164="2",BH164,0)</f>
        <v>0</v>
      </c>
      <c r="AG164" s="55">
        <f>IF(AQ164="2",BI164,0)</f>
        <v>0</v>
      </c>
      <c r="AH164" s="55">
        <f>IF(AQ164="0",BJ164,0)</f>
        <v>0</v>
      </c>
      <c r="AI164" s="34" t="s">
        <v>2629</v>
      </c>
      <c r="AJ164" s="63">
        <f>IF(AN164=0,I164,0)</f>
        <v>0</v>
      </c>
      <c r="AK164" s="63">
        <f>IF(AN164=12,I164,0)</f>
        <v>0</v>
      </c>
      <c r="AL164" s="63">
        <f>IF(AN164=21,I164,0)</f>
        <v>0</v>
      </c>
      <c r="AN164" s="55">
        <v>21</v>
      </c>
      <c r="AO164" s="55">
        <f>H164*1</f>
        <v>0</v>
      </c>
      <c r="AP164" s="55">
        <f>H164*(1-1)</f>
        <v>0</v>
      </c>
      <c r="AQ164" s="66" t="s">
        <v>125</v>
      </c>
      <c r="AV164" s="55">
        <f>AW164+AX164</f>
        <v>0</v>
      </c>
      <c r="AW164" s="55">
        <f>G164*AO164</f>
        <v>0</v>
      </c>
      <c r="AX164" s="55">
        <f>G164*AP164</f>
        <v>0</v>
      </c>
      <c r="AY164" s="58" t="s">
        <v>2795</v>
      </c>
      <c r="AZ164" s="58" t="s">
        <v>2633</v>
      </c>
      <c r="BA164" s="34" t="s">
        <v>2634</v>
      </c>
      <c r="BC164" s="55">
        <f>AW164+AX164</f>
        <v>0</v>
      </c>
      <c r="BD164" s="55">
        <f>H164/(100-BE164)*100</f>
        <v>0</v>
      </c>
      <c r="BE164" s="55">
        <v>0</v>
      </c>
      <c r="BF164" s="55">
        <f>K164</f>
        <v>0</v>
      </c>
      <c r="BH164" s="63">
        <f>G164*AO164</f>
        <v>0</v>
      </c>
      <c r="BI164" s="63">
        <f>G164*AP164</f>
        <v>0</v>
      </c>
      <c r="BJ164" s="63">
        <f>G164*H164</f>
        <v>0</v>
      </c>
      <c r="BK164" s="63"/>
      <c r="BL164" s="55"/>
      <c r="BW164" s="55">
        <v>21</v>
      </c>
    </row>
    <row r="165" spans="1:75" ht="27" customHeight="1">
      <c r="A165" s="1" t="s">
        <v>434</v>
      </c>
      <c r="B165" s="2" t="s">
        <v>2629</v>
      </c>
      <c r="C165" s="2" t="s">
        <v>2811</v>
      </c>
      <c r="D165" s="147" t="s">
        <v>2806</v>
      </c>
      <c r="E165" s="148"/>
      <c r="F165" s="2" t="s">
        <v>174</v>
      </c>
      <c r="G165" s="55">
        <f>'Stavební rozpočet-vyplnit'!G1543</f>
        <v>30</v>
      </c>
      <c r="H165" s="55">
        <f>'Stavební rozpočet-vyplnit'!H1543</f>
        <v>0</v>
      </c>
      <c r="I165" s="55">
        <f>G165*H165</f>
        <v>0</v>
      </c>
      <c r="J165" s="55">
        <f>'Stavební rozpočet-vyplnit'!J1543</f>
        <v>0</v>
      </c>
      <c r="K165" s="55">
        <f>G165*J165</f>
        <v>0</v>
      </c>
      <c r="L165" s="57" t="s">
        <v>124</v>
      </c>
      <c r="Z165" s="55">
        <f>IF(AQ165="5",BJ165,0)</f>
        <v>0</v>
      </c>
      <c r="AB165" s="55">
        <f>IF(AQ165="1",BH165,0)</f>
        <v>0</v>
      </c>
      <c r="AC165" s="55">
        <f>IF(AQ165="1",BI165,0)</f>
        <v>0</v>
      </c>
      <c r="AD165" s="55">
        <f>IF(AQ165="7",BH165,0)</f>
        <v>0</v>
      </c>
      <c r="AE165" s="55">
        <f>IF(AQ165="7",BI165,0)</f>
        <v>0</v>
      </c>
      <c r="AF165" s="55">
        <f>IF(AQ165="2",BH165,0)</f>
        <v>0</v>
      </c>
      <c r="AG165" s="55">
        <f>IF(AQ165="2",BI165,0)</f>
        <v>0</v>
      </c>
      <c r="AH165" s="55">
        <f>IF(AQ165="0",BJ165,0)</f>
        <v>0</v>
      </c>
      <c r="AI165" s="34" t="s">
        <v>2629</v>
      </c>
      <c r="AJ165" s="55">
        <f>IF(AN165=0,I165,0)</f>
        <v>0</v>
      </c>
      <c r="AK165" s="55">
        <f>IF(AN165=12,I165,0)</f>
        <v>0</v>
      </c>
      <c r="AL165" s="55">
        <f>IF(AN165=21,I165,0)</f>
        <v>0</v>
      </c>
      <c r="AN165" s="55">
        <v>21</v>
      </c>
      <c r="AO165" s="55">
        <f>H165*0</f>
        <v>0</v>
      </c>
      <c r="AP165" s="55">
        <f>H165*(1-0)</f>
        <v>0</v>
      </c>
      <c r="AQ165" s="58" t="s">
        <v>125</v>
      </c>
      <c r="AV165" s="55">
        <f>AW165+AX165</f>
        <v>0</v>
      </c>
      <c r="AW165" s="55">
        <f>G165*AO165</f>
        <v>0</v>
      </c>
      <c r="AX165" s="55">
        <f>G165*AP165</f>
        <v>0</v>
      </c>
      <c r="AY165" s="58" t="s">
        <v>2795</v>
      </c>
      <c r="AZ165" s="58" t="s">
        <v>2633</v>
      </c>
      <c r="BA165" s="34" t="s">
        <v>2634</v>
      </c>
      <c r="BC165" s="55">
        <f>AW165+AX165</f>
        <v>0</v>
      </c>
      <c r="BD165" s="55">
        <f>H165/(100-BE165)*100</f>
        <v>0</v>
      </c>
      <c r="BE165" s="55">
        <v>0</v>
      </c>
      <c r="BF165" s="55">
        <f>K165</f>
        <v>0</v>
      </c>
      <c r="BH165" s="55">
        <f>G165*AO165</f>
        <v>0</v>
      </c>
      <c r="BI165" s="55">
        <f>G165*AP165</f>
        <v>0</v>
      </c>
      <c r="BJ165" s="55">
        <f>G165*H165</f>
        <v>0</v>
      </c>
      <c r="BK165" s="55"/>
      <c r="BL165" s="55"/>
      <c r="BW165" s="55">
        <v>21</v>
      </c>
    </row>
    <row r="166" spans="1:12" ht="13.5" customHeight="1">
      <c r="A166" s="59"/>
      <c r="D166" s="218" t="s">
        <v>2909</v>
      </c>
      <c r="E166" s="219"/>
      <c r="F166" s="219"/>
      <c r="G166" s="219"/>
      <c r="H166" s="219"/>
      <c r="I166" s="219"/>
      <c r="J166" s="219"/>
      <c r="K166" s="219"/>
      <c r="L166" s="221"/>
    </row>
    <row r="167" spans="1:75" ht="13.5" customHeight="1">
      <c r="A167" s="61" t="s">
        <v>439</v>
      </c>
      <c r="B167" s="62" t="s">
        <v>2629</v>
      </c>
      <c r="C167" s="62" t="s">
        <v>2913</v>
      </c>
      <c r="D167" s="224" t="s">
        <v>2914</v>
      </c>
      <c r="E167" s="225"/>
      <c r="F167" s="62" t="s">
        <v>2815</v>
      </c>
      <c r="G167" s="63">
        <f>'Stavební rozpočet-vyplnit'!G1545</f>
        <v>30</v>
      </c>
      <c r="H167" s="63">
        <f>'Stavební rozpočet-vyplnit'!H1545</f>
        <v>0</v>
      </c>
      <c r="I167" s="63">
        <f>G167*H167</f>
        <v>0</v>
      </c>
      <c r="J167" s="63">
        <f>'Stavební rozpočet-vyplnit'!J1545</f>
        <v>0</v>
      </c>
      <c r="K167" s="63">
        <f>G167*J167</f>
        <v>0</v>
      </c>
      <c r="L167" s="65" t="s">
        <v>124</v>
      </c>
      <c r="Z167" s="55">
        <f>IF(AQ167="5",BJ167,0)</f>
        <v>0</v>
      </c>
      <c r="AB167" s="55">
        <f>IF(AQ167="1",BH167,0)</f>
        <v>0</v>
      </c>
      <c r="AC167" s="55">
        <f>IF(AQ167="1",BI167,0)</f>
        <v>0</v>
      </c>
      <c r="AD167" s="55">
        <f>IF(AQ167="7",BH167,0)</f>
        <v>0</v>
      </c>
      <c r="AE167" s="55">
        <f>IF(AQ167="7",BI167,0)</f>
        <v>0</v>
      </c>
      <c r="AF167" s="55">
        <f>IF(AQ167="2",BH167,0)</f>
        <v>0</v>
      </c>
      <c r="AG167" s="55">
        <f>IF(AQ167="2",BI167,0)</f>
        <v>0</v>
      </c>
      <c r="AH167" s="55">
        <f>IF(AQ167="0",BJ167,0)</f>
        <v>0</v>
      </c>
      <c r="AI167" s="34" t="s">
        <v>2629</v>
      </c>
      <c r="AJ167" s="63">
        <f>IF(AN167=0,I167,0)</f>
        <v>0</v>
      </c>
      <c r="AK167" s="63">
        <f>IF(AN167=12,I167,0)</f>
        <v>0</v>
      </c>
      <c r="AL167" s="63">
        <f>IF(AN167=21,I167,0)</f>
        <v>0</v>
      </c>
      <c r="AN167" s="55">
        <v>21</v>
      </c>
      <c r="AO167" s="55">
        <f>H167*1</f>
        <v>0</v>
      </c>
      <c r="AP167" s="55">
        <f>H167*(1-1)</f>
        <v>0</v>
      </c>
      <c r="AQ167" s="66" t="s">
        <v>125</v>
      </c>
      <c r="AV167" s="55">
        <f>AW167+AX167</f>
        <v>0</v>
      </c>
      <c r="AW167" s="55">
        <f>G167*AO167</f>
        <v>0</v>
      </c>
      <c r="AX167" s="55">
        <f>G167*AP167</f>
        <v>0</v>
      </c>
      <c r="AY167" s="58" t="s">
        <v>2795</v>
      </c>
      <c r="AZ167" s="58" t="s">
        <v>2633</v>
      </c>
      <c r="BA167" s="34" t="s">
        <v>2634</v>
      </c>
      <c r="BC167" s="55">
        <f>AW167+AX167</f>
        <v>0</v>
      </c>
      <c r="BD167" s="55">
        <f>H167/(100-BE167)*100</f>
        <v>0</v>
      </c>
      <c r="BE167" s="55">
        <v>0</v>
      </c>
      <c r="BF167" s="55">
        <f>K167</f>
        <v>0</v>
      </c>
      <c r="BH167" s="63">
        <f>G167*AO167</f>
        <v>0</v>
      </c>
      <c r="BI167" s="63">
        <f>G167*AP167</f>
        <v>0</v>
      </c>
      <c r="BJ167" s="63">
        <f>G167*H167</f>
        <v>0</v>
      </c>
      <c r="BK167" s="63"/>
      <c r="BL167" s="55"/>
      <c r="BW167" s="55">
        <v>21</v>
      </c>
    </row>
    <row r="168" spans="1:75" ht="27" customHeight="1">
      <c r="A168" s="1" t="s">
        <v>444</v>
      </c>
      <c r="B168" s="2" t="s">
        <v>2629</v>
      </c>
      <c r="C168" s="2" t="s">
        <v>2916</v>
      </c>
      <c r="D168" s="147" t="s">
        <v>2806</v>
      </c>
      <c r="E168" s="148"/>
      <c r="F168" s="2" t="s">
        <v>174</v>
      </c>
      <c r="G168" s="55">
        <f>'Stavební rozpočet-vyplnit'!G1546</f>
        <v>5</v>
      </c>
      <c r="H168" s="55">
        <f>'Stavební rozpočet-vyplnit'!H1546</f>
        <v>0</v>
      </c>
      <c r="I168" s="55">
        <f>G168*H168</f>
        <v>0</v>
      </c>
      <c r="J168" s="55">
        <f>'Stavební rozpočet-vyplnit'!J1546</f>
        <v>0</v>
      </c>
      <c r="K168" s="55">
        <f>G168*J168</f>
        <v>0</v>
      </c>
      <c r="L168" s="57" t="s">
        <v>124</v>
      </c>
      <c r="Z168" s="55">
        <f>IF(AQ168="5",BJ168,0)</f>
        <v>0</v>
      </c>
      <c r="AB168" s="55">
        <f>IF(AQ168="1",BH168,0)</f>
        <v>0</v>
      </c>
      <c r="AC168" s="55">
        <f>IF(AQ168="1",BI168,0)</f>
        <v>0</v>
      </c>
      <c r="AD168" s="55">
        <f>IF(AQ168="7",BH168,0)</f>
        <v>0</v>
      </c>
      <c r="AE168" s="55">
        <f>IF(AQ168="7",BI168,0)</f>
        <v>0</v>
      </c>
      <c r="AF168" s="55">
        <f>IF(AQ168="2",BH168,0)</f>
        <v>0</v>
      </c>
      <c r="AG168" s="55">
        <f>IF(AQ168="2",BI168,0)</f>
        <v>0</v>
      </c>
      <c r="AH168" s="55">
        <f>IF(AQ168="0",BJ168,0)</f>
        <v>0</v>
      </c>
      <c r="AI168" s="34" t="s">
        <v>2629</v>
      </c>
      <c r="AJ168" s="55">
        <f>IF(AN168=0,I168,0)</f>
        <v>0</v>
      </c>
      <c r="AK168" s="55">
        <f>IF(AN168=12,I168,0)</f>
        <v>0</v>
      </c>
      <c r="AL168" s="55">
        <f>IF(AN168=21,I168,0)</f>
        <v>0</v>
      </c>
      <c r="AN168" s="55">
        <v>21</v>
      </c>
      <c r="AO168" s="55">
        <f>H168*0</f>
        <v>0</v>
      </c>
      <c r="AP168" s="55">
        <f>H168*(1-0)</f>
        <v>0</v>
      </c>
      <c r="AQ168" s="58" t="s">
        <v>125</v>
      </c>
      <c r="AV168" s="55">
        <f>AW168+AX168</f>
        <v>0</v>
      </c>
      <c r="AW168" s="55">
        <f>G168*AO168</f>
        <v>0</v>
      </c>
      <c r="AX168" s="55">
        <f>G168*AP168</f>
        <v>0</v>
      </c>
      <c r="AY168" s="58" t="s">
        <v>2795</v>
      </c>
      <c r="AZ168" s="58" t="s">
        <v>2633</v>
      </c>
      <c r="BA168" s="34" t="s">
        <v>2634</v>
      </c>
      <c r="BC168" s="55">
        <f>AW168+AX168</f>
        <v>0</v>
      </c>
      <c r="BD168" s="55">
        <f>H168/(100-BE168)*100</f>
        <v>0</v>
      </c>
      <c r="BE168" s="55">
        <v>0</v>
      </c>
      <c r="BF168" s="55">
        <f>K168</f>
        <v>0</v>
      </c>
      <c r="BH168" s="55">
        <f>G168*AO168</f>
        <v>0</v>
      </c>
      <c r="BI168" s="55">
        <f>G168*AP168</f>
        <v>0</v>
      </c>
      <c r="BJ168" s="55">
        <f>G168*H168</f>
        <v>0</v>
      </c>
      <c r="BK168" s="55"/>
      <c r="BL168" s="55"/>
      <c r="BW168" s="55">
        <v>21</v>
      </c>
    </row>
    <row r="169" spans="1:75" ht="13.5" customHeight="1">
      <c r="A169" s="61" t="s">
        <v>447</v>
      </c>
      <c r="B169" s="62" t="s">
        <v>2629</v>
      </c>
      <c r="C169" s="62" t="s">
        <v>2917</v>
      </c>
      <c r="D169" s="224" t="s">
        <v>2918</v>
      </c>
      <c r="E169" s="225"/>
      <c r="F169" s="62" t="s">
        <v>2815</v>
      </c>
      <c r="G169" s="63">
        <f>'Stavební rozpočet-vyplnit'!G1547</f>
        <v>5</v>
      </c>
      <c r="H169" s="63">
        <f>'Stavební rozpočet-vyplnit'!H1547</f>
        <v>0</v>
      </c>
      <c r="I169" s="63">
        <f>G169*H169</f>
        <v>0</v>
      </c>
      <c r="J169" s="63">
        <f>'Stavební rozpočet-vyplnit'!J1547</f>
        <v>0</v>
      </c>
      <c r="K169" s="63">
        <f>G169*J169</f>
        <v>0</v>
      </c>
      <c r="L169" s="65" t="s">
        <v>124</v>
      </c>
      <c r="Z169" s="55">
        <f>IF(AQ169="5",BJ169,0)</f>
        <v>0</v>
      </c>
      <c r="AB169" s="55">
        <f>IF(AQ169="1",BH169,0)</f>
        <v>0</v>
      </c>
      <c r="AC169" s="55">
        <f>IF(AQ169="1",BI169,0)</f>
        <v>0</v>
      </c>
      <c r="AD169" s="55">
        <f>IF(AQ169="7",BH169,0)</f>
        <v>0</v>
      </c>
      <c r="AE169" s="55">
        <f>IF(AQ169="7",BI169,0)</f>
        <v>0</v>
      </c>
      <c r="AF169" s="55">
        <f>IF(AQ169="2",BH169,0)</f>
        <v>0</v>
      </c>
      <c r="AG169" s="55">
        <f>IF(AQ169="2",BI169,0)</f>
        <v>0</v>
      </c>
      <c r="AH169" s="55">
        <f>IF(AQ169="0",BJ169,0)</f>
        <v>0</v>
      </c>
      <c r="AI169" s="34" t="s">
        <v>2629</v>
      </c>
      <c r="AJ169" s="63">
        <f>IF(AN169=0,I169,0)</f>
        <v>0</v>
      </c>
      <c r="AK169" s="63">
        <f>IF(AN169=12,I169,0)</f>
        <v>0</v>
      </c>
      <c r="AL169" s="63">
        <f>IF(AN169=21,I169,0)</f>
        <v>0</v>
      </c>
      <c r="AN169" s="55">
        <v>21</v>
      </c>
      <c r="AO169" s="55">
        <f>H169*1</f>
        <v>0</v>
      </c>
      <c r="AP169" s="55">
        <f>H169*(1-1)</f>
        <v>0</v>
      </c>
      <c r="AQ169" s="66" t="s">
        <v>125</v>
      </c>
      <c r="AV169" s="55">
        <f>AW169+AX169</f>
        <v>0</v>
      </c>
      <c r="AW169" s="55">
        <f>G169*AO169</f>
        <v>0</v>
      </c>
      <c r="AX169" s="55">
        <f>G169*AP169</f>
        <v>0</v>
      </c>
      <c r="AY169" s="58" t="s">
        <v>2795</v>
      </c>
      <c r="AZ169" s="58" t="s">
        <v>2633</v>
      </c>
      <c r="BA169" s="34" t="s">
        <v>2634</v>
      </c>
      <c r="BC169" s="55">
        <f>AW169+AX169</f>
        <v>0</v>
      </c>
      <c r="BD169" s="55">
        <f>H169/(100-BE169)*100</f>
        <v>0</v>
      </c>
      <c r="BE169" s="55">
        <v>0</v>
      </c>
      <c r="BF169" s="55">
        <f>K169</f>
        <v>0</v>
      </c>
      <c r="BH169" s="63">
        <f>G169*AO169</f>
        <v>0</v>
      </c>
      <c r="BI169" s="63">
        <f>G169*AP169</f>
        <v>0</v>
      </c>
      <c r="BJ169" s="63">
        <f>G169*H169</f>
        <v>0</v>
      </c>
      <c r="BK169" s="63"/>
      <c r="BL169" s="55"/>
      <c r="BW169" s="55">
        <v>21</v>
      </c>
    </row>
    <row r="170" spans="1:75" ht="27" customHeight="1">
      <c r="A170" s="1" t="s">
        <v>450</v>
      </c>
      <c r="B170" s="2" t="s">
        <v>2629</v>
      </c>
      <c r="C170" s="2" t="s">
        <v>2805</v>
      </c>
      <c r="D170" s="147" t="s">
        <v>2871</v>
      </c>
      <c r="E170" s="148"/>
      <c r="F170" s="2" t="s">
        <v>174</v>
      </c>
      <c r="G170" s="55">
        <f>'Stavební rozpočet-vyplnit'!G1548</f>
        <v>80</v>
      </c>
      <c r="H170" s="55">
        <f>'Stavební rozpočet-vyplnit'!H1548</f>
        <v>0</v>
      </c>
      <c r="I170" s="55">
        <f>G170*H170</f>
        <v>0</v>
      </c>
      <c r="J170" s="55">
        <f>'Stavební rozpočet-vyplnit'!J1548</f>
        <v>0</v>
      </c>
      <c r="K170" s="55">
        <f>G170*J170</f>
        <v>0</v>
      </c>
      <c r="L170" s="57" t="s">
        <v>124</v>
      </c>
      <c r="Z170" s="55">
        <f>IF(AQ170="5",BJ170,0)</f>
        <v>0</v>
      </c>
      <c r="AB170" s="55">
        <f>IF(AQ170="1",BH170,0)</f>
        <v>0</v>
      </c>
      <c r="AC170" s="55">
        <f>IF(AQ170="1",BI170,0)</f>
        <v>0</v>
      </c>
      <c r="AD170" s="55">
        <f>IF(AQ170="7",BH170,0)</f>
        <v>0</v>
      </c>
      <c r="AE170" s="55">
        <f>IF(AQ170="7",BI170,0)</f>
        <v>0</v>
      </c>
      <c r="AF170" s="55">
        <f>IF(AQ170="2",BH170,0)</f>
        <v>0</v>
      </c>
      <c r="AG170" s="55">
        <f>IF(AQ170="2",BI170,0)</f>
        <v>0</v>
      </c>
      <c r="AH170" s="55">
        <f>IF(AQ170="0",BJ170,0)</f>
        <v>0</v>
      </c>
      <c r="AI170" s="34" t="s">
        <v>2629</v>
      </c>
      <c r="AJ170" s="55">
        <f>IF(AN170=0,I170,0)</f>
        <v>0</v>
      </c>
      <c r="AK170" s="55">
        <f>IF(AN170=12,I170,0)</f>
        <v>0</v>
      </c>
      <c r="AL170" s="55">
        <f>IF(AN170=21,I170,0)</f>
        <v>0</v>
      </c>
      <c r="AN170" s="55">
        <v>21</v>
      </c>
      <c r="AO170" s="55">
        <f>H170*0</f>
        <v>0</v>
      </c>
      <c r="AP170" s="55">
        <f>H170*(1-0)</f>
        <v>0</v>
      </c>
      <c r="AQ170" s="58" t="s">
        <v>125</v>
      </c>
      <c r="AV170" s="55">
        <f>AW170+AX170</f>
        <v>0</v>
      </c>
      <c r="AW170" s="55">
        <f>G170*AO170</f>
        <v>0</v>
      </c>
      <c r="AX170" s="55">
        <f>G170*AP170</f>
        <v>0</v>
      </c>
      <c r="AY170" s="58" t="s">
        <v>2795</v>
      </c>
      <c r="AZ170" s="58" t="s">
        <v>2633</v>
      </c>
      <c r="BA170" s="34" t="s">
        <v>2634</v>
      </c>
      <c r="BC170" s="55">
        <f>AW170+AX170</f>
        <v>0</v>
      </c>
      <c r="BD170" s="55">
        <f>H170/(100-BE170)*100</f>
        <v>0</v>
      </c>
      <c r="BE170" s="55">
        <v>0</v>
      </c>
      <c r="BF170" s="55">
        <f>K170</f>
        <v>0</v>
      </c>
      <c r="BH170" s="55">
        <f>G170*AO170</f>
        <v>0</v>
      </c>
      <c r="BI170" s="55">
        <f>G170*AP170</f>
        <v>0</v>
      </c>
      <c r="BJ170" s="55">
        <f>G170*H170</f>
        <v>0</v>
      </c>
      <c r="BK170" s="55"/>
      <c r="BL170" s="55"/>
      <c r="BW170" s="55">
        <v>21</v>
      </c>
    </row>
    <row r="171" spans="1:12" ht="13.5" customHeight="1">
      <c r="A171" s="59"/>
      <c r="D171" s="218" t="s">
        <v>2872</v>
      </c>
      <c r="E171" s="219"/>
      <c r="F171" s="219"/>
      <c r="G171" s="219"/>
      <c r="H171" s="219"/>
      <c r="I171" s="219"/>
      <c r="J171" s="219"/>
      <c r="K171" s="219"/>
      <c r="L171" s="221"/>
    </row>
    <row r="172" spans="1:75" ht="13.5" customHeight="1">
      <c r="A172" s="61" t="s">
        <v>453</v>
      </c>
      <c r="B172" s="62" t="s">
        <v>2629</v>
      </c>
      <c r="C172" s="62" t="s">
        <v>2808</v>
      </c>
      <c r="D172" s="224" t="s">
        <v>2809</v>
      </c>
      <c r="E172" s="225"/>
      <c r="F172" s="62" t="s">
        <v>174</v>
      </c>
      <c r="G172" s="63">
        <f>'Stavební rozpočet-vyplnit'!G1550</f>
        <v>80</v>
      </c>
      <c r="H172" s="63">
        <f>'Stavební rozpočet-vyplnit'!H1550</f>
        <v>0</v>
      </c>
      <c r="I172" s="63">
        <f aca="true" t="shared" si="90" ref="I172:I197">G172*H172</f>
        <v>0</v>
      </c>
      <c r="J172" s="63">
        <f>'Stavební rozpočet-vyplnit'!J1550</f>
        <v>0</v>
      </c>
      <c r="K172" s="63">
        <f aca="true" t="shared" si="91" ref="K172:K197">G172*J172</f>
        <v>0</v>
      </c>
      <c r="L172" s="65" t="s">
        <v>124</v>
      </c>
      <c r="Z172" s="55">
        <f aca="true" t="shared" si="92" ref="Z172:Z197">IF(AQ172="5",BJ172,0)</f>
        <v>0</v>
      </c>
      <c r="AB172" s="55">
        <f aca="true" t="shared" si="93" ref="AB172:AB197">IF(AQ172="1",BH172,0)</f>
        <v>0</v>
      </c>
      <c r="AC172" s="55">
        <f aca="true" t="shared" si="94" ref="AC172:AC197">IF(AQ172="1",BI172,0)</f>
        <v>0</v>
      </c>
      <c r="AD172" s="55">
        <f aca="true" t="shared" si="95" ref="AD172:AD197">IF(AQ172="7",BH172,0)</f>
        <v>0</v>
      </c>
      <c r="AE172" s="55">
        <f aca="true" t="shared" si="96" ref="AE172:AE197">IF(AQ172="7",BI172,0)</f>
        <v>0</v>
      </c>
      <c r="AF172" s="55">
        <f aca="true" t="shared" si="97" ref="AF172:AF197">IF(AQ172="2",BH172,0)</f>
        <v>0</v>
      </c>
      <c r="AG172" s="55">
        <f aca="true" t="shared" si="98" ref="AG172:AG197">IF(AQ172="2",BI172,0)</f>
        <v>0</v>
      </c>
      <c r="AH172" s="55">
        <f aca="true" t="shared" si="99" ref="AH172:AH197">IF(AQ172="0",BJ172,0)</f>
        <v>0</v>
      </c>
      <c r="AI172" s="34" t="s">
        <v>2629</v>
      </c>
      <c r="AJ172" s="63">
        <f aca="true" t="shared" si="100" ref="AJ172:AJ197">IF(AN172=0,I172,0)</f>
        <v>0</v>
      </c>
      <c r="AK172" s="63">
        <f aca="true" t="shared" si="101" ref="AK172:AK197">IF(AN172=12,I172,0)</f>
        <v>0</v>
      </c>
      <c r="AL172" s="63">
        <f aca="true" t="shared" si="102" ref="AL172:AL197">IF(AN172=21,I172,0)</f>
        <v>0</v>
      </c>
      <c r="AN172" s="55">
        <v>21</v>
      </c>
      <c r="AO172" s="55">
        <f>H172*1</f>
        <v>0</v>
      </c>
      <c r="AP172" s="55">
        <f>H172*(1-1)</f>
        <v>0</v>
      </c>
      <c r="AQ172" s="66" t="s">
        <v>125</v>
      </c>
      <c r="AV172" s="55">
        <f aca="true" t="shared" si="103" ref="AV172:AV197">AW172+AX172</f>
        <v>0</v>
      </c>
      <c r="AW172" s="55">
        <f aca="true" t="shared" si="104" ref="AW172:AW197">G172*AO172</f>
        <v>0</v>
      </c>
      <c r="AX172" s="55">
        <f aca="true" t="shared" si="105" ref="AX172:AX197">G172*AP172</f>
        <v>0</v>
      </c>
      <c r="AY172" s="58" t="s">
        <v>2795</v>
      </c>
      <c r="AZ172" s="58" t="s">
        <v>2633</v>
      </c>
      <c r="BA172" s="34" t="s">
        <v>2634</v>
      </c>
      <c r="BC172" s="55">
        <f aca="true" t="shared" si="106" ref="BC172:BC197">AW172+AX172</f>
        <v>0</v>
      </c>
      <c r="BD172" s="55">
        <f aca="true" t="shared" si="107" ref="BD172:BD197">H172/(100-BE172)*100</f>
        <v>0</v>
      </c>
      <c r="BE172" s="55">
        <v>0</v>
      </c>
      <c r="BF172" s="55">
        <f aca="true" t="shared" si="108" ref="BF172:BF197">K172</f>
        <v>0</v>
      </c>
      <c r="BH172" s="63">
        <f aca="true" t="shared" si="109" ref="BH172:BH197">G172*AO172</f>
        <v>0</v>
      </c>
      <c r="BI172" s="63">
        <f aca="true" t="shared" si="110" ref="BI172:BI197">G172*AP172</f>
        <v>0</v>
      </c>
      <c r="BJ172" s="63">
        <f aca="true" t="shared" si="111" ref="BJ172:BJ197">G172*H172</f>
        <v>0</v>
      </c>
      <c r="BK172" s="63"/>
      <c r="BL172" s="55"/>
      <c r="BW172" s="55">
        <v>21</v>
      </c>
    </row>
    <row r="173" spans="1:75" ht="27" customHeight="1">
      <c r="A173" s="1" t="s">
        <v>456</v>
      </c>
      <c r="B173" s="2" t="s">
        <v>2629</v>
      </c>
      <c r="C173" s="2" t="s">
        <v>2865</v>
      </c>
      <c r="D173" s="147" t="s">
        <v>2866</v>
      </c>
      <c r="E173" s="148"/>
      <c r="F173" s="2" t="s">
        <v>174</v>
      </c>
      <c r="G173" s="55">
        <f>'Stavební rozpočet-vyplnit'!G1551</f>
        <v>160</v>
      </c>
      <c r="H173" s="55">
        <f>'Stavební rozpočet-vyplnit'!H1551</f>
        <v>0</v>
      </c>
      <c r="I173" s="55">
        <f t="shared" si="90"/>
        <v>0</v>
      </c>
      <c r="J173" s="55">
        <f>'Stavební rozpočet-vyplnit'!J1551</f>
        <v>0</v>
      </c>
      <c r="K173" s="55">
        <f t="shared" si="91"/>
        <v>0</v>
      </c>
      <c r="L173" s="57" t="s">
        <v>124</v>
      </c>
      <c r="Z173" s="55">
        <f t="shared" si="92"/>
        <v>0</v>
      </c>
      <c r="AB173" s="55">
        <f t="shared" si="93"/>
        <v>0</v>
      </c>
      <c r="AC173" s="55">
        <f t="shared" si="94"/>
        <v>0</v>
      </c>
      <c r="AD173" s="55">
        <f t="shared" si="95"/>
        <v>0</v>
      </c>
      <c r="AE173" s="55">
        <f t="shared" si="96"/>
        <v>0</v>
      </c>
      <c r="AF173" s="55">
        <f t="shared" si="97"/>
        <v>0</v>
      </c>
      <c r="AG173" s="55">
        <f t="shared" si="98"/>
        <v>0</v>
      </c>
      <c r="AH173" s="55">
        <f t="shared" si="99"/>
        <v>0</v>
      </c>
      <c r="AI173" s="34" t="s">
        <v>2629</v>
      </c>
      <c r="AJ173" s="55">
        <f t="shared" si="100"/>
        <v>0</v>
      </c>
      <c r="AK173" s="55">
        <f t="shared" si="101"/>
        <v>0</v>
      </c>
      <c r="AL173" s="55">
        <f t="shared" si="102"/>
        <v>0</v>
      </c>
      <c r="AN173" s="55">
        <v>21</v>
      </c>
      <c r="AO173" s="55">
        <f>H173*0</f>
        <v>0</v>
      </c>
      <c r="AP173" s="55">
        <f>H173*(1-0)</f>
        <v>0</v>
      </c>
      <c r="AQ173" s="58" t="s">
        <v>125</v>
      </c>
      <c r="AV173" s="55">
        <f t="shared" si="103"/>
        <v>0</v>
      </c>
      <c r="AW173" s="55">
        <f t="shared" si="104"/>
        <v>0</v>
      </c>
      <c r="AX173" s="55">
        <f t="shared" si="105"/>
        <v>0</v>
      </c>
      <c r="AY173" s="58" t="s">
        <v>2795</v>
      </c>
      <c r="AZ173" s="58" t="s">
        <v>2633</v>
      </c>
      <c r="BA173" s="34" t="s">
        <v>2634</v>
      </c>
      <c r="BC173" s="55">
        <f t="shared" si="106"/>
        <v>0</v>
      </c>
      <c r="BD173" s="55">
        <f t="shared" si="107"/>
        <v>0</v>
      </c>
      <c r="BE173" s="55">
        <v>0</v>
      </c>
      <c r="BF173" s="55">
        <f t="shared" si="108"/>
        <v>0</v>
      </c>
      <c r="BH173" s="55">
        <f t="shared" si="109"/>
        <v>0</v>
      </c>
      <c r="BI173" s="55">
        <f t="shared" si="110"/>
        <v>0</v>
      </c>
      <c r="BJ173" s="55">
        <f t="shared" si="111"/>
        <v>0</v>
      </c>
      <c r="BK173" s="55"/>
      <c r="BL173" s="55"/>
      <c r="BW173" s="55">
        <v>21</v>
      </c>
    </row>
    <row r="174" spans="1:75" ht="27" customHeight="1">
      <c r="A174" s="61" t="s">
        <v>459</v>
      </c>
      <c r="B174" s="62" t="s">
        <v>2629</v>
      </c>
      <c r="C174" s="62" t="s">
        <v>2920</v>
      </c>
      <c r="D174" s="224" t="s">
        <v>2921</v>
      </c>
      <c r="E174" s="225"/>
      <c r="F174" s="62" t="s">
        <v>174</v>
      </c>
      <c r="G174" s="63">
        <f>'Stavební rozpočet-vyplnit'!G1552</f>
        <v>160</v>
      </c>
      <c r="H174" s="63">
        <f>'Stavební rozpočet-vyplnit'!H1552</f>
        <v>0</v>
      </c>
      <c r="I174" s="63">
        <f t="shared" si="90"/>
        <v>0</v>
      </c>
      <c r="J174" s="63">
        <f>'Stavební rozpočet-vyplnit'!J1552</f>
        <v>0</v>
      </c>
      <c r="K174" s="63">
        <f t="shared" si="91"/>
        <v>0</v>
      </c>
      <c r="L174" s="65" t="s">
        <v>124</v>
      </c>
      <c r="Z174" s="55">
        <f t="shared" si="92"/>
        <v>0</v>
      </c>
      <c r="AB174" s="55">
        <f t="shared" si="93"/>
        <v>0</v>
      </c>
      <c r="AC174" s="55">
        <f t="shared" si="94"/>
        <v>0</v>
      </c>
      <c r="AD174" s="55">
        <f t="shared" si="95"/>
        <v>0</v>
      </c>
      <c r="AE174" s="55">
        <f t="shared" si="96"/>
        <v>0</v>
      </c>
      <c r="AF174" s="55">
        <f t="shared" si="97"/>
        <v>0</v>
      </c>
      <c r="AG174" s="55">
        <f t="shared" si="98"/>
        <v>0</v>
      </c>
      <c r="AH174" s="55">
        <f t="shared" si="99"/>
        <v>0</v>
      </c>
      <c r="AI174" s="34" t="s">
        <v>2629</v>
      </c>
      <c r="AJ174" s="63">
        <f t="shared" si="100"/>
        <v>0</v>
      </c>
      <c r="AK174" s="63">
        <f t="shared" si="101"/>
        <v>0</v>
      </c>
      <c r="AL174" s="63">
        <f t="shared" si="102"/>
        <v>0</v>
      </c>
      <c r="AN174" s="55">
        <v>21</v>
      </c>
      <c r="AO174" s="55">
        <f>H174*1</f>
        <v>0</v>
      </c>
      <c r="AP174" s="55">
        <f>H174*(1-1)</f>
        <v>0</v>
      </c>
      <c r="AQ174" s="66" t="s">
        <v>125</v>
      </c>
      <c r="AV174" s="55">
        <f t="shared" si="103"/>
        <v>0</v>
      </c>
      <c r="AW174" s="55">
        <f t="shared" si="104"/>
        <v>0</v>
      </c>
      <c r="AX174" s="55">
        <f t="shared" si="105"/>
        <v>0</v>
      </c>
      <c r="AY174" s="58" t="s">
        <v>2795</v>
      </c>
      <c r="AZ174" s="58" t="s">
        <v>2633</v>
      </c>
      <c r="BA174" s="34" t="s">
        <v>2634</v>
      </c>
      <c r="BC174" s="55">
        <f t="shared" si="106"/>
        <v>0</v>
      </c>
      <c r="BD174" s="55">
        <f t="shared" si="107"/>
        <v>0</v>
      </c>
      <c r="BE174" s="55">
        <v>0</v>
      </c>
      <c r="BF174" s="55">
        <f t="shared" si="108"/>
        <v>0</v>
      </c>
      <c r="BH174" s="63">
        <f t="shared" si="109"/>
        <v>0</v>
      </c>
      <c r="BI174" s="63">
        <f t="shared" si="110"/>
        <v>0</v>
      </c>
      <c r="BJ174" s="63">
        <f t="shared" si="111"/>
        <v>0</v>
      </c>
      <c r="BK174" s="63"/>
      <c r="BL174" s="55"/>
      <c r="BW174" s="55">
        <v>21</v>
      </c>
    </row>
    <row r="175" spans="1:75" ht="27" customHeight="1">
      <c r="A175" s="1" t="s">
        <v>462</v>
      </c>
      <c r="B175" s="2" t="s">
        <v>2629</v>
      </c>
      <c r="C175" s="2" t="s">
        <v>2922</v>
      </c>
      <c r="D175" s="147" t="s">
        <v>2923</v>
      </c>
      <c r="E175" s="148"/>
      <c r="F175" s="2" t="s">
        <v>174</v>
      </c>
      <c r="G175" s="55">
        <f>'Stavební rozpočet-vyplnit'!G1553</f>
        <v>50</v>
      </c>
      <c r="H175" s="55">
        <f>'Stavební rozpočet-vyplnit'!H1553</f>
        <v>0</v>
      </c>
      <c r="I175" s="55">
        <f t="shared" si="90"/>
        <v>0</v>
      </c>
      <c r="J175" s="55">
        <f>'Stavební rozpočet-vyplnit'!J1553</f>
        <v>0</v>
      </c>
      <c r="K175" s="55">
        <f t="shared" si="91"/>
        <v>0</v>
      </c>
      <c r="L175" s="57" t="s">
        <v>124</v>
      </c>
      <c r="Z175" s="55">
        <f t="shared" si="92"/>
        <v>0</v>
      </c>
      <c r="AB175" s="55">
        <f t="shared" si="93"/>
        <v>0</v>
      </c>
      <c r="AC175" s="55">
        <f t="shared" si="94"/>
        <v>0</v>
      </c>
      <c r="AD175" s="55">
        <f t="shared" si="95"/>
        <v>0</v>
      </c>
      <c r="AE175" s="55">
        <f t="shared" si="96"/>
        <v>0</v>
      </c>
      <c r="AF175" s="55">
        <f t="shared" si="97"/>
        <v>0</v>
      </c>
      <c r="AG175" s="55">
        <f t="shared" si="98"/>
        <v>0</v>
      </c>
      <c r="AH175" s="55">
        <f t="shared" si="99"/>
        <v>0</v>
      </c>
      <c r="AI175" s="34" t="s">
        <v>2629</v>
      </c>
      <c r="AJ175" s="55">
        <f t="shared" si="100"/>
        <v>0</v>
      </c>
      <c r="AK175" s="55">
        <f t="shared" si="101"/>
        <v>0</v>
      </c>
      <c r="AL175" s="55">
        <f t="shared" si="102"/>
        <v>0</v>
      </c>
      <c r="AN175" s="55">
        <v>21</v>
      </c>
      <c r="AO175" s="55">
        <f>H175*0</f>
        <v>0</v>
      </c>
      <c r="AP175" s="55">
        <f>H175*(1-0)</f>
        <v>0</v>
      </c>
      <c r="AQ175" s="58" t="s">
        <v>125</v>
      </c>
      <c r="AV175" s="55">
        <f t="shared" si="103"/>
        <v>0</v>
      </c>
      <c r="AW175" s="55">
        <f t="shared" si="104"/>
        <v>0</v>
      </c>
      <c r="AX175" s="55">
        <f t="shared" si="105"/>
        <v>0</v>
      </c>
      <c r="AY175" s="58" t="s">
        <v>2795</v>
      </c>
      <c r="AZ175" s="58" t="s">
        <v>2633</v>
      </c>
      <c r="BA175" s="34" t="s">
        <v>2634</v>
      </c>
      <c r="BC175" s="55">
        <f t="shared" si="106"/>
        <v>0</v>
      </c>
      <c r="BD175" s="55">
        <f t="shared" si="107"/>
        <v>0</v>
      </c>
      <c r="BE175" s="55">
        <v>0</v>
      </c>
      <c r="BF175" s="55">
        <f t="shared" si="108"/>
        <v>0</v>
      </c>
      <c r="BH175" s="55">
        <f t="shared" si="109"/>
        <v>0</v>
      </c>
      <c r="BI175" s="55">
        <f t="shared" si="110"/>
        <v>0</v>
      </c>
      <c r="BJ175" s="55">
        <f t="shared" si="111"/>
        <v>0</v>
      </c>
      <c r="BK175" s="55"/>
      <c r="BL175" s="55"/>
      <c r="BW175" s="55">
        <v>21</v>
      </c>
    </row>
    <row r="176" spans="1:75" ht="13.5" customHeight="1">
      <c r="A176" s="1" t="s">
        <v>465</v>
      </c>
      <c r="B176" s="2" t="s">
        <v>2629</v>
      </c>
      <c r="C176" s="2" t="s">
        <v>2925</v>
      </c>
      <c r="D176" s="147" t="s">
        <v>2926</v>
      </c>
      <c r="E176" s="148"/>
      <c r="F176" s="2" t="s">
        <v>174</v>
      </c>
      <c r="G176" s="55">
        <f>'Stavební rozpočet-vyplnit'!G1554</f>
        <v>50</v>
      </c>
      <c r="H176" s="55">
        <f>'Stavební rozpočet-vyplnit'!H1554</f>
        <v>0</v>
      </c>
      <c r="I176" s="55">
        <f t="shared" si="90"/>
        <v>0</v>
      </c>
      <c r="J176" s="55">
        <f>'Stavební rozpočet-vyplnit'!J1554</f>
        <v>0</v>
      </c>
      <c r="K176" s="55">
        <f t="shared" si="91"/>
        <v>0</v>
      </c>
      <c r="L176" s="57" t="s">
        <v>124</v>
      </c>
      <c r="Z176" s="55">
        <f t="shared" si="92"/>
        <v>0</v>
      </c>
      <c r="AB176" s="55">
        <f t="shared" si="93"/>
        <v>0</v>
      </c>
      <c r="AC176" s="55">
        <f t="shared" si="94"/>
        <v>0</v>
      </c>
      <c r="AD176" s="55">
        <f t="shared" si="95"/>
        <v>0</v>
      </c>
      <c r="AE176" s="55">
        <f t="shared" si="96"/>
        <v>0</v>
      </c>
      <c r="AF176" s="55">
        <f t="shared" si="97"/>
        <v>0</v>
      </c>
      <c r="AG176" s="55">
        <f t="shared" si="98"/>
        <v>0</v>
      </c>
      <c r="AH176" s="55">
        <f t="shared" si="99"/>
        <v>0</v>
      </c>
      <c r="AI176" s="34" t="s">
        <v>2629</v>
      </c>
      <c r="AJ176" s="55">
        <f t="shared" si="100"/>
        <v>0</v>
      </c>
      <c r="AK176" s="55">
        <f t="shared" si="101"/>
        <v>0</v>
      </c>
      <c r="AL176" s="55">
        <f t="shared" si="102"/>
        <v>0</v>
      </c>
      <c r="AN176" s="55">
        <v>21</v>
      </c>
      <c r="AO176" s="55">
        <f>H176*0</f>
        <v>0</v>
      </c>
      <c r="AP176" s="55">
        <f>H176*(1-0)</f>
        <v>0</v>
      </c>
      <c r="AQ176" s="58" t="s">
        <v>125</v>
      </c>
      <c r="AV176" s="55">
        <f t="shared" si="103"/>
        <v>0</v>
      </c>
      <c r="AW176" s="55">
        <f t="shared" si="104"/>
        <v>0</v>
      </c>
      <c r="AX176" s="55">
        <f t="shared" si="105"/>
        <v>0</v>
      </c>
      <c r="AY176" s="58" t="s">
        <v>2795</v>
      </c>
      <c r="AZ176" s="58" t="s">
        <v>2633</v>
      </c>
      <c r="BA176" s="34" t="s">
        <v>2634</v>
      </c>
      <c r="BC176" s="55">
        <f t="shared" si="106"/>
        <v>0</v>
      </c>
      <c r="BD176" s="55">
        <f t="shared" si="107"/>
        <v>0</v>
      </c>
      <c r="BE176" s="55">
        <v>0</v>
      </c>
      <c r="BF176" s="55">
        <f t="shared" si="108"/>
        <v>0</v>
      </c>
      <c r="BH176" s="55">
        <f t="shared" si="109"/>
        <v>0</v>
      </c>
      <c r="BI176" s="55">
        <f t="shared" si="110"/>
        <v>0</v>
      </c>
      <c r="BJ176" s="55">
        <f t="shared" si="111"/>
        <v>0</v>
      </c>
      <c r="BK176" s="55"/>
      <c r="BL176" s="55"/>
      <c r="BW176" s="55">
        <v>21</v>
      </c>
    </row>
    <row r="177" spans="1:75" ht="13.5" customHeight="1">
      <c r="A177" s="61" t="s">
        <v>468</v>
      </c>
      <c r="B177" s="62" t="s">
        <v>2629</v>
      </c>
      <c r="C177" s="62" t="s">
        <v>2928</v>
      </c>
      <c r="D177" s="224" t="s">
        <v>2929</v>
      </c>
      <c r="E177" s="225"/>
      <c r="F177" s="62" t="s">
        <v>2815</v>
      </c>
      <c r="G177" s="63">
        <f>'Stavební rozpočet-vyplnit'!G1555</f>
        <v>50</v>
      </c>
      <c r="H177" s="63">
        <f>'Stavební rozpočet-vyplnit'!H1555</f>
        <v>0</v>
      </c>
      <c r="I177" s="63">
        <f t="shared" si="90"/>
        <v>0</v>
      </c>
      <c r="J177" s="63">
        <f>'Stavební rozpočet-vyplnit'!J1555</f>
        <v>0</v>
      </c>
      <c r="K177" s="63">
        <f t="shared" si="91"/>
        <v>0</v>
      </c>
      <c r="L177" s="65" t="s">
        <v>124</v>
      </c>
      <c r="Z177" s="55">
        <f t="shared" si="92"/>
        <v>0</v>
      </c>
      <c r="AB177" s="55">
        <f t="shared" si="93"/>
        <v>0</v>
      </c>
      <c r="AC177" s="55">
        <f t="shared" si="94"/>
        <v>0</v>
      </c>
      <c r="AD177" s="55">
        <f t="shared" si="95"/>
        <v>0</v>
      </c>
      <c r="AE177" s="55">
        <f t="shared" si="96"/>
        <v>0</v>
      </c>
      <c r="AF177" s="55">
        <f t="shared" si="97"/>
        <v>0</v>
      </c>
      <c r="AG177" s="55">
        <f t="shared" si="98"/>
        <v>0</v>
      </c>
      <c r="AH177" s="55">
        <f t="shared" si="99"/>
        <v>0</v>
      </c>
      <c r="AI177" s="34" t="s">
        <v>2629</v>
      </c>
      <c r="AJ177" s="63">
        <f t="shared" si="100"/>
        <v>0</v>
      </c>
      <c r="AK177" s="63">
        <f t="shared" si="101"/>
        <v>0</v>
      </c>
      <c r="AL177" s="63">
        <f t="shared" si="102"/>
        <v>0</v>
      </c>
      <c r="AN177" s="55">
        <v>21</v>
      </c>
      <c r="AO177" s="55">
        <f aca="true" t="shared" si="112" ref="AO177:AO182">H177*1</f>
        <v>0</v>
      </c>
      <c r="AP177" s="55">
        <f aca="true" t="shared" si="113" ref="AP177:AP182">H177*(1-1)</f>
        <v>0</v>
      </c>
      <c r="AQ177" s="66" t="s">
        <v>125</v>
      </c>
      <c r="AV177" s="55">
        <f t="shared" si="103"/>
        <v>0</v>
      </c>
      <c r="AW177" s="55">
        <f t="shared" si="104"/>
        <v>0</v>
      </c>
      <c r="AX177" s="55">
        <f t="shared" si="105"/>
        <v>0</v>
      </c>
      <c r="AY177" s="58" t="s">
        <v>2795</v>
      </c>
      <c r="AZ177" s="58" t="s">
        <v>2633</v>
      </c>
      <c r="BA177" s="34" t="s">
        <v>2634</v>
      </c>
      <c r="BC177" s="55">
        <f t="shared" si="106"/>
        <v>0</v>
      </c>
      <c r="BD177" s="55">
        <f t="shared" si="107"/>
        <v>0</v>
      </c>
      <c r="BE177" s="55">
        <v>0</v>
      </c>
      <c r="BF177" s="55">
        <f t="shared" si="108"/>
        <v>0</v>
      </c>
      <c r="BH177" s="63">
        <f t="shared" si="109"/>
        <v>0</v>
      </c>
      <c r="BI177" s="63">
        <f t="shared" si="110"/>
        <v>0</v>
      </c>
      <c r="BJ177" s="63">
        <f t="shared" si="111"/>
        <v>0</v>
      </c>
      <c r="BK177" s="63"/>
      <c r="BL177" s="55"/>
      <c r="BW177" s="55">
        <v>21</v>
      </c>
    </row>
    <row r="178" spans="1:75" ht="13.5" customHeight="1">
      <c r="A178" s="61" t="s">
        <v>471</v>
      </c>
      <c r="B178" s="62" t="s">
        <v>2629</v>
      </c>
      <c r="C178" s="62" t="s">
        <v>2931</v>
      </c>
      <c r="D178" s="224" t="s">
        <v>2932</v>
      </c>
      <c r="E178" s="225"/>
      <c r="F178" s="62" t="s">
        <v>2815</v>
      </c>
      <c r="G178" s="63">
        <f>'Stavební rozpočet-vyplnit'!G1556</f>
        <v>50</v>
      </c>
      <c r="H178" s="63">
        <f>'Stavební rozpočet-vyplnit'!H1556</f>
        <v>0</v>
      </c>
      <c r="I178" s="63">
        <f t="shared" si="90"/>
        <v>0</v>
      </c>
      <c r="J178" s="63">
        <f>'Stavební rozpočet-vyplnit'!J1556</f>
        <v>0</v>
      </c>
      <c r="K178" s="63">
        <f t="shared" si="91"/>
        <v>0</v>
      </c>
      <c r="L178" s="65" t="s">
        <v>124</v>
      </c>
      <c r="Z178" s="55">
        <f t="shared" si="92"/>
        <v>0</v>
      </c>
      <c r="AB178" s="55">
        <f t="shared" si="93"/>
        <v>0</v>
      </c>
      <c r="AC178" s="55">
        <f t="shared" si="94"/>
        <v>0</v>
      </c>
      <c r="AD178" s="55">
        <f t="shared" si="95"/>
        <v>0</v>
      </c>
      <c r="AE178" s="55">
        <f t="shared" si="96"/>
        <v>0</v>
      </c>
      <c r="AF178" s="55">
        <f t="shared" si="97"/>
        <v>0</v>
      </c>
      <c r="AG178" s="55">
        <f t="shared" si="98"/>
        <v>0</v>
      </c>
      <c r="AH178" s="55">
        <f t="shared" si="99"/>
        <v>0</v>
      </c>
      <c r="AI178" s="34" t="s">
        <v>2629</v>
      </c>
      <c r="AJ178" s="63">
        <f t="shared" si="100"/>
        <v>0</v>
      </c>
      <c r="AK178" s="63">
        <f t="shared" si="101"/>
        <v>0</v>
      </c>
      <c r="AL178" s="63">
        <f t="shared" si="102"/>
        <v>0</v>
      </c>
      <c r="AN178" s="55">
        <v>21</v>
      </c>
      <c r="AO178" s="55">
        <f t="shared" si="112"/>
        <v>0</v>
      </c>
      <c r="AP178" s="55">
        <f t="shared" si="113"/>
        <v>0</v>
      </c>
      <c r="AQ178" s="66" t="s">
        <v>125</v>
      </c>
      <c r="AV178" s="55">
        <f t="shared" si="103"/>
        <v>0</v>
      </c>
      <c r="AW178" s="55">
        <f t="shared" si="104"/>
        <v>0</v>
      </c>
      <c r="AX178" s="55">
        <f t="shared" si="105"/>
        <v>0</v>
      </c>
      <c r="AY178" s="58" t="s">
        <v>2795</v>
      </c>
      <c r="AZ178" s="58" t="s">
        <v>2633</v>
      </c>
      <c r="BA178" s="34" t="s">
        <v>2634</v>
      </c>
      <c r="BC178" s="55">
        <f t="shared" si="106"/>
        <v>0</v>
      </c>
      <c r="BD178" s="55">
        <f t="shared" si="107"/>
        <v>0</v>
      </c>
      <c r="BE178" s="55">
        <v>0</v>
      </c>
      <c r="BF178" s="55">
        <f t="shared" si="108"/>
        <v>0</v>
      </c>
      <c r="BH178" s="63">
        <f t="shared" si="109"/>
        <v>0</v>
      </c>
      <c r="BI178" s="63">
        <f t="shared" si="110"/>
        <v>0</v>
      </c>
      <c r="BJ178" s="63">
        <f t="shared" si="111"/>
        <v>0</v>
      </c>
      <c r="BK178" s="63"/>
      <c r="BL178" s="55"/>
      <c r="BW178" s="55">
        <v>21</v>
      </c>
    </row>
    <row r="179" spans="1:75" ht="13.5" customHeight="1">
      <c r="A179" s="61" t="s">
        <v>474</v>
      </c>
      <c r="B179" s="62" t="s">
        <v>2629</v>
      </c>
      <c r="C179" s="62" t="s">
        <v>2934</v>
      </c>
      <c r="D179" s="224" t="s">
        <v>2935</v>
      </c>
      <c r="E179" s="225"/>
      <c r="F179" s="62" t="s">
        <v>2936</v>
      </c>
      <c r="G179" s="63">
        <f>'Stavební rozpočet-vyplnit'!G1557</f>
        <v>100</v>
      </c>
      <c r="H179" s="63">
        <f>'Stavební rozpočet-vyplnit'!H1557</f>
        <v>0</v>
      </c>
      <c r="I179" s="63">
        <f t="shared" si="90"/>
        <v>0</v>
      </c>
      <c r="J179" s="63">
        <f>'Stavební rozpočet-vyplnit'!J1557</f>
        <v>0</v>
      </c>
      <c r="K179" s="63">
        <f t="shared" si="91"/>
        <v>0</v>
      </c>
      <c r="L179" s="65" t="s">
        <v>124</v>
      </c>
      <c r="Z179" s="55">
        <f t="shared" si="92"/>
        <v>0</v>
      </c>
      <c r="AB179" s="55">
        <f t="shared" si="93"/>
        <v>0</v>
      </c>
      <c r="AC179" s="55">
        <f t="shared" si="94"/>
        <v>0</v>
      </c>
      <c r="AD179" s="55">
        <f t="shared" si="95"/>
        <v>0</v>
      </c>
      <c r="AE179" s="55">
        <f t="shared" si="96"/>
        <v>0</v>
      </c>
      <c r="AF179" s="55">
        <f t="shared" si="97"/>
        <v>0</v>
      </c>
      <c r="AG179" s="55">
        <f t="shared" si="98"/>
        <v>0</v>
      </c>
      <c r="AH179" s="55">
        <f t="shared" si="99"/>
        <v>0</v>
      </c>
      <c r="AI179" s="34" t="s">
        <v>2629</v>
      </c>
      <c r="AJ179" s="63">
        <f t="shared" si="100"/>
        <v>0</v>
      </c>
      <c r="AK179" s="63">
        <f t="shared" si="101"/>
        <v>0</v>
      </c>
      <c r="AL179" s="63">
        <f t="shared" si="102"/>
        <v>0</v>
      </c>
      <c r="AN179" s="55">
        <v>21</v>
      </c>
      <c r="AO179" s="55">
        <f t="shared" si="112"/>
        <v>0</v>
      </c>
      <c r="AP179" s="55">
        <f t="shared" si="113"/>
        <v>0</v>
      </c>
      <c r="AQ179" s="66" t="s">
        <v>125</v>
      </c>
      <c r="AV179" s="55">
        <f t="shared" si="103"/>
        <v>0</v>
      </c>
      <c r="AW179" s="55">
        <f t="shared" si="104"/>
        <v>0</v>
      </c>
      <c r="AX179" s="55">
        <f t="shared" si="105"/>
        <v>0</v>
      </c>
      <c r="AY179" s="58" t="s">
        <v>2795</v>
      </c>
      <c r="AZ179" s="58" t="s">
        <v>2633</v>
      </c>
      <c r="BA179" s="34" t="s">
        <v>2634</v>
      </c>
      <c r="BC179" s="55">
        <f t="shared" si="106"/>
        <v>0</v>
      </c>
      <c r="BD179" s="55">
        <f t="shared" si="107"/>
        <v>0</v>
      </c>
      <c r="BE179" s="55">
        <v>0</v>
      </c>
      <c r="BF179" s="55">
        <f t="shared" si="108"/>
        <v>0</v>
      </c>
      <c r="BH179" s="63">
        <f t="shared" si="109"/>
        <v>0</v>
      </c>
      <c r="BI179" s="63">
        <f t="shared" si="110"/>
        <v>0</v>
      </c>
      <c r="BJ179" s="63">
        <f t="shared" si="111"/>
        <v>0</v>
      </c>
      <c r="BK179" s="63"/>
      <c r="BL179" s="55"/>
      <c r="BW179" s="55">
        <v>21</v>
      </c>
    </row>
    <row r="180" spans="1:75" ht="13.5" customHeight="1">
      <c r="A180" s="61" t="s">
        <v>478</v>
      </c>
      <c r="B180" s="62" t="s">
        <v>2629</v>
      </c>
      <c r="C180" s="62" t="s">
        <v>2938</v>
      </c>
      <c r="D180" s="224" t="s">
        <v>2939</v>
      </c>
      <c r="E180" s="225"/>
      <c r="F180" s="62" t="s">
        <v>2936</v>
      </c>
      <c r="G180" s="63">
        <f>'Stavební rozpočet-vyplnit'!G1558</f>
        <v>92</v>
      </c>
      <c r="H180" s="63">
        <f>'Stavební rozpočet-vyplnit'!H1558</f>
        <v>0</v>
      </c>
      <c r="I180" s="63">
        <f t="shared" si="90"/>
        <v>0</v>
      </c>
      <c r="J180" s="63">
        <f>'Stavební rozpočet-vyplnit'!J1558</f>
        <v>0</v>
      </c>
      <c r="K180" s="63">
        <f t="shared" si="91"/>
        <v>0</v>
      </c>
      <c r="L180" s="65" t="s">
        <v>124</v>
      </c>
      <c r="Z180" s="55">
        <f t="shared" si="92"/>
        <v>0</v>
      </c>
      <c r="AB180" s="55">
        <f t="shared" si="93"/>
        <v>0</v>
      </c>
      <c r="AC180" s="55">
        <f t="shared" si="94"/>
        <v>0</v>
      </c>
      <c r="AD180" s="55">
        <f t="shared" si="95"/>
        <v>0</v>
      </c>
      <c r="AE180" s="55">
        <f t="shared" si="96"/>
        <v>0</v>
      </c>
      <c r="AF180" s="55">
        <f t="shared" si="97"/>
        <v>0</v>
      </c>
      <c r="AG180" s="55">
        <f t="shared" si="98"/>
        <v>0</v>
      </c>
      <c r="AH180" s="55">
        <f t="shared" si="99"/>
        <v>0</v>
      </c>
      <c r="AI180" s="34" t="s">
        <v>2629</v>
      </c>
      <c r="AJ180" s="63">
        <f t="shared" si="100"/>
        <v>0</v>
      </c>
      <c r="AK180" s="63">
        <f t="shared" si="101"/>
        <v>0</v>
      </c>
      <c r="AL180" s="63">
        <f t="shared" si="102"/>
        <v>0</v>
      </c>
      <c r="AN180" s="55">
        <v>21</v>
      </c>
      <c r="AO180" s="55">
        <f t="shared" si="112"/>
        <v>0</v>
      </c>
      <c r="AP180" s="55">
        <f t="shared" si="113"/>
        <v>0</v>
      </c>
      <c r="AQ180" s="66" t="s">
        <v>125</v>
      </c>
      <c r="AV180" s="55">
        <f t="shared" si="103"/>
        <v>0</v>
      </c>
      <c r="AW180" s="55">
        <f t="shared" si="104"/>
        <v>0</v>
      </c>
      <c r="AX180" s="55">
        <f t="shared" si="105"/>
        <v>0</v>
      </c>
      <c r="AY180" s="58" t="s">
        <v>2795</v>
      </c>
      <c r="AZ180" s="58" t="s">
        <v>2633</v>
      </c>
      <c r="BA180" s="34" t="s">
        <v>2634</v>
      </c>
      <c r="BC180" s="55">
        <f t="shared" si="106"/>
        <v>0</v>
      </c>
      <c r="BD180" s="55">
        <f t="shared" si="107"/>
        <v>0</v>
      </c>
      <c r="BE180" s="55">
        <v>0</v>
      </c>
      <c r="BF180" s="55">
        <f t="shared" si="108"/>
        <v>0</v>
      </c>
      <c r="BH180" s="63">
        <f t="shared" si="109"/>
        <v>0</v>
      </c>
      <c r="BI180" s="63">
        <f t="shared" si="110"/>
        <v>0</v>
      </c>
      <c r="BJ180" s="63">
        <f t="shared" si="111"/>
        <v>0</v>
      </c>
      <c r="BK180" s="63"/>
      <c r="BL180" s="55"/>
      <c r="BW180" s="55">
        <v>21</v>
      </c>
    </row>
    <row r="181" spans="1:75" ht="13.5" customHeight="1">
      <c r="A181" s="61" t="s">
        <v>481</v>
      </c>
      <c r="B181" s="62" t="s">
        <v>2629</v>
      </c>
      <c r="C181" s="62" t="s">
        <v>2941</v>
      </c>
      <c r="D181" s="224" t="s">
        <v>2942</v>
      </c>
      <c r="E181" s="225"/>
      <c r="F181" s="62" t="s">
        <v>2936</v>
      </c>
      <c r="G181" s="63">
        <f>'Stavební rozpočet-vyplnit'!G1559</f>
        <v>42</v>
      </c>
      <c r="H181" s="63">
        <f>'Stavební rozpočet-vyplnit'!H1559</f>
        <v>0</v>
      </c>
      <c r="I181" s="63">
        <f t="shared" si="90"/>
        <v>0</v>
      </c>
      <c r="J181" s="63">
        <f>'Stavební rozpočet-vyplnit'!J1559</f>
        <v>0</v>
      </c>
      <c r="K181" s="63">
        <f t="shared" si="91"/>
        <v>0</v>
      </c>
      <c r="L181" s="65" t="s">
        <v>124</v>
      </c>
      <c r="Z181" s="55">
        <f t="shared" si="92"/>
        <v>0</v>
      </c>
      <c r="AB181" s="55">
        <f t="shared" si="93"/>
        <v>0</v>
      </c>
      <c r="AC181" s="55">
        <f t="shared" si="94"/>
        <v>0</v>
      </c>
      <c r="AD181" s="55">
        <f t="shared" si="95"/>
        <v>0</v>
      </c>
      <c r="AE181" s="55">
        <f t="shared" si="96"/>
        <v>0</v>
      </c>
      <c r="AF181" s="55">
        <f t="shared" si="97"/>
        <v>0</v>
      </c>
      <c r="AG181" s="55">
        <f t="shared" si="98"/>
        <v>0</v>
      </c>
      <c r="AH181" s="55">
        <f t="shared" si="99"/>
        <v>0</v>
      </c>
      <c r="AI181" s="34" t="s">
        <v>2629</v>
      </c>
      <c r="AJ181" s="63">
        <f t="shared" si="100"/>
        <v>0</v>
      </c>
      <c r="AK181" s="63">
        <f t="shared" si="101"/>
        <v>0</v>
      </c>
      <c r="AL181" s="63">
        <f t="shared" si="102"/>
        <v>0</v>
      </c>
      <c r="AN181" s="55">
        <v>21</v>
      </c>
      <c r="AO181" s="55">
        <f t="shared" si="112"/>
        <v>0</v>
      </c>
      <c r="AP181" s="55">
        <f t="shared" si="113"/>
        <v>0</v>
      </c>
      <c r="AQ181" s="66" t="s">
        <v>125</v>
      </c>
      <c r="AV181" s="55">
        <f t="shared" si="103"/>
        <v>0</v>
      </c>
      <c r="AW181" s="55">
        <f t="shared" si="104"/>
        <v>0</v>
      </c>
      <c r="AX181" s="55">
        <f t="shared" si="105"/>
        <v>0</v>
      </c>
      <c r="AY181" s="58" t="s">
        <v>2795</v>
      </c>
      <c r="AZ181" s="58" t="s">
        <v>2633</v>
      </c>
      <c r="BA181" s="34" t="s">
        <v>2634</v>
      </c>
      <c r="BC181" s="55">
        <f t="shared" si="106"/>
        <v>0</v>
      </c>
      <c r="BD181" s="55">
        <f t="shared" si="107"/>
        <v>0</v>
      </c>
      <c r="BE181" s="55">
        <v>0</v>
      </c>
      <c r="BF181" s="55">
        <f t="shared" si="108"/>
        <v>0</v>
      </c>
      <c r="BH181" s="63">
        <f t="shared" si="109"/>
        <v>0</v>
      </c>
      <c r="BI181" s="63">
        <f t="shared" si="110"/>
        <v>0</v>
      </c>
      <c r="BJ181" s="63">
        <f t="shared" si="111"/>
        <v>0</v>
      </c>
      <c r="BK181" s="63"/>
      <c r="BL181" s="55"/>
      <c r="BW181" s="55">
        <v>21</v>
      </c>
    </row>
    <row r="182" spans="1:75" ht="13.5" customHeight="1">
      <c r="A182" s="61" t="s">
        <v>484</v>
      </c>
      <c r="B182" s="62" t="s">
        <v>2629</v>
      </c>
      <c r="C182" s="62" t="s">
        <v>2944</v>
      </c>
      <c r="D182" s="224" t="s">
        <v>2945</v>
      </c>
      <c r="E182" s="225"/>
      <c r="F182" s="62" t="s">
        <v>2936</v>
      </c>
      <c r="G182" s="63">
        <f>'Stavební rozpočet-vyplnit'!G1560</f>
        <v>42</v>
      </c>
      <c r="H182" s="63">
        <f>'Stavební rozpočet-vyplnit'!H1560</f>
        <v>0</v>
      </c>
      <c r="I182" s="63">
        <f t="shared" si="90"/>
        <v>0</v>
      </c>
      <c r="J182" s="63">
        <f>'Stavební rozpočet-vyplnit'!J1560</f>
        <v>0</v>
      </c>
      <c r="K182" s="63">
        <f t="shared" si="91"/>
        <v>0</v>
      </c>
      <c r="L182" s="65" t="s">
        <v>124</v>
      </c>
      <c r="Z182" s="55">
        <f t="shared" si="92"/>
        <v>0</v>
      </c>
      <c r="AB182" s="55">
        <f t="shared" si="93"/>
        <v>0</v>
      </c>
      <c r="AC182" s="55">
        <f t="shared" si="94"/>
        <v>0</v>
      </c>
      <c r="AD182" s="55">
        <f t="shared" si="95"/>
        <v>0</v>
      </c>
      <c r="AE182" s="55">
        <f t="shared" si="96"/>
        <v>0</v>
      </c>
      <c r="AF182" s="55">
        <f t="shared" si="97"/>
        <v>0</v>
      </c>
      <c r="AG182" s="55">
        <f t="shared" si="98"/>
        <v>0</v>
      </c>
      <c r="AH182" s="55">
        <f t="shared" si="99"/>
        <v>0</v>
      </c>
      <c r="AI182" s="34" t="s">
        <v>2629</v>
      </c>
      <c r="AJ182" s="63">
        <f t="shared" si="100"/>
        <v>0</v>
      </c>
      <c r="AK182" s="63">
        <f t="shared" si="101"/>
        <v>0</v>
      </c>
      <c r="AL182" s="63">
        <f t="shared" si="102"/>
        <v>0</v>
      </c>
      <c r="AN182" s="55">
        <v>21</v>
      </c>
      <c r="AO182" s="55">
        <f t="shared" si="112"/>
        <v>0</v>
      </c>
      <c r="AP182" s="55">
        <f t="shared" si="113"/>
        <v>0</v>
      </c>
      <c r="AQ182" s="66" t="s">
        <v>125</v>
      </c>
      <c r="AV182" s="55">
        <f t="shared" si="103"/>
        <v>0</v>
      </c>
      <c r="AW182" s="55">
        <f t="shared" si="104"/>
        <v>0</v>
      </c>
      <c r="AX182" s="55">
        <f t="shared" si="105"/>
        <v>0</v>
      </c>
      <c r="AY182" s="58" t="s">
        <v>2795</v>
      </c>
      <c r="AZ182" s="58" t="s">
        <v>2633</v>
      </c>
      <c r="BA182" s="34" t="s">
        <v>2634</v>
      </c>
      <c r="BC182" s="55">
        <f t="shared" si="106"/>
        <v>0</v>
      </c>
      <c r="BD182" s="55">
        <f t="shared" si="107"/>
        <v>0</v>
      </c>
      <c r="BE182" s="55">
        <v>0</v>
      </c>
      <c r="BF182" s="55">
        <f t="shared" si="108"/>
        <v>0</v>
      </c>
      <c r="BH182" s="63">
        <f t="shared" si="109"/>
        <v>0</v>
      </c>
      <c r="BI182" s="63">
        <f t="shared" si="110"/>
        <v>0</v>
      </c>
      <c r="BJ182" s="63">
        <f t="shared" si="111"/>
        <v>0</v>
      </c>
      <c r="BK182" s="63"/>
      <c r="BL182" s="55"/>
      <c r="BW182" s="55">
        <v>21</v>
      </c>
    </row>
    <row r="183" spans="1:75" ht="27" customHeight="1">
      <c r="A183" s="1" t="s">
        <v>487</v>
      </c>
      <c r="B183" s="2" t="s">
        <v>2629</v>
      </c>
      <c r="C183" s="2" t="s">
        <v>2947</v>
      </c>
      <c r="D183" s="147" t="s">
        <v>2948</v>
      </c>
      <c r="E183" s="148"/>
      <c r="F183" s="2" t="s">
        <v>174</v>
      </c>
      <c r="G183" s="55">
        <f>'Stavební rozpočet-vyplnit'!G1561</f>
        <v>60</v>
      </c>
      <c r="H183" s="55">
        <f>'Stavební rozpočet-vyplnit'!H1561</f>
        <v>0</v>
      </c>
      <c r="I183" s="55">
        <f t="shared" si="90"/>
        <v>0</v>
      </c>
      <c r="J183" s="55">
        <f>'Stavební rozpočet-vyplnit'!J1561</f>
        <v>0</v>
      </c>
      <c r="K183" s="55">
        <f t="shared" si="91"/>
        <v>0</v>
      </c>
      <c r="L183" s="57" t="s">
        <v>124</v>
      </c>
      <c r="Z183" s="55">
        <f t="shared" si="92"/>
        <v>0</v>
      </c>
      <c r="AB183" s="55">
        <f t="shared" si="93"/>
        <v>0</v>
      </c>
      <c r="AC183" s="55">
        <f t="shared" si="94"/>
        <v>0</v>
      </c>
      <c r="AD183" s="55">
        <f t="shared" si="95"/>
        <v>0</v>
      </c>
      <c r="AE183" s="55">
        <f t="shared" si="96"/>
        <v>0</v>
      </c>
      <c r="AF183" s="55">
        <f t="shared" si="97"/>
        <v>0</v>
      </c>
      <c r="AG183" s="55">
        <f t="shared" si="98"/>
        <v>0</v>
      </c>
      <c r="AH183" s="55">
        <f t="shared" si="99"/>
        <v>0</v>
      </c>
      <c r="AI183" s="34" t="s">
        <v>2629</v>
      </c>
      <c r="AJ183" s="55">
        <f t="shared" si="100"/>
        <v>0</v>
      </c>
      <c r="AK183" s="55">
        <f t="shared" si="101"/>
        <v>0</v>
      </c>
      <c r="AL183" s="55">
        <f t="shared" si="102"/>
        <v>0</v>
      </c>
      <c r="AN183" s="55">
        <v>21</v>
      </c>
      <c r="AO183" s="55">
        <f>H183*0</f>
        <v>0</v>
      </c>
      <c r="AP183" s="55">
        <f>H183*(1-0)</f>
        <v>0</v>
      </c>
      <c r="AQ183" s="58" t="s">
        <v>125</v>
      </c>
      <c r="AV183" s="55">
        <f t="shared" si="103"/>
        <v>0</v>
      </c>
      <c r="AW183" s="55">
        <f t="shared" si="104"/>
        <v>0</v>
      </c>
      <c r="AX183" s="55">
        <f t="shared" si="105"/>
        <v>0</v>
      </c>
      <c r="AY183" s="58" t="s">
        <v>2795</v>
      </c>
      <c r="AZ183" s="58" t="s">
        <v>2633</v>
      </c>
      <c r="BA183" s="34" t="s">
        <v>2634</v>
      </c>
      <c r="BC183" s="55">
        <f t="shared" si="106"/>
        <v>0</v>
      </c>
      <c r="BD183" s="55">
        <f t="shared" si="107"/>
        <v>0</v>
      </c>
      <c r="BE183" s="55">
        <v>0</v>
      </c>
      <c r="BF183" s="55">
        <f t="shared" si="108"/>
        <v>0</v>
      </c>
      <c r="BH183" s="55">
        <f t="shared" si="109"/>
        <v>0</v>
      </c>
      <c r="BI183" s="55">
        <f t="shared" si="110"/>
        <v>0</v>
      </c>
      <c r="BJ183" s="55">
        <f t="shared" si="111"/>
        <v>0</v>
      </c>
      <c r="BK183" s="55"/>
      <c r="BL183" s="55"/>
      <c r="BW183" s="55">
        <v>21</v>
      </c>
    </row>
    <row r="184" spans="1:75" ht="13.5" customHeight="1">
      <c r="A184" s="1" t="s">
        <v>490</v>
      </c>
      <c r="B184" s="2" t="s">
        <v>2629</v>
      </c>
      <c r="C184" s="2" t="s">
        <v>2950</v>
      </c>
      <c r="D184" s="147" t="s">
        <v>2951</v>
      </c>
      <c r="E184" s="148"/>
      <c r="F184" s="2" t="s">
        <v>374</v>
      </c>
      <c r="G184" s="55">
        <f>'Stavební rozpočet-vyplnit'!G1562</f>
        <v>4</v>
      </c>
      <c r="H184" s="55">
        <f>'Stavební rozpočet-vyplnit'!H1562</f>
        <v>0</v>
      </c>
      <c r="I184" s="55">
        <f t="shared" si="90"/>
        <v>0</v>
      </c>
      <c r="J184" s="55">
        <f>'Stavební rozpočet-vyplnit'!J1562</f>
        <v>0</v>
      </c>
      <c r="K184" s="55">
        <f t="shared" si="91"/>
        <v>0</v>
      </c>
      <c r="L184" s="57" t="s">
        <v>124</v>
      </c>
      <c r="Z184" s="55">
        <f t="shared" si="92"/>
        <v>0</v>
      </c>
      <c r="AB184" s="55">
        <f t="shared" si="93"/>
        <v>0</v>
      </c>
      <c r="AC184" s="55">
        <f t="shared" si="94"/>
        <v>0</v>
      </c>
      <c r="AD184" s="55">
        <f t="shared" si="95"/>
        <v>0</v>
      </c>
      <c r="AE184" s="55">
        <f t="shared" si="96"/>
        <v>0</v>
      </c>
      <c r="AF184" s="55">
        <f t="shared" si="97"/>
        <v>0</v>
      </c>
      <c r="AG184" s="55">
        <f t="shared" si="98"/>
        <v>0</v>
      </c>
      <c r="AH184" s="55">
        <f t="shared" si="99"/>
        <v>0</v>
      </c>
      <c r="AI184" s="34" t="s">
        <v>2629</v>
      </c>
      <c r="AJ184" s="55">
        <f t="shared" si="100"/>
        <v>0</v>
      </c>
      <c r="AK184" s="55">
        <f t="shared" si="101"/>
        <v>0</v>
      </c>
      <c r="AL184" s="55">
        <f t="shared" si="102"/>
        <v>0</v>
      </c>
      <c r="AN184" s="55">
        <v>21</v>
      </c>
      <c r="AO184" s="55">
        <f>H184*0</f>
        <v>0</v>
      </c>
      <c r="AP184" s="55">
        <f>H184*(1-0)</f>
        <v>0</v>
      </c>
      <c r="AQ184" s="58" t="s">
        <v>130</v>
      </c>
      <c r="AV184" s="55">
        <f t="shared" si="103"/>
        <v>0</v>
      </c>
      <c r="AW184" s="55">
        <f t="shared" si="104"/>
        <v>0</v>
      </c>
      <c r="AX184" s="55">
        <f t="shared" si="105"/>
        <v>0</v>
      </c>
      <c r="AY184" s="58" t="s">
        <v>2795</v>
      </c>
      <c r="AZ184" s="58" t="s">
        <v>2633</v>
      </c>
      <c r="BA184" s="34" t="s">
        <v>2634</v>
      </c>
      <c r="BC184" s="55">
        <f t="shared" si="106"/>
        <v>0</v>
      </c>
      <c r="BD184" s="55">
        <f t="shared" si="107"/>
        <v>0</v>
      </c>
      <c r="BE184" s="55">
        <v>0</v>
      </c>
      <c r="BF184" s="55">
        <f t="shared" si="108"/>
        <v>0</v>
      </c>
      <c r="BH184" s="55">
        <f t="shared" si="109"/>
        <v>0</v>
      </c>
      <c r="BI184" s="55">
        <f t="shared" si="110"/>
        <v>0</v>
      </c>
      <c r="BJ184" s="55">
        <f t="shared" si="111"/>
        <v>0</v>
      </c>
      <c r="BK184" s="55"/>
      <c r="BL184" s="55"/>
      <c r="BW184" s="55">
        <v>21</v>
      </c>
    </row>
    <row r="185" spans="1:75" ht="27" customHeight="1">
      <c r="A185" s="1" t="s">
        <v>493</v>
      </c>
      <c r="B185" s="2" t="s">
        <v>2629</v>
      </c>
      <c r="C185" s="2" t="s">
        <v>2953</v>
      </c>
      <c r="D185" s="147" t="s">
        <v>2954</v>
      </c>
      <c r="E185" s="148"/>
      <c r="F185" s="2" t="s">
        <v>729</v>
      </c>
      <c r="G185" s="55">
        <f>'Stavební rozpočet-vyplnit'!G1563</f>
        <v>0.4</v>
      </c>
      <c r="H185" s="55">
        <f>'Stavební rozpočet-vyplnit'!H1563</f>
        <v>0</v>
      </c>
      <c r="I185" s="55">
        <f t="shared" si="90"/>
        <v>0</v>
      </c>
      <c r="J185" s="55">
        <f>'Stavební rozpočet-vyplnit'!J1563</f>
        <v>0</v>
      </c>
      <c r="K185" s="55">
        <f t="shared" si="91"/>
        <v>0</v>
      </c>
      <c r="L185" s="57" t="s">
        <v>124</v>
      </c>
      <c r="Z185" s="55">
        <f t="shared" si="92"/>
        <v>0</v>
      </c>
      <c r="AB185" s="55">
        <f t="shared" si="93"/>
        <v>0</v>
      </c>
      <c r="AC185" s="55">
        <f t="shared" si="94"/>
        <v>0</v>
      </c>
      <c r="AD185" s="55">
        <f t="shared" si="95"/>
        <v>0</v>
      </c>
      <c r="AE185" s="55">
        <f t="shared" si="96"/>
        <v>0</v>
      </c>
      <c r="AF185" s="55">
        <f t="shared" si="97"/>
        <v>0</v>
      </c>
      <c r="AG185" s="55">
        <f t="shared" si="98"/>
        <v>0</v>
      </c>
      <c r="AH185" s="55">
        <f t="shared" si="99"/>
        <v>0</v>
      </c>
      <c r="AI185" s="34" t="s">
        <v>2629</v>
      </c>
      <c r="AJ185" s="55">
        <f t="shared" si="100"/>
        <v>0</v>
      </c>
      <c r="AK185" s="55">
        <f t="shared" si="101"/>
        <v>0</v>
      </c>
      <c r="AL185" s="55">
        <f t="shared" si="102"/>
        <v>0</v>
      </c>
      <c r="AN185" s="55">
        <v>21</v>
      </c>
      <c r="AO185" s="55">
        <f>H185*0</f>
        <v>0</v>
      </c>
      <c r="AP185" s="55">
        <f>H185*(1-0)</f>
        <v>0</v>
      </c>
      <c r="AQ185" s="58" t="s">
        <v>125</v>
      </c>
      <c r="AV185" s="55">
        <f t="shared" si="103"/>
        <v>0</v>
      </c>
      <c r="AW185" s="55">
        <f t="shared" si="104"/>
        <v>0</v>
      </c>
      <c r="AX185" s="55">
        <f t="shared" si="105"/>
        <v>0</v>
      </c>
      <c r="AY185" s="58" t="s">
        <v>2795</v>
      </c>
      <c r="AZ185" s="58" t="s">
        <v>2633</v>
      </c>
      <c r="BA185" s="34" t="s">
        <v>2634</v>
      </c>
      <c r="BC185" s="55">
        <f t="shared" si="106"/>
        <v>0</v>
      </c>
      <c r="BD185" s="55">
        <f t="shared" si="107"/>
        <v>0</v>
      </c>
      <c r="BE185" s="55">
        <v>0</v>
      </c>
      <c r="BF185" s="55">
        <f t="shared" si="108"/>
        <v>0</v>
      </c>
      <c r="BH185" s="55">
        <f t="shared" si="109"/>
        <v>0</v>
      </c>
      <c r="BI185" s="55">
        <f t="shared" si="110"/>
        <v>0</v>
      </c>
      <c r="BJ185" s="55">
        <f t="shared" si="111"/>
        <v>0</v>
      </c>
      <c r="BK185" s="55"/>
      <c r="BL185" s="55"/>
      <c r="BW185" s="55">
        <v>21</v>
      </c>
    </row>
    <row r="186" spans="1:75" ht="13.5" customHeight="1">
      <c r="A186" s="1" t="s">
        <v>496</v>
      </c>
      <c r="B186" s="2" t="s">
        <v>2629</v>
      </c>
      <c r="C186" s="2" t="s">
        <v>2956</v>
      </c>
      <c r="D186" s="147" t="s">
        <v>2957</v>
      </c>
      <c r="E186" s="148"/>
      <c r="F186" s="2" t="s">
        <v>374</v>
      </c>
      <c r="G186" s="55">
        <f>'Stavební rozpočet-vyplnit'!G1564</f>
        <v>4</v>
      </c>
      <c r="H186" s="55">
        <f>'Stavební rozpočet-vyplnit'!H1564</f>
        <v>0</v>
      </c>
      <c r="I186" s="55">
        <f t="shared" si="90"/>
        <v>0</v>
      </c>
      <c r="J186" s="55">
        <f>'Stavební rozpočet-vyplnit'!J1564</f>
        <v>0</v>
      </c>
      <c r="K186" s="55">
        <f t="shared" si="91"/>
        <v>0</v>
      </c>
      <c r="L186" s="57" t="s">
        <v>124</v>
      </c>
      <c r="Z186" s="55">
        <f t="shared" si="92"/>
        <v>0</v>
      </c>
      <c r="AB186" s="55">
        <f t="shared" si="93"/>
        <v>0</v>
      </c>
      <c r="AC186" s="55">
        <f t="shared" si="94"/>
        <v>0</v>
      </c>
      <c r="AD186" s="55">
        <f t="shared" si="95"/>
        <v>0</v>
      </c>
      <c r="AE186" s="55">
        <f t="shared" si="96"/>
        <v>0</v>
      </c>
      <c r="AF186" s="55">
        <f t="shared" si="97"/>
        <v>0</v>
      </c>
      <c r="AG186" s="55">
        <f t="shared" si="98"/>
        <v>0</v>
      </c>
      <c r="AH186" s="55">
        <f t="shared" si="99"/>
        <v>0</v>
      </c>
      <c r="AI186" s="34" t="s">
        <v>2629</v>
      </c>
      <c r="AJ186" s="55">
        <f t="shared" si="100"/>
        <v>0</v>
      </c>
      <c r="AK186" s="55">
        <f t="shared" si="101"/>
        <v>0</v>
      </c>
      <c r="AL186" s="55">
        <f t="shared" si="102"/>
        <v>0</v>
      </c>
      <c r="AN186" s="55">
        <v>21</v>
      </c>
      <c r="AO186" s="55">
        <f>H186*0</f>
        <v>0</v>
      </c>
      <c r="AP186" s="55">
        <f>H186*(1-0)</f>
        <v>0</v>
      </c>
      <c r="AQ186" s="58" t="s">
        <v>125</v>
      </c>
      <c r="AV186" s="55">
        <f t="shared" si="103"/>
        <v>0</v>
      </c>
      <c r="AW186" s="55">
        <f t="shared" si="104"/>
        <v>0</v>
      </c>
      <c r="AX186" s="55">
        <f t="shared" si="105"/>
        <v>0</v>
      </c>
      <c r="AY186" s="58" t="s">
        <v>2795</v>
      </c>
      <c r="AZ186" s="58" t="s">
        <v>2633</v>
      </c>
      <c r="BA186" s="34" t="s">
        <v>2634</v>
      </c>
      <c r="BC186" s="55">
        <f t="shared" si="106"/>
        <v>0</v>
      </c>
      <c r="BD186" s="55">
        <f t="shared" si="107"/>
        <v>0</v>
      </c>
      <c r="BE186" s="55">
        <v>0</v>
      </c>
      <c r="BF186" s="55">
        <f t="shared" si="108"/>
        <v>0</v>
      </c>
      <c r="BH186" s="55">
        <f t="shared" si="109"/>
        <v>0</v>
      </c>
      <c r="BI186" s="55">
        <f t="shared" si="110"/>
        <v>0</v>
      </c>
      <c r="BJ186" s="55">
        <f t="shared" si="111"/>
        <v>0</v>
      </c>
      <c r="BK186" s="55"/>
      <c r="BL186" s="55"/>
      <c r="BW186" s="55">
        <v>21</v>
      </c>
    </row>
    <row r="187" spans="1:75" ht="27" customHeight="1">
      <c r="A187" s="61" t="s">
        <v>499</v>
      </c>
      <c r="B187" s="62" t="s">
        <v>2629</v>
      </c>
      <c r="C187" s="62" t="s">
        <v>2959</v>
      </c>
      <c r="D187" s="224" t="s">
        <v>2960</v>
      </c>
      <c r="E187" s="225"/>
      <c r="F187" s="62" t="s">
        <v>792</v>
      </c>
      <c r="G187" s="63">
        <f>'Stavební rozpočet-vyplnit'!G1565</f>
        <v>0.12</v>
      </c>
      <c r="H187" s="63">
        <f>'Stavební rozpočet-vyplnit'!H1565</f>
        <v>0</v>
      </c>
      <c r="I187" s="63">
        <f t="shared" si="90"/>
        <v>0</v>
      </c>
      <c r="J187" s="63">
        <f>'Stavební rozpočet-vyplnit'!J1565</f>
        <v>0</v>
      </c>
      <c r="K187" s="63">
        <f t="shared" si="91"/>
        <v>0</v>
      </c>
      <c r="L187" s="65" t="s">
        <v>124</v>
      </c>
      <c r="Z187" s="55">
        <f t="shared" si="92"/>
        <v>0</v>
      </c>
      <c r="AB187" s="55">
        <f t="shared" si="93"/>
        <v>0</v>
      </c>
      <c r="AC187" s="55">
        <f t="shared" si="94"/>
        <v>0</v>
      </c>
      <c r="AD187" s="55">
        <f t="shared" si="95"/>
        <v>0</v>
      </c>
      <c r="AE187" s="55">
        <f t="shared" si="96"/>
        <v>0</v>
      </c>
      <c r="AF187" s="55">
        <f t="shared" si="97"/>
        <v>0</v>
      </c>
      <c r="AG187" s="55">
        <f t="shared" si="98"/>
        <v>0</v>
      </c>
      <c r="AH187" s="55">
        <f t="shared" si="99"/>
        <v>0</v>
      </c>
      <c r="AI187" s="34" t="s">
        <v>2629</v>
      </c>
      <c r="AJ187" s="63">
        <f t="shared" si="100"/>
        <v>0</v>
      </c>
      <c r="AK187" s="63">
        <f t="shared" si="101"/>
        <v>0</v>
      </c>
      <c r="AL187" s="63">
        <f t="shared" si="102"/>
        <v>0</v>
      </c>
      <c r="AN187" s="55">
        <v>21</v>
      </c>
      <c r="AO187" s="55">
        <f>H187*1</f>
        <v>0</v>
      </c>
      <c r="AP187" s="55">
        <f>H187*(1-1)</f>
        <v>0</v>
      </c>
      <c r="AQ187" s="66" t="s">
        <v>125</v>
      </c>
      <c r="AV187" s="55">
        <f t="shared" si="103"/>
        <v>0</v>
      </c>
      <c r="AW187" s="55">
        <f t="shared" si="104"/>
        <v>0</v>
      </c>
      <c r="AX187" s="55">
        <f t="shared" si="105"/>
        <v>0</v>
      </c>
      <c r="AY187" s="58" t="s">
        <v>2795</v>
      </c>
      <c r="AZ187" s="58" t="s">
        <v>2633</v>
      </c>
      <c r="BA187" s="34" t="s">
        <v>2634</v>
      </c>
      <c r="BC187" s="55">
        <f t="shared" si="106"/>
        <v>0</v>
      </c>
      <c r="BD187" s="55">
        <f t="shared" si="107"/>
        <v>0</v>
      </c>
      <c r="BE187" s="55">
        <v>0</v>
      </c>
      <c r="BF187" s="55">
        <f t="shared" si="108"/>
        <v>0</v>
      </c>
      <c r="BH187" s="63">
        <f t="shared" si="109"/>
        <v>0</v>
      </c>
      <c r="BI187" s="63">
        <f t="shared" si="110"/>
        <v>0</v>
      </c>
      <c r="BJ187" s="63">
        <f t="shared" si="111"/>
        <v>0</v>
      </c>
      <c r="BK187" s="63"/>
      <c r="BL187" s="55"/>
      <c r="BW187" s="55">
        <v>21</v>
      </c>
    </row>
    <row r="188" spans="1:75" ht="13.5" customHeight="1">
      <c r="A188" s="61" t="s">
        <v>502</v>
      </c>
      <c r="B188" s="62" t="s">
        <v>2629</v>
      </c>
      <c r="C188" s="62" t="s">
        <v>2962</v>
      </c>
      <c r="D188" s="224" t="s">
        <v>2963</v>
      </c>
      <c r="E188" s="225"/>
      <c r="F188" s="62" t="s">
        <v>2936</v>
      </c>
      <c r="G188" s="63">
        <f>'Stavební rozpočet-vyplnit'!G1566</f>
        <v>140</v>
      </c>
      <c r="H188" s="63">
        <f>'Stavební rozpočet-vyplnit'!H1566</f>
        <v>0</v>
      </c>
      <c r="I188" s="63">
        <f t="shared" si="90"/>
        <v>0</v>
      </c>
      <c r="J188" s="63">
        <f>'Stavební rozpočet-vyplnit'!J1566</f>
        <v>0</v>
      </c>
      <c r="K188" s="63">
        <f t="shared" si="91"/>
        <v>0</v>
      </c>
      <c r="L188" s="65" t="s">
        <v>124</v>
      </c>
      <c r="Z188" s="55">
        <f t="shared" si="92"/>
        <v>0</v>
      </c>
      <c r="AB188" s="55">
        <f t="shared" si="93"/>
        <v>0</v>
      </c>
      <c r="AC188" s="55">
        <f t="shared" si="94"/>
        <v>0</v>
      </c>
      <c r="AD188" s="55">
        <f t="shared" si="95"/>
        <v>0</v>
      </c>
      <c r="AE188" s="55">
        <f t="shared" si="96"/>
        <v>0</v>
      </c>
      <c r="AF188" s="55">
        <f t="shared" si="97"/>
        <v>0</v>
      </c>
      <c r="AG188" s="55">
        <f t="shared" si="98"/>
        <v>0</v>
      </c>
      <c r="AH188" s="55">
        <f t="shared" si="99"/>
        <v>0</v>
      </c>
      <c r="AI188" s="34" t="s">
        <v>2629</v>
      </c>
      <c r="AJ188" s="63">
        <f t="shared" si="100"/>
        <v>0</v>
      </c>
      <c r="AK188" s="63">
        <f t="shared" si="101"/>
        <v>0</v>
      </c>
      <c r="AL188" s="63">
        <f t="shared" si="102"/>
        <v>0</v>
      </c>
      <c r="AN188" s="55">
        <v>21</v>
      </c>
      <c r="AO188" s="55">
        <f>H188*1</f>
        <v>0</v>
      </c>
      <c r="AP188" s="55">
        <f>H188*(1-1)</f>
        <v>0</v>
      </c>
      <c r="AQ188" s="66" t="s">
        <v>125</v>
      </c>
      <c r="AV188" s="55">
        <f t="shared" si="103"/>
        <v>0</v>
      </c>
      <c r="AW188" s="55">
        <f t="shared" si="104"/>
        <v>0</v>
      </c>
      <c r="AX188" s="55">
        <f t="shared" si="105"/>
        <v>0</v>
      </c>
      <c r="AY188" s="58" t="s">
        <v>2795</v>
      </c>
      <c r="AZ188" s="58" t="s">
        <v>2633</v>
      </c>
      <c r="BA188" s="34" t="s">
        <v>2634</v>
      </c>
      <c r="BC188" s="55">
        <f t="shared" si="106"/>
        <v>0</v>
      </c>
      <c r="BD188" s="55">
        <f t="shared" si="107"/>
        <v>0</v>
      </c>
      <c r="BE188" s="55">
        <v>0</v>
      </c>
      <c r="BF188" s="55">
        <f t="shared" si="108"/>
        <v>0</v>
      </c>
      <c r="BH188" s="63">
        <f t="shared" si="109"/>
        <v>0</v>
      </c>
      <c r="BI188" s="63">
        <f t="shared" si="110"/>
        <v>0</v>
      </c>
      <c r="BJ188" s="63">
        <f t="shared" si="111"/>
        <v>0</v>
      </c>
      <c r="BK188" s="63"/>
      <c r="BL188" s="55"/>
      <c r="BW188" s="55">
        <v>21</v>
      </c>
    </row>
    <row r="189" spans="1:75" ht="13.5" customHeight="1">
      <c r="A189" s="61" t="s">
        <v>505</v>
      </c>
      <c r="B189" s="62" t="s">
        <v>2629</v>
      </c>
      <c r="C189" s="62" t="s">
        <v>2965</v>
      </c>
      <c r="D189" s="224" t="s">
        <v>2966</v>
      </c>
      <c r="E189" s="225"/>
      <c r="F189" s="62" t="s">
        <v>2936</v>
      </c>
      <c r="G189" s="63">
        <f>'Stavební rozpočet-vyplnit'!G1567</f>
        <v>1050</v>
      </c>
      <c r="H189" s="63">
        <f>'Stavební rozpočet-vyplnit'!H1567</f>
        <v>0</v>
      </c>
      <c r="I189" s="63">
        <f t="shared" si="90"/>
        <v>0</v>
      </c>
      <c r="J189" s="63">
        <f>'Stavební rozpočet-vyplnit'!J1567</f>
        <v>0</v>
      </c>
      <c r="K189" s="63">
        <f t="shared" si="91"/>
        <v>0</v>
      </c>
      <c r="L189" s="65" t="s">
        <v>124</v>
      </c>
      <c r="Z189" s="55">
        <f t="shared" si="92"/>
        <v>0</v>
      </c>
      <c r="AB189" s="55">
        <f t="shared" si="93"/>
        <v>0</v>
      </c>
      <c r="AC189" s="55">
        <f t="shared" si="94"/>
        <v>0</v>
      </c>
      <c r="AD189" s="55">
        <f t="shared" si="95"/>
        <v>0</v>
      </c>
      <c r="AE189" s="55">
        <f t="shared" si="96"/>
        <v>0</v>
      </c>
      <c r="AF189" s="55">
        <f t="shared" si="97"/>
        <v>0</v>
      </c>
      <c r="AG189" s="55">
        <f t="shared" si="98"/>
        <v>0</v>
      </c>
      <c r="AH189" s="55">
        <f t="shared" si="99"/>
        <v>0</v>
      </c>
      <c r="AI189" s="34" t="s">
        <v>2629</v>
      </c>
      <c r="AJ189" s="63">
        <f t="shared" si="100"/>
        <v>0</v>
      </c>
      <c r="AK189" s="63">
        <f t="shared" si="101"/>
        <v>0</v>
      </c>
      <c r="AL189" s="63">
        <f t="shared" si="102"/>
        <v>0</v>
      </c>
      <c r="AN189" s="55">
        <v>21</v>
      </c>
      <c r="AO189" s="55">
        <f>H189*1</f>
        <v>0</v>
      </c>
      <c r="AP189" s="55">
        <f>H189*(1-1)</f>
        <v>0</v>
      </c>
      <c r="AQ189" s="66" t="s">
        <v>125</v>
      </c>
      <c r="AV189" s="55">
        <f t="shared" si="103"/>
        <v>0</v>
      </c>
      <c r="AW189" s="55">
        <f t="shared" si="104"/>
        <v>0</v>
      </c>
      <c r="AX189" s="55">
        <f t="shared" si="105"/>
        <v>0</v>
      </c>
      <c r="AY189" s="58" t="s">
        <v>2795</v>
      </c>
      <c r="AZ189" s="58" t="s">
        <v>2633</v>
      </c>
      <c r="BA189" s="34" t="s">
        <v>2634</v>
      </c>
      <c r="BC189" s="55">
        <f t="shared" si="106"/>
        <v>0</v>
      </c>
      <c r="BD189" s="55">
        <f t="shared" si="107"/>
        <v>0</v>
      </c>
      <c r="BE189" s="55">
        <v>0</v>
      </c>
      <c r="BF189" s="55">
        <f t="shared" si="108"/>
        <v>0</v>
      </c>
      <c r="BH189" s="63">
        <f t="shared" si="109"/>
        <v>0</v>
      </c>
      <c r="BI189" s="63">
        <f t="shared" si="110"/>
        <v>0</v>
      </c>
      <c r="BJ189" s="63">
        <f t="shared" si="111"/>
        <v>0</v>
      </c>
      <c r="BK189" s="63"/>
      <c r="BL189" s="55"/>
      <c r="BW189" s="55">
        <v>21</v>
      </c>
    </row>
    <row r="190" spans="1:75" ht="13.5" customHeight="1">
      <c r="A190" s="1" t="s">
        <v>508</v>
      </c>
      <c r="B190" s="2" t="s">
        <v>2629</v>
      </c>
      <c r="C190" s="2" t="s">
        <v>2967</v>
      </c>
      <c r="D190" s="147" t="s">
        <v>2968</v>
      </c>
      <c r="E190" s="148"/>
      <c r="F190" s="2" t="s">
        <v>374</v>
      </c>
      <c r="G190" s="55">
        <f>'Stavební rozpočet-vyplnit'!G1568</f>
        <v>1</v>
      </c>
      <c r="H190" s="55">
        <f>'Stavební rozpočet-vyplnit'!H1568</f>
        <v>0</v>
      </c>
      <c r="I190" s="55">
        <f t="shared" si="90"/>
        <v>0</v>
      </c>
      <c r="J190" s="55">
        <f>'Stavební rozpočet-vyplnit'!J1568</f>
        <v>0</v>
      </c>
      <c r="K190" s="55">
        <f t="shared" si="91"/>
        <v>0</v>
      </c>
      <c r="L190" s="57" t="s">
        <v>124</v>
      </c>
      <c r="Z190" s="55">
        <f t="shared" si="92"/>
        <v>0</v>
      </c>
      <c r="AB190" s="55">
        <f t="shared" si="93"/>
        <v>0</v>
      </c>
      <c r="AC190" s="55">
        <f t="shared" si="94"/>
        <v>0</v>
      </c>
      <c r="AD190" s="55">
        <f t="shared" si="95"/>
        <v>0</v>
      </c>
      <c r="AE190" s="55">
        <f t="shared" si="96"/>
        <v>0</v>
      </c>
      <c r="AF190" s="55">
        <f t="shared" si="97"/>
        <v>0</v>
      </c>
      <c r="AG190" s="55">
        <f t="shared" si="98"/>
        <v>0</v>
      </c>
      <c r="AH190" s="55">
        <f t="shared" si="99"/>
        <v>0</v>
      </c>
      <c r="AI190" s="34" t="s">
        <v>2629</v>
      </c>
      <c r="AJ190" s="55">
        <f t="shared" si="100"/>
        <v>0</v>
      </c>
      <c r="AK190" s="55">
        <f t="shared" si="101"/>
        <v>0</v>
      </c>
      <c r="AL190" s="55">
        <f t="shared" si="102"/>
        <v>0</v>
      </c>
      <c r="AN190" s="55">
        <v>21</v>
      </c>
      <c r="AO190" s="55">
        <f>H190*0</f>
        <v>0</v>
      </c>
      <c r="AP190" s="55">
        <f>H190*(1-0)</f>
        <v>0</v>
      </c>
      <c r="AQ190" s="58" t="s">
        <v>125</v>
      </c>
      <c r="AV190" s="55">
        <f t="shared" si="103"/>
        <v>0</v>
      </c>
      <c r="AW190" s="55">
        <f t="shared" si="104"/>
        <v>0</v>
      </c>
      <c r="AX190" s="55">
        <f t="shared" si="105"/>
        <v>0</v>
      </c>
      <c r="AY190" s="58" t="s">
        <v>2795</v>
      </c>
      <c r="AZ190" s="58" t="s">
        <v>2633</v>
      </c>
      <c r="BA190" s="34" t="s">
        <v>2634</v>
      </c>
      <c r="BC190" s="55">
        <f t="shared" si="106"/>
        <v>0</v>
      </c>
      <c r="BD190" s="55">
        <f t="shared" si="107"/>
        <v>0</v>
      </c>
      <c r="BE190" s="55">
        <v>0</v>
      </c>
      <c r="BF190" s="55">
        <f t="shared" si="108"/>
        <v>0</v>
      </c>
      <c r="BH190" s="55">
        <f t="shared" si="109"/>
        <v>0</v>
      </c>
      <c r="BI190" s="55">
        <f t="shared" si="110"/>
        <v>0</v>
      </c>
      <c r="BJ190" s="55">
        <f t="shared" si="111"/>
        <v>0</v>
      </c>
      <c r="BK190" s="55"/>
      <c r="BL190" s="55"/>
      <c r="BW190" s="55">
        <v>21</v>
      </c>
    </row>
    <row r="191" spans="1:75" ht="27" customHeight="1">
      <c r="A191" s="61" t="s">
        <v>511</v>
      </c>
      <c r="B191" s="62" t="s">
        <v>2629</v>
      </c>
      <c r="C191" s="62" t="s">
        <v>2969</v>
      </c>
      <c r="D191" s="224" t="s">
        <v>2970</v>
      </c>
      <c r="E191" s="225"/>
      <c r="F191" s="62" t="s">
        <v>2936</v>
      </c>
      <c r="G191" s="63">
        <f>'Stavební rozpočet-vyplnit'!G1569</f>
        <v>1</v>
      </c>
      <c r="H191" s="63">
        <f>'Stavební rozpočet-vyplnit'!H1569</f>
        <v>0</v>
      </c>
      <c r="I191" s="63">
        <f t="shared" si="90"/>
        <v>0</v>
      </c>
      <c r="J191" s="63">
        <f>'Stavební rozpočet-vyplnit'!J1569</f>
        <v>0</v>
      </c>
      <c r="K191" s="63">
        <f t="shared" si="91"/>
        <v>0</v>
      </c>
      <c r="L191" s="65" t="s">
        <v>124</v>
      </c>
      <c r="Z191" s="55">
        <f t="shared" si="92"/>
        <v>0</v>
      </c>
      <c r="AB191" s="55">
        <f t="shared" si="93"/>
        <v>0</v>
      </c>
      <c r="AC191" s="55">
        <f t="shared" si="94"/>
        <v>0</v>
      </c>
      <c r="AD191" s="55">
        <f t="shared" si="95"/>
        <v>0</v>
      </c>
      <c r="AE191" s="55">
        <f t="shared" si="96"/>
        <v>0</v>
      </c>
      <c r="AF191" s="55">
        <f t="shared" si="97"/>
        <v>0</v>
      </c>
      <c r="AG191" s="55">
        <f t="shared" si="98"/>
        <v>0</v>
      </c>
      <c r="AH191" s="55">
        <f t="shared" si="99"/>
        <v>0</v>
      </c>
      <c r="AI191" s="34" t="s">
        <v>2629</v>
      </c>
      <c r="AJ191" s="63">
        <f t="shared" si="100"/>
        <v>0</v>
      </c>
      <c r="AK191" s="63">
        <f t="shared" si="101"/>
        <v>0</v>
      </c>
      <c r="AL191" s="63">
        <f t="shared" si="102"/>
        <v>0</v>
      </c>
      <c r="AN191" s="55">
        <v>21</v>
      </c>
      <c r="AO191" s="55">
        <f>H191*1</f>
        <v>0</v>
      </c>
      <c r="AP191" s="55">
        <f>H191*(1-1)</f>
        <v>0</v>
      </c>
      <c r="AQ191" s="66" t="s">
        <v>125</v>
      </c>
      <c r="AV191" s="55">
        <f t="shared" si="103"/>
        <v>0</v>
      </c>
      <c r="AW191" s="55">
        <f t="shared" si="104"/>
        <v>0</v>
      </c>
      <c r="AX191" s="55">
        <f t="shared" si="105"/>
        <v>0</v>
      </c>
      <c r="AY191" s="58" t="s">
        <v>2795</v>
      </c>
      <c r="AZ191" s="58" t="s">
        <v>2633</v>
      </c>
      <c r="BA191" s="34" t="s">
        <v>2634</v>
      </c>
      <c r="BC191" s="55">
        <f t="shared" si="106"/>
        <v>0</v>
      </c>
      <c r="BD191" s="55">
        <f t="shared" si="107"/>
        <v>0</v>
      </c>
      <c r="BE191" s="55">
        <v>0</v>
      </c>
      <c r="BF191" s="55">
        <f t="shared" si="108"/>
        <v>0</v>
      </c>
      <c r="BH191" s="63">
        <f t="shared" si="109"/>
        <v>0</v>
      </c>
      <c r="BI191" s="63">
        <f t="shared" si="110"/>
        <v>0</v>
      </c>
      <c r="BJ191" s="63">
        <f t="shared" si="111"/>
        <v>0</v>
      </c>
      <c r="BK191" s="63"/>
      <c r="BL191" s="55"/>
      <c r="BW191" s="55">
        <v>21</v>
      </c>
    </row>
    <row r="192" spans="1:75" ht="13.5" customHeight="1">
      <c r="A192" s="1" t="s">
        <v>514</v>
      </c>
      <c r="B192" s="2" t="s">
        <v>2629</v>
      </c>
      <c r="C192" s="2" t="s">
        <v>2956</v>
      </c>
      <c r="D192" s="147" t="s">
        <v>2957</v>
      </c>
      <c r="E192" s="148"/>
      <c r="F192" s="2" t="s">
        <v>374</v>
      </c>
      <c r="G192" s="55">
        <f>'Stavební rozpočet-vyplnit'!G1570</f>
        <v>198</v>
      </c>
      <c r="H192" s="55">
        <f>'Stavební rozpočet-vyplnit'!H1570</f>
        <v>0</v>
      </c>
      <c r="I192" s="55">
        <f t="shared" si="90"/>
        <v>0</v>
      </c>
      <c r="J192" s="55">
        <f>'Stavební rozpočet-vyplnit'!J1570</f>
        <v>0</v>
      </c>
      <c r="K192" s="55">
        <f t="shared" si="91"/>
        <v>0</v>
      </c>
      <c r="L192" s="57" t="s">
        <v>124</v>
      </c>
      <c r="Z192" s="55">
        <f t="shared" si="92"/>
        <v>0</v>
      </c>
      <c r="AB192" s="55">
        <f t="shared" si="93"/>
        <v>0</v>
      </c>
      <c r="AC192" s="55">
        <f t="shared" si="94"/>
        <v>0</v>
      </c>
      <c r="AD192" s="55">
        <f t="shared" si="95"/>
        <v>0</v>
      </c>
      <c r="AE192" s="55">
        <f t="shared" si="96"/>
        <v>0</v>
      </c>
      <c r="AF192" s="55">
        <f t="shared" si="97"/>
        <v>0</v>
      </c>
      <c r="AG192" s="55">
        <f t="shared" si="98"/>
        <v>0</v>
      </c>
      <c r="AH192" s="55">
        <f t="shared" si="99"/>
        <v>0</v>
      </c>
      <c r="AI192" s="34" t="s">
        <v>2629</v>
      </c>
      <c r="AJ192" s="55">
        <f t="shared" si="100"/>
        <v>0</v>
      </c>
      <c r="AK192" s="55">
        <f t="shared" si="101"/>
        <v>0</v>
      </c>
      <c r="AL192" s="55">
        <f t="shared" si="102"/>
        <v>0</v>
      </c>
      <c r="AN192" s="55">
        <v>21</v>
      </c>
      <c r="AO192" s="55">
        <f>H192*0</f>
        <v>0</v>
      </c>
      <c r="AP192" s="55">
        <f>H192*(1-0)</f>
        <v>0</v>
      </c>
      <c r="AQ192" s="58" t="s">
        <v>125</v>
      </c>
      <c r="AV192" s="55">
        <f t="shared" si="103"/>
        <v>0</v>
      </c>
      <c r="AW192" s="55">
        <f t="shared" si="104"/>
        <v>0</v>
      </c>
      <c r="AX192" s="55">
        <f t="shared" si="105"/>
        <v>0</v>
      </c>
      <c r="AY192" s="58" t="s">
        <v>2795</v>
      </c>
      <c r="AZ192" s="58" t="s">
        <v>2633</v>
      </c>
      <c r="BA192" s="34" t="s">
        <v>2634</v>
      </c>
      <c r="BC192" s="55">
        <f t="shared" si="106"/>
        <v>0</v>
      </c>
      <c r="BD192" s="55">
        <f t="shared" si="107"/>
        <v>0</v>
      </c>
      <c r="BE192" s="55">
        <v>0</v>
      </c>
      <c r="BF192" s="55">
        <f t="shared" si="108"/>
        <v>0</v>
      </c>
      <c r="BH192" s="55">
        <f t="shared" si="109"/>
        <v>0</v>
      </c>
      <c r="BI192" s="55">
        <f t="shared" si="110"/>
        <v>0</v>
      </c>
      <c r="BJ192" s="55">
        <f t="shared" si="111"/>
        <v>0</v>
      </c>
      <c r="BK192" s="55"/>
      <c r="BL192" s="55"/>
      <c r="BW192" s="55">
        <v>21</v>
      </c>
    </row>
    <row r="193" spans="1:75" ht="27" customHeight="1">
      <c r="A193" s="61" t="s">
        <v>517</v>
      </c>
      <c r="B193" s="62" t="s">
        <v>2629</v>
      </c>
      <c r="C193" s="62" t="s">
        <v>2973</v>
      </c>
      <c r="D193" s="224" t="s">
        <v>2974</v>
      </c>
      <c r="E193" s="225"/>
      <c r="F193" s="62" t="s">
        <v>2936</v>
      </c>
      <c r="G193" s="63">
        <f>'Stavební rozpočet-vyplnit'!G1571</f>
        <v>198</v>
      </c>
      <c r="H193" s="63">
        <f>'Stavební rozpočet-vyplnit'!H1571</f>
        <v>0</v>
      </c>
      <c r="I193" s="63">
        <f t="shared" si="90"/>
        <v>0</v>
      </c>
      <c r="J193" s="63">
        <f>'Stavební rozpočet-vyplnit'!J1571</f>
        <v>0</v>
      </c>
      <c r="K193" s="63">
        <f t="shared" si="91"/>
        <v>0</v>
      </c>
      <c r="L193" s="65" t="s">
        <v>124</v>
      </c>
      <c r="Z193" s="55">
        <f t="shared" si="92"/>
        <v>0</v>
      </c>
      <c r="AB193" s="55">
        <f t="shared" si="93"/>
        <v>0</v>
      </c>
      <c r="AC193" s="55">
        <f t="shared" si="94"/>
        <v>0</v>
      </c>
      <c r="AD193" s="55">
        <f t="shared" si="95"/>
        <v>0</v>
      </c>
      <c r="AE193" s="55">
        <f t="shared" si="96"/>
        <v>0</v>
      </c>
      <c r="AF193" s="55">
        <f t="shared" si="97"/>
        <v>0</v>
      </c>
      <c r="AG193" s="55">
        <f t="shared" si="98"/>
        <v>0</v>
      </c>
      <c r="AH193" s="55">
        <f t="shared" si="99"/>
        <v>0</v>
      </c>
      <c r="AI193" s="34" t="s">
        <v>2629</v>
      </c>
      <c r="AJ193" s="63">
        <f t="shared" si="100"/>
        <v>0</v>
      </c>
      <c r="AK193" s="63">
        <f t="shared" si="101"/>
        <v>0</v>
      </c>
      <c r="AL193" s="63">
        <f t="shared" si="102"/>
        <v>0</v>
      </c>
      <c r="AN193" s="55">
        <v>21</v>
      </c>
      <c r="AO193" s="55">
        <f>H193*1</f>
        <v>0</v>
      </c>
      <c r="AP193" s="55">
        <f>H193*(1-1)</f>
        <v>0</v>
      </c>
      <c r="AQ193" s="66" t="s">
        <v>125</v>
      </c>
      <c r="AV193" s="55">
        <f t="shared" si="103"/>
        <v>0</v>
      </c>
      <c r="AW193" s="55">
        <f t="shared" si="104"/>
        <v>0</v>
      </c>
      <c r="AX193" s="55">
        <f t="shared" si="105"/>
        <v>0</v>
      </c>
      <c r="AY193" s="58" t="s">
        <v>2795</v>
      </c>
      <c r="AZ193" s="58" t="s">
        <v>2633</v>
      </c>
      <c r="BA193" s="34" t="s">
        <v>2634</v>
      </c>
      <c r="BC193" s="55">
        <f t="shared" si="106"/>
        <v>0</v>
      </c>
      <c r="BD193" s="55">
        <f t="shared" si="107"/>
        <v>0</v>
      </c>
      <c r="BE193" s="55">
        <v>0</v>
      </c>
      <c r="BF193" s="55">
        <f t="shared" si="108"/>
        <v>0</v>
      </c>
      <c r="BH193" s="63">
        <f t="shared" si="109"/>
        <v>0</v>
      </c>
      <c r="BI193" s="63">
        <f t="shared" si="110"/>
        <v>0</v>
      </c>
      <c r="BJ193" s="63">
        <f t="shared" si="111"/>
        <v>0</v>
      </c>
      <c r="BK193" s="63"/>
      <c r="BL193" s="55"/>
      <c r="BW193" s="55">
        <v>21</v>
      </c>
    </row>
    <row r="194" spans="1:75" ht="27" customHeight="1">
      <c r="A194" s="1" t="s">
        <v>520</v>
      </c>
      <c r="B194" s="2" t="s">
        <v>2629</v>
      </c>
      <c r="C194" s="2" t="s">
        <v>2976</v>
      </c>
      <c r="D194" s="147" t="s">
        <v>2977</v>
      </c>
      <c r="E194" s="148"/>
      <c r="F194" s="2" t="s">
        <v>374</v>
      </c>
      <c r="G194" s="55">
        <f>'Stavební rozpočet-vyplnit'!G1572</f>
        <v>1</v>
      </c>
      <c r="H194" s="55">
        <f>'Stavební rozpočet-vyplnit'!H1572</f>
        <v>0</v>
      </c>
      <c r="I194" s="55">
        <f t="shared" si="90"/>
        <v>0</v>
      </c>
      <c r="J194" s="55">
        <f>'Stavební rozpočet-vyplnit'!J1572</f>
        <v>0</v>
      </c>
      <c r="K194" s="55">
        <f t="shared" si="91"/>
        <v>0</v>
      </c>
      <c r="L194" s="57" t="s">
        <v>124</v>
      </c>
      <c r="Z194" s="55">
        <f t="shared" si="92"/>
        <v>0</v>
      </c>
      <c r="AB194" s="55">
        <f t="shared" si="93"/>
        <v>0</v>
      </c>
      <c r="AC194" s="55">
        <f t="shared" si="94"/>
        <v>0</v>
      </c>
      <c r="AD194" s="55">
        <f t="shared" si="95"/>
        <v>0</v>
      </c>
      <c r="AE194" s="55">
        <f t="shared" si="96"/>
        <v>0</v>
      </c>
      <c r="AF194" s="55">
        <f t="shared" si="97"/>
        <v>0</v>
      </c>
      <c r="AG194" s="55">
        <f t="shared" si="98"/>
        <v>0</v>
      </c>
      <c r="AH194" s="55">
        <f t="shared" si="99"/>
        <v>0</v>
      </c>
      <c r="AI194" s="34" t="s">
        <v>2629</v>
      </c>
      <c r="AJ194" s="55">
        <f t="shared" si="100"/>
        <v>0</v>
      </c>
      <c r="AK194" s="55">
        <f t="shared" si="101"/>
        <v>0</v>
      </c>
      <c r="AL194" s="55">
        <f t="shared" si="102"/>
        <v>0</v>
      </c>
      <c r="AN194" s="55">
        <v>21</v>
      </c>
      <c r="AO194" s="55">
        <f>H194*0</f>
        <v>0</v>
      </c>
      <c r="AP194" s="55">
        <f>H194*(1-0)</f>
        <v>0</v>
      </c>
      <c r="AQ194" s="58" t="s">
        <v>125</v>
      </c>
      <c r="AV194" s="55">
        <f t="shared" si="103"/>
        <v>0</v>
      </c>
      <c r="AW194" s="55">
        <f t="shared" si="104"/>
        <v>0</v>
      </c>
      <c r="AX194" s="55">
        <f t="shared" si="105"/>
        <v>0</v>
      </c>
      <c r="AY194" s="58" t="s">
        <v>2795</v>
      </c>
      <c r="AZ194" s="58" t="s">
        <v>2633</v>
      </c>
      <c r="BA194" s="34" t="s">
        <v>2634</v>
      </c>
      <c r="BC194" s="55">
        <f t="shared" si="106"/>
        <v>0</v>
      </c>
      <c r="BD194" s="55">
        <f t="shared" si="107"/>
        <v>0</v>
      </c>
      <c r="BE194" s="55">
        <v>0</v>
      </c>
      <c r="BF194" s="55">
        <f t="shared" si="108"/>
        <v>0</v>
      </c>
      <c r="BH194" s="55">
        <f t="shared" si="109"/>
        <v>0</v>
      </c>
      <c r="BI194" s="55">
        <f t="shared" si="110"/>
        <v>0</v>
      </c>
      <c r="BJ194" s="55">
        <f t="shared" si="111"/>
        <v>0</v>
      </c>
      <c r="BK194" s="55"/>
      <c r="BL194" s="55"/>
      <c r="BW194" s="55">
        <v>21</v>
      </c>
    </row>
    <row r="195" spans="1:75" ht="27" customHeight="1">
      <c r="A195" s="1" t="s">
        <v>523</v>
      </c>
      <c r="B195" s="2" t="s">
        <v>2629</v>
      </c>
      <c r="C195" s="2" t="s">
        <v>2979</v>
      </c>
      <c r="D195" s="147" t="s">
        <v>2980</v>
      </c>
      <c r="E195" s="148"/>
      <c r="F195" s="2" t="s">
        <v>374</v>
      </c>
      <c r="G195" s="55">
        <f>'Stavební rozpočet-vyplnit'!G1573</f>
        <v>8</v>
      </c>
      <c r="H195" s="55">
        <f>'Stavební rozpočet-vyplnit'!H1573</f>
        <v>0</v>
      </c>
      <c r="I195" s="55">
        <f t="shared" si="90"/>
        <v>0</v>
      </c>
      <c r="J195" s="55">
        <f>'Stavební rozpočet-vyplnit'!J1573</f>
        <v>0</v>
      </c>
      <c r="K195" s="55">
        <f t="shared" si="91"/>
        <v>0</v>
      </c>
      <c r="L195" s="57" t="s">
        <v>124</v>
      </c>
      <c r="Z195" s="55">
        <f t="shared" si="92"/>
        <v>0</v>
      </c>
      <c r="AB195" s="55">
        <f t="shared" si="93"/>
        <v>0</v>
      </c>
      <c r="AC195" s="55">
        <f t="shared" si="94"/>
        <v>0</v>
      </c>
      <c r="AD195" s="55">
        <f t="shared" si="95"/>
        <v>0</v>
      </c>
      <c r="AE195" s="55">
        <f t="shared" si="96"/>
        <v>0</v>
      </c>
      <c r="AF195" s="55">
        <f t="shared" si="97"/>
        <v>0</v>
      </c>
      <c r="AG195" s="55">
        <f t="shared" si="98"/>
        <v>0</v>
      </c>
      <c r="AH195" s="55">
        <f t="shared" si="99"/>
        <v>0</v>
      </c>
      <c r="AI195" s="34" t="s">
        <v>2629</v>
      </c>
      <c r="AJ195" s="55">
        <f t="shared" si="100"/>
        <v>0</v>
      </c>
      <c r="AK195" s="55">
        <f t="shared" si="101"/>
        <v>0</v>
      </c>
      <c r="AL195" s="55">
        <f t="shared" si="102"/>
        <v>0</v>
      </c>
      <c r="AN195" s="55">
        <v>21</v>
      </c>
      <c r="AO195" s="55">
        <f>H195*0</f>
        <v>0</v>
      </c>
      <c r="AP195" s="55">
        <f>H195*(1-0)</f>
        <v>0</v>
      </c>
      <c r="AQ195" s="58" t="s">
        <v>125</v>
      </c>
      <c r="AV195" s="55">
        <f t="shared" si="103"/>
        <v>0</v>
      </c>
      <c r="AW195" s="55">
        <f t="shared" si="104"/>
        <v>0</v>
      </c>
      <c r="AX195" s="55">
        <f t="shared" si="105"/>
        <v>0</v>
      </c>
      <c r="AY195" s="58" t="s">
        <v>2795</v>
      </c>
      <c r="AZ195" s="58" t="s">
        <v>2633</v>
      </c>
      <c r="BA195" s="34" t="s">
        <v>2634</v>
      </c>
      <c r="BC195" s="55">
        <f t="shared" si="106"/>
        <v>0</v>
      </c>
      <c r="BD195" s="55">
        <f t="shared" si="107"/>
        <v>0</v>
      </c>
      <c r="BE195" s="55">
        <v>0</v>
      </c>
      <c r="BF195" s="55">
        <f t="shared" si="108"/>
        <v>0</v>
      </c>
      <c r="BH195" s="55">
        <f t="shared" si="109"/>
        <v>0</v>
      </c>
      <c r="BI195" s="55">
        <f t="shared" si="110"/>
        <v>0</v>
      </c>
      <c r="BJ195" s="55">
        <f t="shared" si="111"/>
        <v>0</v>
      </c>
      <c r="BK195" s="55"/>
      <c r="BL195" s="55"/>
      <c r="BW195" s="55">
        <v>21</v>
      </c>
    </row>
    <row r="196" spans="1:75" ht="27" customHeight="1">
      <c r="A196" s="1" t="s">
        <v>526</v>
      </c>
      <c r="B196" s="2" t="s">
        <v>2629</v>
      </c>
      <c r="C196" s="2" t="s">
        <v>2982</v>
      </c>
      <c r="D196" s="147" t="s">
        <v>2983</v>
      </c>
      <c r="E196" s="148"/>
      <c r="F196" s="2" t="s">
        <v>939</v>
      </c>
      <c r="G196" s="55">
        <f>'Stavební rozpočet-vyplnit'!G1574</f>
        <v>1.9</v>
      </c>
      <c r="H196" s="55">
        <f>'Stavební rozpočet-vyplnit'!H1574</f>
        <v>0</v>
      </c>
      <c r="I196" s="55">
        <f t="shared" si="90"/>
        <v>0</v>
      </c>
      <c r="J196" s="55">
        <f>'Stavební rozpočet-vyplnit'!J1574</f>
        <v>0</v>
      </c>
      <c r="K196" s="55">
        <f t="shared" si="91"/>
        <v>0</v>
      </c>
      <c r="L196" s="57" t="s">
        <v>124</v>
      </c>
      <c r="Z196" s="55">
        <f t="shared" si="92"/>
        <v>0</v>
      </c>
      <c r="AB196" s="55">
        <f t="shared" si="93"/>
        <v>0</v>
      </c>
      <c r="AC196" s="55">
        <f t="shared" si="94"/>
        <v>0</v>
      </c>
      <c r="AD196" s="55">
        <f t="shared" si="95"/>
        <v>0</v>
      </c>
      <c r="AE196" s="55">
        <f t="shared" si="96"/>
        <v>0</v>
      </c>
      <c r="AF196" s="55">
        <f t="shared" si="97"/>
        <v>0</v>
      </c>
      <c r="AG196" s="55">
        <f t="shared" si="98"/>
        <v>0</v>
      </c>
      <c r="AH196" s="55">
        <f t="shared" si="99"/>
        <v>0</v>
      </c>
      <c r="AI196" s="34" t="s">
        <v>2629</v>
      </c>
      <c r="AJ196" s="55">
        <f t="shared" si="100"/>
        <v>0</v>
      </c>
      <c r="AK196" s="55">
        <f t="shared" si="101"/>
        <v>0</v>
      </c>
      <c r="AL196" s="55">
        <f t="shared" si="102"/>
        <v>0</v>
      </c>
      <c r="AN196" s="55">
        <v>21</v>
      </c>
      <c r="AO196" s="55">
        <f>H196*0</f>
        <v>0</v>
      </c>
      <c r="AP196" s="55">
        <f>H196*(1-0)</f>
        <v>0</v>
      </c>
      <c r="AQ196" s="58" t="s">
        <v>139</v>
      </c>
      <c r="AV196" s="55">
        <f t="shared" si="103"/>
        <v>0</v>
      </c>
      <c r="AW196" s="55">
        <f t="shared" si="104"/>
        <v>0</v>
      </c>
      <c r="AX196" s="55">
        <f t="shared" si="105"/>
        <v>0</v>
      </c>
      <c r="AY196" s="58" t="s">
        <v>2795</v>
      </c>
      <c r="AZ196" s="58" t="s">
        <v>2633</v>
      </c>
      <c r="BA196" s="34" t="s">
        <v>2634</v>
      </c>
      <c r="BC196" s="55">
        <f t="shared" si="106"/>
        <v>0</v>
      </c>
      <c r="BD196" s="55">
        <f t="shared" si="107"/>
        <v>0</v>
      </c>
      <c r="BE196" s="55">
        <v>0</v>
      </c>
      <c r="BF196" s="55">
        <f t="shared" si="108"/>
        <v>0</v>
      </c>
      <c r="BH196" s="55">
        <f t="shared" si="109"/>
        <v>0</v>
      </c>
      <c r="BI196" s="55">
        <f t="shared" si="110"/>
        <v>0</v>
      </c>
      <c r="BJ196" s="55">
        <f t="shared" si="111"/>
        <v>0</v>
      </c>
      <c r="BK196" s="55"/>
      <c r="BL196" s="55"/>
      <c r="BW196" s="55">
        <v>21</v>
      </c>
    </row>
    <row r="197" spans="1:75" ht="13.5" customHeight="1">
      <c r="A197" s="61" t="s">
        <v>529</v>
      </c>
      <c r="B197" s="62" t="s">
        <v>2629</v>
      </c>
      <c r="C197" s="62" t="s">
        <v>2985</v>
      </c>
      <c r="D197" s="224" t="s">
        <v>2986</v>
      </c>
      <c r="E197" s="225"/>
      <c r="F197" s="62" t="s">
        <v>250</v>
      </c>
      <c r="G197" s="63">
        <f>'Stavební rozpočet-vyplnit'!G1575</f>
        <v>1</v>
      </c>
      <c r="H197" s="63">
        <f>'Stavební rozpočet-vyplnit'!H1575</f>
        <v>0</v>
      </c>
      <c r="I197" s="63">
        <f t="shared" si="90"/>
        <v>0</v>
      </c>
      <c r="J197" s="63">
        <f>'Stavební rozpočet-vyplnit'!J1575</f>
        <v>0</v>
      </c>
      <c r="K197" s="63">
        <f t="shared" si="91"/>
        <v>0</v>
      </c>
      <c r="L197" s="65" t="s">
        <v>124</v>
      </c>
      <c r="Z197" s="55">
        <f t="shared" si="92"/>
        <v>0</v>
      </c>
      <c r="AB197" s="55">
        <f t="shared" si="93"/>
        <v>0</v>
      </c>
      <c r="AC197" s="55">
        <f t="shared" si="94"/>
        <v>0</v>
      </c>
      <c r="AD197" s="55">
        <f t="shared" si="95"/>
        <v>0</v>
      </c>
      <c r="AE197" s="55">
        <f t="shared" si="96"/>
        <v>0</v>
      </c>
      <c r="AF197" s="55">
        <f t="shared" si="97"/>
        <v>0</v>
      </c>
      <c r="AG197" s="55">
        <f t="shared" si="98"/>
        <v>0</v>
      </c>
      <c r="AH197" s="55">
        <f t="shared" si="99"/>
        <v>0</v>
      </c>
      <c r="AI197" s="34" t="s">
        <v>2629</v>
      </c>
      <c r="AJ197" s="63">
        <f t="shared" si="100"/>
        <v>0</v>
      </c>
      <c r="AK197" s="63">
        <f t="shared" si="101"/>
        <v>0</v>
      </c>
      <c r="AL197" s="63">
        <f t="shared" si="102"/>
        <v>0</v>
      </c>
      <c r="AN197" s="55">
        <v>21</v>
      </c>
      <c r="AO197" s="55">
        <f>H197*1</f>
        <v>0</v>
      </c>
      <c r="AP197" s="55">
        <f>H197*(1-1)</f>
        <v>0</v>
      </c>
      <c r="AQ197" s="66" t="s">
        <v>125</v>
      </c>
      <c r="AV197" s="55">
        <f t="shared" si="103"/>
        <v>0</v>
      </c>
      <c r="AW197" s="55">
        <f t="shared" si="104"/>
        <v>0</v>
      </c>
      <c r="AX197" s="55">
        <f t="shared" si="105"/>
        <v>0</v>
      </c>
      <c r="AY197" s="58" t="s">
        <v>2795</v>
      </c>
      <c r="AZ197" s="58" t="s">
        <v>2633</v>
      </c>
      <c r="BA197" s="34" t="s">
        <v>2634</v>
      </c>
      <c r="BC197" s="55">
        <f t="shared" si="106"/>
        <v>0</v>
      </c>
      <c r="BD197" s="55">
        <f t="shared" si="107"/>
        <v>0</v>
      </c>
      <c r="BE197" s="55">
        <v>0</v>
      </c>
      <c r="BF197" s="55">
        <f t="shared" si="108"/>
        <v>0</v>
      </c>
      <c r="BH197" s="63">
        <f t="shared" si="109"/>
        <v>0</v>
      </c>
      <c r="BI197" s="63">
        <f t="shared" si="110"/>
        <v>0</v>
      </c>
      <c r="BJ197" s="63">
        <f t="shared" si="111"/>
        <v>0</v>
      </c>
      <c r="BK197" s="63"/>
      <c r="BL197" s="55"/>
      <c r="BW197" s="55">
        <v>21</v>
      </c>
    </row>
    <row r="198" spans="1:47" ht="14.4">
      <c r="A198" s="50" t="s">
        <v>4</v>
      </c>
      <c r="B198" s="51" t="s">
        <v>2629</v>
      </c>
      <c r="C198" s="51" t="s">
        <v>2987</v>
      </c>
      <c r="D198" s="222" t="s">
        <v>2988</v>
      </c>
      <c r="E198" s="223"/>
      <c r="F198" s="52" t="s">
        <v>79</v>
      </c>
      <c r="G198" s="52" t="s">
        <v>79</v>
      </c>
      <c r="H198" s="52" t="s">
        <v>79</v>
      </c>
      <c r="I198" s="27">
        <f>SUM(I199:I227)</f>
        <v>0</v>
      </c>
      <c r="J198" s="34" t="s">
        <v>4</v>
      </c>
      <c r="K198" s="27">
        <f>SUM(K199:K227)</f>
        <v>0</v>
      </c>
      <c r="L198" s="54" t="s">
        <v>4</v>
      </c>
      <c r="AI198" s="34" t="s">
        <v>2629</v>
      </c>
      <c r="AS198" s="27">
        <f>SUM(AJ199:AJ227)</f>
        <v>0</v>
      </c>
      <c r="AT198" s="27">
        <f>SUM(AK199:AK227)</f>
        <v>0</v>
      </c>
      <c r="AU198" s="27">
        <f>SUM(AL199:AL227)</f>
        <v>0</v>
      </c>
    </row>
    <row r="199" spans="1:75" ht="13.5" customHeight="1">
      <c r="A199" s="1" t="s">
        <v>532</v>
      </c>
      <c r="B199" s="2" t="s">
        <v>2629</v>
      </c>
      <c r="C199" s="2" t="s">
        <v>2990</v>
      </c>
      <c r="D199" s="147" t="s">
        <v>2991</v>
      </c>
      <c r="E199" s="148"/>
      <c r="F199" s="2" t="s">
        <v>360</v>
      </c>
      <c r="G199" s="55">
        <f>'Stavební rozpočet-vyplnit'!G1577</f>
        <v>24</v>
      </c>
      <c r="H199" s="55">
        <f>'Stavební rozpočet-vyplnit'!H1577</f>
        <v>0</v>
      </c>
      <c r="I199" s="55">
        <f>G199*H199</f>
        <v>0</v>
      </c>
      <c r="J199" s="55">
        <f>'Stavební rozpočet-vyplnit'!J1577</f>
        <v>0</v>
      </c>
      <c r="K199" s="55">
        <f>G199*J199</f>
        <v>0</v>
      </c>
      <c r="L199" s="57" t="s">
        <v>124</v>
      </c>
      <c r="Z199" s="55">
        <f>IF(AQ199="5",BJ199,0)</f>
        <v>0</v>
      </c>
      <c r="AB199" s="55">
        <f>IF(AQ199="1",BH199,0)</f>
        <v>0</v>
      </c>
      <c r="AC199" s="55">
        <f>IF(AQ199="1",BI199,0)</f>
        <v>0</v>
      </c>
      <c r="AD199" s="55">
        <f>IF(AQ199="7",BH199,0)</f>
        <v>0</v>
      </c>
      <c r="AE199" s="55">
        <f>IF(AQ199="7",BI199,0)</f>
        <v>0</v>
      </c>
      <c r="AF199" s="55">
        <f>IF(AQ199="2",BH199,0)</f>
        <v>0</v>
      </c>
      <c r="AG199" s="55">
        <f>IF(AQ199="2",BI199,0)</f>
        <v>0</v>
      </c>
      <c r="AH199" s="55">
        <f>IF(AQ199="0",BJ199,0)</f>
        <v>0</v>
      </c>
      <c r="AI199" s="34" t="s">
        <v>2629</v>
      </c>
      <c r="AJ199" s="55">
        <f>IF(AN199=0,I199,0)</f>
        <v>0</v>
      </c>
      <c r="AK199" s="55">
        <f>IF(AN199=12,I199,0)</f>
        <v>0</v>
      </c>
      <c r="AL199" s="55">
        <f>IF(AN199=21,I199,0)</f>
        <v>0</v>
      </c>
      <c r="AN199" s="55">
        <v>21</v>
      </c>
      <c r="AO199" s="55">
        <f>H199*0</f>
        <v>0</v>
      </c>
      <c r="AP199" s="55">
        <f>H199*(1-0)</f>
        <v>0</v>
      </c>
      <c r="AQ199" s="58" t="s">
        <v>125</v>
      </c>
      <c r="AV199" s="55">
        <f>AW199+AX199</f>
        <v>0</v>
      </c>
      <c r="AW199" s="55">
        <f>G199*AO199</f>
        <v>0</v>
      </c>
      <c r="AX199" s="55">
        <f>G199*AP199</f>
        <v>0</v>
      </c>
      <c r="AY199" s="58" t="s">
        <v>2992</v>
      </c>
      <c r="AZ199" s="58" t="s">
        <v>2633</v>
      </c>
      <c r="BA199" s="34" t="s">
        <v>2634</v>
      </c>
      <c r="BC199" s="55">
        <f>AW199+AX199</f>
        <v>0</v>
      </c>
      <c r="BD199" s="55">
        <f>H199/(100-BE199)*100</f>
        <v>0</v>
      </c>
      <c r="BE199" s="55">
        <v>0</v>
      </c>
      <c r="BF199" s="55">
        <f>K199</f>
        <v>0</v>
      </c>
      <c r="BH199" s="55">
        <f>G199*AO199</f>
        <v>0</v>
      </c>
      <c r="BI199" s="55">
        <f>G199*AP199</f>
        <v>0</v>
      </c>
      <c r="BJ199" s="55">
        <f>G199*H199</f>
        <v>0</v>
      </c>
      <c r="BK199" s="55"/>
      <c r="BL199" s="55"/>
      <c r="BW199" s="55">
        <v>21</v>
      </c>
    </row>
    <row r="200" spans="1:12" ht="13.5" customHeight="1">
      <c r="A200" s="59"/>
      <c r="D200" s="218" t="s">
        <v>2993</v>
      </c>
      <c r="E200" s="219"/>
      <c r="F200" s="219"/>
      <c r="G200" s="219"/>
      <c r="H200" s="219"/>
      <c r="I200" s="219"/>
      <c r="J200" s="219"/>
      <c r="K200" s="219"/>
      <c r="L200" s="221"/>
    </row>
    <row r="201" spans="1:75" ht="13.5" customHeight="1">
      <c r="A201" s="61" t="s">
        <v>535</v>
      </c>
      <c r="B201" s="62" t="s">
        <v>2629</v>
      </c>
      <c r="C201" s="62" t="s">
        <v>2995</v>
      </c>
      <c r="D201" s="224" t="s">
        <v>2996</v>
      </c>
      <c r="E201" s="225"/>
      <c r="F201" s="62" t="s">
        <v>2803</v>
      </c>
      <c r="G201" s="63">
        <f>'Stavební rozpočet-vyplnit'!G1579</f>
        <v>1</v>
      </c>
      <c r="H201" s="63">
        <f>'Stavební rozpočet-vyplnit'!H1579</f>
        <v>0</v>
      </c>
      <c r="I201" s="63">
        <f aca="true" t="shared" si="114" ref="I201:I227">G201*H201</f>
        <v>0</v>
      </c>
      <c r="J201" s="63">
        <f>'Stavební rozpočet-vyplnit'!J1579</f>
        <v>0</v>
      </c>
      <c r="K201" s="63">
        <f aca="true" t="shared" si="115" ref="K201:K227">G201*J201</f>
        <v>0</v>
      </c>
      <c r="L201" s="65" t="s">
        <v>124</v>
      </c>
      <c r="Z201" s="55">
        <f aca="true" t="shared" si="116" ref="Z201:Z227">IF(AQ201="5",BJ201,0)</f>
        <v>0</v>
      </c>
      <c r="AB201" s="55">
        <f aca="true" t="shared" si="117" ref="AB201:AB227">IF(AQ201="1",BH201,0)</f>
        <v>0</v>
      </c>
      <c r="AC201" s="55">
        <f aca="true" t="shared" si="118" ref="AC201:AC227">IF(AQ201="1",BI201,0)</f>
        <v>0</v>
      </c>
      <c r="AD201" s="55">
        <f aca="true" t="shared" si="119" ref="AD201:AD227">IF(AQ201="7",BH201,0)</f>
        <v>0</v>
      </c>
      <c r="AE201" s="55">
        <f aca="true" t="shared" si="120" ref="AE201:AE227">IF(AQ201="7",BI201,0)</f>
        <v>0</v>
      </c>
      <c r="AF201" s="55">
        <f aca="true" t="shared" si="121" ref="AF201:AF227">IF(AQ201="2",BH201,0)</f>
        <v>0</v>
      </c>
      <c r="AG201" s="55">
        <f aca="true" t="shared" si="122" ref="AG201:AG227">IF(AQ201="2",BI201,0)</f>
        <v>0</v>
      </c>
      <c r="AH201" s="55">
        <f aca="true" t="shared" si="123" ref="AH201:AH227">IF(AQ201="0",BJ201,0)</f>
        <v>0</v>
      </c>
      <c r="AI201" s="34" t="s">
        <v>2629</v>
      </c>
      <c r="AJ201" s="63">
        <f aca="true" t="shared" si="124" ref="AJ201:AJ227">IF(AN201=0,I201,0)</f>
        <v>0</v>
      </c>
      <c r="AK201" s="63">
        <f aca="true" t="shared" si="125" ref="AK201:AK227">IF(AN201=12,I201,0)</f>
        <v>0</v>
      </c>
      <c r="AL201" s="63">
        <f aca="true" t="shared" si="126" ref="AL201:AL227">IF(AN201=21,I201,0)</f>
        <v>0</v>
      </c>
      <c r="AN201" s="55">
        <v>21</v>
      </c>
      <c r="AO201" s="55">
        <f aca="true" t="shared" si="127" ref="AO201:AO227">H201*1</f>
        <v>0</v>
      </c>
      <c r="AP201" s="55">
        <f aca="true" t="shared" si="128" ref="AP201:AP227">H201*(1-1)</f>
        <v>0</v>
      </c>
      <c r="AQ201" s="66" t="s">
        <v>125</v>
      </c>
      <c r="AV201" s="55">
        <f aca="true" t="shared" si="129" ref="AV201:AV227">AW201+AX201</f>
        <v>0</v>
      </c>
      <c r="AW201" s="55">
        <f aca="true" t="shared" si="130" ref="AW201:AW227">G201*AO201</f>
        <v>0</v>
      </c>
      <c r="AX201" s="55">
        <f aca="true" t="shared" si="131" ref="AX201:AX227">G201*AP201</f>
        <v>0</v>
      </c>
      <c r="AY201" s="58" t="s">
        <v>2992</v>
      </c>
      <c r="AZ201" s="58" t="s">
        <v>2633</v>
      </c>
      <c r="BA201" s="34" t="s">
        <v>2634</v>
      </c>
      <c r="BC201" s="55">
        <f aca="true" t="shared" si="132" ref="BC201:BC227">AW201+AX201</f>
        <v>0</v>
      </c>
      <c r="BD201" s="55">
        <f aca="true" t="shared" si="133" ref="BD201:BD227">H201/(100-BE201)*100</f>
        <v>0</v>
      </c>
      <c r="BE201" s="55">
        <v>0</v>
      </c>
      <c r="BF201" s="55">
        <f aca="true" t="shared" si="134" ref="BF201:BF227">K201</f>
        <v>0</v>
      </c>
      <c r="BH201" s="63">
        <f aca="true" t="shared" si="135" ref="BH201:BH227">G201*AO201</f>
        <v>0</v>
      </c>
      <c r="BI201" s="63">
        <f aca="true" t="shared" si="136" ref="BI201:BI227">G201*AP201</f>
        <v>0</v>
      </c>
      <c r="BJ201" s="63">
        <f aca="true" t="shared" si="137" ref="BJ201:BJ227">G201*H201</f>
        <v>0</v>
      </c>
      <c r="BK201" s="63"/>
      <c r="BL201" s="55"/>
      <c r="BW201" s="55">
        <v>21</v>
      </c>
    </row>
    <row r="202" spans="1:75" ht="27" customHeight="1">
      <c r="A202" s="61" t="s">
        <v>538</v>
      </c>
      <c r="B202" s="62" t="s">
        <v>2629</v>
      </c>
      <c r="C202" s="62" t="s">
        <v>2998</v>
      </c>
      <c r="D202" s="224" t="s">
        <v>2999</v>
      </c>
      <c r="E202" s="225"/>
      <c r="F202" s="62" t="s">
        <v>374</v>
      </c>
      <c r="G202" s="63">
        <f>'Stavební rozpočet-vyplnit'!G1580</f>
        <v>1</v>
      </c>
      <c r="H202" s="63">
        <f>'Stavební rozpočet-vyplnit'!H1580</f>
        <v>0</v>
      </c>
      <c r="I202" s="63">
        <f t="shared" si="114"/>
        <v>0</v>
      </c>
      <c r="J202" s="63">
        <f>'Stavební rozpočet-vyplnit'!J1580</f>
        <v>0</v>
      </c>
      <c r="K202" s="63">
        <f t="shared" si="115"/>
        <v>0</v>
      </c>
      <c r="L202" s="65" t="s">
        <v>124</v>
      </c>
      <c r="Z202" s="55">
        <f t="shared" si="116"/>
        <v>0</v>
      </c>
      <c r="AB202" s="55">
        <f t="shared" si="117"/>
        <v>0</v>
      </c>
      <c r="AC202" s="55">
        <f t="shared" si="118"/>
        <v>0</v>
      </c>
      <c r="AD202" s="55">
        <f t="shared" si="119"/>
        <v>0</v>
      </c>
      <c r="AE202" s="55">
        <f t="shared" si="120"/>
        <v>0</v>
      </c>
      <c r="AF202" s="55">
        <f t="shared" si="121"/>
        <v>0</v>
      </c>
      <c r="AG202" s="55">
        <f t="shared" si="122"/>
        <v>0</v>
      </c>
      <c r="AH202" s="55">
        <f t="shared" si="123"/>
        <v>0</v>
      </c>
      <c r="AI202" s="34" t="s">
        <v>2629</v>
      </c>
      <c r="AJ202" s="63">
        <f t="shared" si="124"/>
        <v>0</v>
      </c>
      <c r="AK202" s="63">
        <f t="shared" si="125"/>
        <v>0</v>
      </c>
      <c r="AL202" s="63">
        <f t="shared" si="126"/>
        <v>0</v>
      </c>
      <c r="AN202" s="55">
        <v>21</v>
      </c>
      <c r="AO202" s="55">
        <f t="shared" si="127"/>
        <v>0</v>
      </c>
      <c r="AP202" s="55">
        <f t="shared" si="128"/>
        <v>0</v>
      </c>
      <c r="AQ202" s="66" t="s">
        <v>125</v>
      </c>
      <c r="AV202" s="55">
        <f t="shared" si="129"/>
        <v>0</v>
      </c>
      <c r="AW202" s="55">
        <f t="shared" si="130"/>
        <v>0</v>
      </c>
      <c r="AX202" s="55">
        <f t="shared" si="131"/>
        <v>0</v>
      </c>
      <c r="AY202" s="58" t="s">
        <v>2992</v>
      </c>
      <c r="AZ202" s="58" t="s">
        <v>2633</v>
      </c>
      <c r="BA202" s="34" t="s">
        <v>2634</v>
      </c>
      <c r="BC202" s="55">
        <f t="shared" si="132"/>
        <v>0</v>
      </c>
      <c r="BD202" s="55">
        <f t="shared" si="133"/>
        <v>0</v>
      </c>
      <c r="BE202" s="55">
        <v>0</v>
      </c>
      <c r="BF202" s="55">
        <f t="shared" si="134"/>
        <v>0</v>
      </c>
      <c r="BH202" s="63">
        <f t="shared" si="135"/>
        <v>0</v>
      </c>
      <c r="BI202" s="63">
        <f t="shared" si="136"/>
        <v>0</v>
      </c>
      <c r="BJ202" s="63">
        <f t="shared" si="137"/>
        <v>0</v>
      </c>
      <c r="BK202" s="63"/>
      <c r="BL202" s="55"/>
      <c r="BW202" s="55">
        <v>21</v>
      </c>
    </row>
    <row r="203" spans="1:75" ht="13.5" customHeight="1">
      <c r="A203" s="61" t="s">
        <v>541</v>
      </c>
      <c r="B203" s="62" t="s">
        <v>2629</v>
      </c>
      <c r="C203" s="62" t="s">
        <v>3001</v>
      </c>
      <c r="D203" s="224" t="s">
        <v>3002</v>
      </c>
      <c r="E203" s="225"/>
      <c r="F203" s="62" t="s">
        <v>374</v>
      </c>
      <c r="G203" s="63">
        <f>'Stavební rozpočet-vyplnit'!G1581</f>
        <v>1</v>
      </c>
      <c r="H203" s="63">
        <f>'Stavební rozpočet-vyplnit'!H1581</f>
        <v>0</v>
      </c>
      <c r="I203" s="63">
        <f t="shared" si="114"/>
        <v>0</v>
      </c>
      <c r="J203" s="63">
        <f>'Stavební rozpočet-vyplnit'!J1581</f>
        <v>0</v>
      </c>
      <c r="K203" s="63">
        <f t="shared" si="115"/>
        <v>0</v>
      </c>
      <c r="L203" s="65" t="s">
        <v>124</v>
      </c>
      <c r="Z203" s="55">
        <f t="shared" si="116"/>
        <v>0</v>
      </c>
      <c r="AB203" s="55">
        <f t="shared" si="117"/>
        <v>0</v>
      </c>
      <c r="AC203" s="55">
        <f t="shared" si="118"/>
        <v>0</v>
      </c>
      <c r="AD203" s="55">
        <f t="shared" si="119"/>
        <v>0</v>
      </c>
      <c r="AE203" s="55">
        <f t="shared" si="120"/>
        <v>0</v>
      </c>
      <c r="AF203" s="55">
        <f t="shared" si="121"/>
        <v>0</v>
      </c>
      <c r="AG203" s="55">
        <f t="shared" si="122"/>
        <v>0</v>
      </c>
      <c r="AH203" s="55">
        <f t="shared" si="123"/>
        <v>0</v>
      </c>
      <c r="AI203" s="34" t="s">
        <v>2629</v>
      </c>
      <c r="AJ203" s="63">
        <f t="shared" si="124"/>
        <v>0</v>
      </c>
      <c r="AK203" s="63">
        <f t="shared" si="125"/>
        <v>0</v>
      </c>
      <c r="AL203" s="63">
        <f t="shared" si="126"/>
        <v>0</v>
      </c>
      <c r="AN203" s="55">
        <v>21</v>
      </c>
      <c r="AO203" s="55">
        <f t="shared" si="127"/>
        <v>0</v>
      </c>
      <c r="AP203" s="55">
        <f t="shared" si="128"/>
        <v>0</v>
      </c>
      <c r="AQ203" s="66" t="s">
        <v>125</v>
      </c>
      <c r="AV203" s="55">
        <f t="shared" si="129"/>
        <v>0</v>
      </c>
      <c r="AW203" s="55">
        <f t="shared" si="130"/>
        <v>0</v>
      </c>
      <c r="AX203" s="55">
        <f t="shared" si="131"/>
        <v>0</v>
      </c>
      <c r="AY203" s="58" t="s">
        <v>2992</v>
      </c>
      <c r="AZ203" s="58" t="s">
        <v>2633</v>
      </c>
      <c r="BA203" s="34" t="s">
        <v>2634</v>
      </c>
      <c r="BC203" s="55">
        <f t="shared" si="132"/>
        <v>0</v>
      </c>
      <c r="BD203" s="55">
        <f t="shared" si="133"/>
        <v>0</v>
      </c>
      <c r="BE203" s="55">
        <v>0</v>
      </c>
      <c r="BF203" s="55">
        <f t="shared" si="134"/>
        <v>0</v>
      </c>
      <c r="BH203" s="63">
        <f t="shared" si="135"/>
        <v>0</v>
      </c>
      <c r="BI203" s="63">
        <f t="shared" si="136"/>
        <v>0</v>
      </c>
      <c r="BJ203" s="63">
        <f t="shared" si="137"/>
        <v>0</v>
      </c>
      <c r="BK203" s="63"/>
      <c r="BL203" s="55"/>
      <c r="BW203" s="55">
        <v>21</v>
      </c>
    </row>
    <row r="204" spans="1:75" ht="27" customHeight="1">
      <c r="A204" s="61" t="s">
        <v>544</v>
      </c>
      <c r="B204" s="62" t="s">
        <v>2629</v>
      </c>
      <c r="C204" s="62" t="s">
        <v>3003</v>
      </c>
      <c r="D204" s="224" t="s">
        <v>3004</v>
      </c>
      <c r="E204" s="225"/>
      <c r="F204" s="62" t="s">
        <v>2936</v>
      </c>
      <c r="G204" s="63">
        <f>'Stavební rozpočet-vyplnit'!G1582</f>
        <v>1</v>
      </c>
      <c r="H204" s="63">
        <f>'Stavební rozpočet-vyplnit'!H1582</f>
        <v>0</v>
      </c>
      <c r="I204" s="63">
        <f t="shared" si="114"/>
        <v>0</v>
      </c>
      <c r="J204" s="63">
        <f>'Stavební rozpočet-vyplnit'!J1582</f>
        <v>0</v>
      </c>
      <c r="K204" s="63">
        <f t="shared" si="115"/>
        <v>0</v>
      </c>
      <c r="L204" s="65" t="s">
        <v>124</v>
      </c>
      <c r="Z204" s="55">
        <f t="shared" si="116"/>
        <v>0</v>
      </c>
      <c r="AB204" s="55">
        <f t="shared" si="117"/>
        <v>0</v>
      </c>
      <c r="AC204" s="55">
        <f t="shared" si="118"/>
        <v>0</v>
      </c>
      <c r="AD204" s="55">
        <f t="shared" si="119"/>
        <v>0</v>
      </c>
      <c r="AE204" s="55">
        <f t="shared" si="120"/>
        <v>0</v>
      </c>
      <c r="AF204" s="55">
        <f t="shared" si="121"/>
        <v>0</v>
      </c>
      <c r="AG204" s="55">
        <f t="shared" si="122"/>
        <v>0</v>
      </c>
      <c r="AH204" s="55">
        <f t="shared" si="123"/>
        <v>0</v>
      </c>
      <c r="AI204" s="34" t="s">
        <v>2629</v>
      </c>
      <c r="AJ204" s="63">
        <f t="shared" si="124"/>
        <v>0</v>
      </c>
      <c r="AK204" s="63">
        <f t="shared" si="125"/>
        <v>0</v>
      </c>
      <c r="AL204" s="63">
        <f t="shared" si="126"/>
        <v>0</v>
      </c>
      <c r="AN204" s="55">
        <v>21</v>
      </c>
      <c r="AO204" s="55">
        <f t="shared" si="127"/>
        <v>0</v>
      </c>
      <c r="AP204" s="55">
        <f t="shared" si="128"/>
        <v>0</v>
      </c>
      <c r="AQ204" s="66" t="s">
        <v>125</v>
      </c>
      <c r="AV204" s="55">
        <f t="shared" si="129"/>
        <v>0</v>
      </c>
      <c r="AW204" s="55">
        <f t="shared" si="130"/>
        <v>0</v>
      </c>
      <c r="AX204" s="55">
        <f t="shared" si="131"/>
        <v>0</v>
      </c>
      <c r="AY204" s="58" t="s">
        <v>2992</v>
      </c>
      <c r="AZ204" s="58" t="s">
        <v>2633</v>
      </c>
      <c r="BA204" s="34" t="s">
        <v>2634</v>
      </c>
      <c r="BC204" s="55">
        <f t="shared" si="132"/>
        <v>0</v>
      </c>
      <c r="BD204" s="55">
        <f t="shared" si="133"/>
        <v>0</v>
      </c>
      <c r="BE204" s="55">
        <v>0</v>
      </c>
      <c r="BF204" s="55">
        <f t="shared" si="134"/>
        <v>0</v>
      </c>
      <c r="BH204" s="63">
        <f t="shared" si="135"/>
        <v>0</v>
      </c>
      <c r="BI204" s="63">
        <f t="shared" si="136"/>
        <v>0</v>
      </c>
      <c r="BJ204" s="63">
        <f t="shared" si="137"/>
        <v>0</v>
      </c>
      <c r="BK204" s="63"/>
      <c r="BL204" s="55"/>
      <c r="BW204" s="55">
        <v>21</v>
      </c>
    </row>
    <row r="205" spans="1:75" ht="27" customHeight="1">
      <c r="A205" s="61" t="s">
        <v>547</v>
      </c>
      <c r="B205" s="62" t="s">
        <v>2629</v>
      </c>
      <c r="C205" s="62" t="s">
        <v>3005</v>
      </c>
      <c r="D205" s="224" t="s">
        <v>3006</v>
      </c>
      <c r="E205" s="225"/>
      <c r="F205" s="62" t="s">
        <v>2936</v>
      </c>
      <c r="G205" s="63">
        <f>'Stavební rozpočet-vyplnit'!G1583</f>
        <v>1</v>
      </c>
      <c r="H205" s="63">
        <f>'Stavební rozpočet-vyplnit'!H1583</f>
        <v>0</v>
      </c>
      <c r="I205" s="63">
        <f t="shared" si="114"/>
        <v>0</v>
      </c>
      <c r="J205" s="63">
        <f>'Stavební rozpočet-vyplnit'!J1583</f>
        <v>0</v>
      </c>
      <c r="K205" s="63">
        <f t="shared" si="115"/>
        <v>0</v>
      </c>
      <c r="L205" s="65" t="s">
        <v>124</v>
      </c>
      <c r="Z205" s="55">
        <f t="shared" si="116"/>
        <v>0</v>
      </c>
      <c r="AB205" s="55">
        <f t="shared" si="117"/>
        <v>0</v>
      </c>
      <c r="AC205" s="55">
        <f t="shared" si="118"/>
        <v>0</v>
      </c>
      <c r="AD205" s="55">
        <f t="shared" si="119"/>
        <v>0</v>
      </c>
      <c r="AE205" s="55">
        <f t="shared" si="120"/>
        <v>0</v>
      </c>
      <c r="AF205" s="55">
        <f t="shared" si="121"/>
        <v>0</v>
      </c>
      <c r="AG205" s="55">
        <f t="shared" si="122"/>
        <v>0</v>
      </c>
      <c r="AH205" s="55">
        <f t="shared" si="123"/>
        <v>0</v>
      </c>
      <c r="AI205" s="34" t="s">
        <v>2629</v>
      </c>
      <c r="AJ205" s="63">
        <f t="shared" si="124"/>
        <v>0</v>
      </c>
      <c r="AK205" s="63">
        <f t="shared" si="125"/>
        <v>0</v>
      </c>
      <c r="AL205" s="63">
        <f t="shared" si="126"/>
        <v>0</v>
      </c>
      <c r="AN205" s="55">
        <v>21</v>
      </c>
      <c r="AO205" s="55">
        <f t="shared" si="127"/>
        <v>0</v>
      </c>
      <c r="AP205" s="55">
        <f t="shared" si="128"/>
        <v>0</v>
      </c>
      <c r="AQ205" s="66" t="s">
        <v>125</v>
      </c>
      <c r="AV205" s="55">
        <f t="shared" si="129"/>
        <v>0</v>
      </c>
      <c r="AW205" s="55">
        <f t="shared" si="130"/>
        <v>0</v>
      </c>
      <c r="AX205" s="55">
        <f t="shared" si="131"/>
        <v>0</v>
      </c>
      <c r="AY205" s="58" t="s">
        <v>2992</v>
      </c>
      <c r="AZ205" s="58" t="s">
        <v>2633</v>
      </c>
      <c r="BA205" s="34" t="s">
        <v>2634</v>
      </c>
      <c r="BC205" s="55">
        <f t="shared" si="132"/>
        <v>0</v>
      </c>
      <c r="BD205" s="55">
        <f t="shared" si="133"/>
        <v>0</v>
      </c>
      <c r="BE205" s="55">
        <v>0</v>
      </c>
      <c r="BF205" s="55">
        <f t="shared" si="134"/>
        <v>0</v>
      </c>
      <c r="BH205" s="63">
        <f t="shared" si="135"/>
        <v>0</v>
      </c>
      <c r="BI205" s="63">
        <f t="shared" si="136"/>
        <v>0</v>
      </c>
      <c r="BJ205" s="63">
        <f t="shared" si="137"/>
        <v>0</v>
      </c>
      <c r="BK205" s="63"/>
      <c r="BL205" s="55"/>
      <c r="BW205" s="55">
        <v>21</v>
      </c>
    </row>
    <row r="206" spans="1:75" ht="27" customHeight="1">
      <c r="A206" s="61" t="s">
        <v>551</v>
      </c>
      <c r="B206" s="62" t="s">
        <v>2629</v>
      </c>
      <c r="C206" s="62" t="s">
        <v>3007</v>
      </c>
      <c r="D206" s="224" t="s">
        <v>3008</v>
      </c>
      <c r="E206" s="225"/>
      <c r="F206" s="62" t="s">
        <v>2936</v>
      </c>
      <c r="G206" s="63">
        <f>'Stavební rozpočet-vyplnit'!G1584</f>
        <v>1</v>
      </c>
      <c r="H206" s="63">
        <f>'Stavební rozpočet-vyplnit'!H1584</f>
        <v>0</v>
      </c>
      <c r="I206" s="63">
        <f t="shared" si="114"/>
        <v>0</v>
      </c>
      <c r="J206" s="63">
        <f>'Stavební rozpočet-vyplnit'!J1584</f>
        <v>0</v>
      </c>
      <c r="K206" s="63">
        <f t="shared" si="115"/>
        <v>0</v>
      </c>
      <c r="L206" s="65" t="s">
        <v>124</v>
      </c>
      <c r="Z206" s="55">
        <f t="shared" si="116"/>
        <v>0</v>
      </c>
      <c r="AB206" s="55">
        <f t="shared" si="117"/>
        <v>0</v>
      </c>
      <c r="AC206" s="55">
        <f t="shared" si="118"/>
        <v>0</v>
      </c>
      <c r="AD206" s="55">
        <f t="shared" si="119"/>
        <v>0</v>
      </c>
      <c r="AE206" s="55">
        <f t="shared" si="120"/>
        <v>0</v>
      </c>
      <c r="AF206" s="55">
        <f t="shared" si="121"/>
        <v>0</v>
      </c>
      <c r="AG206" s="55">
        <f t="shared" si="122"/>
        <v>0</v>
      </c>
      <c r="AH206" s="55">
        <f t="shared" si="123"/>
        <v>0</v>
      </c>
      <c r="AI206" s="34" t="s">
        <v>2629</v>
      </c>
      <c r="AJ206" s="63">
        <f t="shared" si="124"/>
        <v>0</v>
      </c>
      <c r="AK206" s="63">
        <f t="shared" si="125"/>
        <v>0</v>
      </c>
      <c r="AL206" s="63">
        <f t="shared" si="126"/>
        <v>0</v>
      </c>
      <c r="AN206" s="55">
        <v>21</v>
      </c>
      <c r="AO206" s="55">
        <f t="shared" si="127"/>
        <v>0</v>
      </c>
      <c r="AP206" s="55">
        <f t="shared" si="128"/>
        <v>0</v>
      </c>
      <c r="AQ206" s="66" t="s">
        <v>125</v>
      </c>
      <c r="AV206" s="55">
        <f t="shared" si="129"/>
        <v>0</v>
      </c>
      <c r="AW206" s="55">
        <f t="shared" si="130"/>
        <v>0</v>
      </c>
      <c r="AX206" s="55">
        <f t="shared" si="131"/>
        <v>0</v>
      </c>
      <c r="AY206" s="58" t="s">
        <v>2992</v>
      </c>
      <c r="AZ206" s="58" t="s">
        <v>2633</v>
      </c>
      <c r="BA206" s="34" t="s">
        <v>2634</v>
      </c>
      <c r="BC206" s="55">
        <f t="shared" si="132"/>
        <v>0</v>
      </c>
      <c r="BD206" s="55">
        <f t="shared" si="133"/>
        <v>0</v>
      </c>
      <c r="BE206" s="55">
        <v>0</v>
      </c>
      <c r="BF206" s="55">
        <f t="shared" si="134"/>
        <v>0</v>
      </c>
      <c r="BH206" s="63">
        <f t="shared" si="135"/>
        <v>0</v>
      </c>
      <c r="BI206" s="63">
        <f t="shared" si="136"/>
        <v>0</v>
      </c>
      <c r="BJ206" s="63">
        <f t="shared" si="137"/>
        <v>0</v>
      </c>
      <c r="BK206" s="63"/>
      <c r="BL206" s="55"/>
      <c r="BW206" s="55">
        <v>21</v>
      </c>
    </row>
    <row r="207" spans="1:75" ht="27" customHeight="1">
      <c r="A207" s="61" t="s">
        <v>554</v>
      </c>
      <c r="B207" s="62" t="s">
        <v>2629</v>
      </c>
      <c r="C207" s="62" t="s">
        <v>3009</v>
      </c>
      <c r="D207" s="224" t="s">
        <v>3010</v>
      </c>
      <c r="E207" s="225"/>
      <c r="F207" s="62" t="s">
        <v>374</v>
      </c>
      <c r="G207" s="63">
        <f>'Stavební rozpočet-vyplnit'!G1585</f>
        <v>1</v>
      </c>
      <c r="H207" s="63">
        <f>'Stavební rozpočet-vyplnit'!H1585</f>
        <v>0</v>
      </c>
      <c r="I207" s="63">
        <f t="shared" si="114"/>
        <v>0</v>
      </c>
      <c r="J207" s="63">
        <f>'Stavební rozpočet-vyplnit'!J1585</f>
        <v>0</v>
      </c>
      <c r="K207" s="63">
        <f t="shared" si="115"/>
        <v>0</v>
      </c>
      <c r="L207" s="65" t="s">
        <v>124</v>
      </c>
      <c r="Z207" s="55">
        <f t="shared" si="116"/>
        <v>0</v>
      </c>
      <c r="AB207" s="55">
        <f t="shared" si="117"/>
        <v>0</v>
      </c>
      <c r="AC207" s="55">
        <f t="shared" si="118"/>
        <v>0</v>
      </c>
      <c r="AD207" s="55">
        <f t="shared" si="119"/>
        <v>0</v>
      </c>
      <c r="AE207" s="55">
        <f t="shared" si="120"/>
        <v>0</v>
      </c>
      <c r="AF207" s="55">
        <f t="shared" si="121"/>
        <v>0</v>
      </c>
      <c r="AG207" s="55">
        <f t="shared" si="122"/>
        <v>0</v>
      </c>
      <c r="AH207" s="55">
        <f t="shared" si="123"/>
        <v>0</v>
      </c>
      <c r="AI207" s="34" t="s">
        <v>2629</v>
      </c>
      <c r="AJ207" s="63">
        <f t="shared" si="124"/>
        <v>0</v>
      </c>
      <c r="AK207" s="63">
        <f t="shared" si="125"/>
        <v>0</v>
      </c>
      <c r="AL207" s="63">
        <f t="shared" si="126"/>
        <v>0</v>
      </c>
      <c r="AN207" s="55">
        <v>21</v>
      </c>
      <c r="AO207" s="55">
        <f t="shared" si="127"/>
        <v>0</v>
      </c>
      <c r="AP207" s="55">
        <f t="shared" si="128"/>
        <v>0</v>
      </c>
      <c r="AQ207" s="66" t="s">
        <v>125</v>
      </c>
      <c r="AV207" s="55">
        <f t="shared" si="129"/>
        <v>0</v>
      </c>
      <c r="AW207" s="55">
        <f t="shared" si="130"/>
        <v>0</v>
      </c>
      <c r="AX207" s="55">
        <f t="shared" si="131"/>
        <v>0</v>
      </c>
      <c r="AY207" s="58" t="s">
        <v>2992</v>
      </c>
      <c r="AZ207" s="58" t="s">
        <v>2633</v>
      </c>
      <c r="BA207" s="34" t="s">
        <v>2634</v>
      </c>
      <c r="BC207" s="55">
        <f t="shared" si="132"/>
        <v>0</v>
      </c>
      <c r="BD207" s="55">
        <f t="shared" si="133"/>
        <v>0</v>
      </c>
      <c r="BE207" s="55">
        <v>0</v>
      </c>
      <c r="BF207" s="55">
        <f t="shared" si="134"/>
        <v>0</v>
      </c>
      <c r="BH207" s="63">
        <f t="shared" si="135"/>
        <v>0</v>
      </c>
      <c r="BI207" s="63">
        <f t="shared" si="136"/>
        <v>0</v>
      </c>
      <c r="BJ207" s="63">
        <f t="shared" si="137"/>
        <v>0</v>
      </c>
      <c r="BK207" s="63"/>
      <c r="BL207" s="55"/>
      <c r="BW207" s="55">
        <v>21</v>
      </c>
    </row>
    <row r="208" spans="1:75" ht="27" customHeight="1">
      <c r="A208" s="61" t="s">
        <v>557</v>
      </c>
      <c r="B208" s="62" t="s">
        <v>2629</v>
      </c>
      <c r="C208" s="62" t="s">
        <v>3011</v>
      </c>
      <c r="D208" s="224" t="s">
        <v>3012</v>
      </c>
      <c r="E208" s="225"/>
      <c r="F208" s="62" t="s">
        <v>374</v>
      </c>
      <c r="G208" s="63">
        <f>'Stavební rozpočet-vyplnit'!G1586</f>
        <v>1</v>
      </c>
      <c r="H208" s="63">
        <f>'Stavební rozpočet-vyplnit'!H1586</f>
        <v>0</v>
      </c>
      <c r="I208" s="63">
        <f t="shared" si="114"/>
        <v>0</v>
      </c>
      <c r="J208" s="63">
        <f>'Stavební rozpočet-vyplnit'!J1586</f>
        <v>0</v>
      </c>
      <c r="K208" s="63">
        <f t="shared" si="115"/>
        <v>0</v>
      </c>
      <c r="L208" s="65" t="s">
        <v>124</v>
      </c>
      <c r="Z208" s="55">
        <f t="shared" si="116"/>
        <v>0</v>
      </c>
      <c r="AB208" s="55">
        <f t="shared" si="117"/>
        <v>0</v>
      </c>
      <c r="AC208" s="55">
        <f t="shared" si="118"/>
        <v>0</v>
      </c>
      <c r="AD208" s="55">
        <f t="shared" si="119"/>
        <v>0</v>
      </c>
      <c r="AE208" s="55">
        <f t="shared" si="120"/>
        <v>0</v>
      </c>
      <c r="AF208" s="55">
        <f t="shared" si="121"/>
        <v>0</v>
      </c>
      <c r="AG208" s="55">
        <f t="shared" si="122"/>
        <v>0</v>
      </c>
      <c r="AH208" s="55">
        <f t="shared" si="123"/>
        <v>0</v>
      </c>
      <c r="AI208" s="34" t="s">
        <v>2629</v>
      </c>
      <c r="AJ208" s="63">
        <f t="shared" si="124"/>
        <v>0</v>
      </c>
      <c r="AK208" s="63">
        <f t="shared" si="125"/>
        <v>0</v>
      </c>
      <c r="AL208" s="63">
        <f t="shared" si="126"/>
        <v>0</v>
      </c>
      <c r="AN208" s="55">
        <v>21</v>
      </c>
      <c r="AO208" s="55">
        <f t="shared" si="127"/>
        <v>0</v>
      </c>
      <c r="AP208" s="55">
        <f t="shared" si="128"/>
        <v>0</v>
      </c>
      <c r="AQ208" s="66" t="s">
        <v>125</v>
      </c>
      <c r="AV208" s="55">
        <f t="shared" si="129"/>
        <v>0</v>
      </c>
      <c r="AW208" s="55">
        <f t="shared" si="130"/>
        <v>0</v>
      </c>
      <c r="AX208" s="55">
        <f t="shared" si="131"/>
        <v>0</v>
      </c>
      <c r="AY208" s="58" t="s">
        <v>2992</v>
      </c>
      <c r="AZ208" s="58" t="s">
        <v>2633</v>
      </c>
      <c r="BA208" s="34" t="s">
        <v>2634</v>
      </c>
      <c r="BC208" s="55">
        <f t="shared" si="132"/>
        <v>0</v>
      </c>
      <c r="BD208" s="55">
        <f t="shared" si="133"/>
        <v>0</v>
      </c>
      <c r="BE208" s="55">
        <v>0</v>
      </c>
      <c r="BF208" s="55">
        <f t="shared" si="134"/>
        <v>0</v>
      </c>
      <c r="BH208" s="63">
        <f t="shared" si="135"/>
        <v>0</v>
      </c>
      <c r="BI208" s="63">
        <f t="shared" si="136"/>
        <v>0</v>
      </c>
      <c r="BJ208" s="63">
        <f t="shared" si="137"/>
        <v>0</v>
      </c>
      <c r="BK208" s="63"/>
      <c r="BL208" s="55"/>
      <c r="BW208" s="55">
        <v>21</v>
      </c>
    </row>
    <row r="209" spans="1:75" ht="27" customHeight="1">
      <c r="A209" s="61" t="s">
        <v>561</v>
      </c>
      <c r="B209" s="62" t="s">
        <v>2629</v>
      </c>
      <c r="C209" s="62" t="s">
        <v>3013</v>
      </c>
      <c r="D209" s="224" t="s">
        <v>3014</v>
      </c>
      <c r="E209" s="225"/>
      <c r="F209" s="62" t="s">
        <v>374</v>
      </c>
      <c r="G209" s="63">
        <f>'Stavební rozpočet-vyplnit'!G1587</f>
        <v>1</v>
      </c>
      <c r="H209" s="63">
        <f>'Stavební rozpočet-vyplnit'!H1587</f>
        <v>0</v>
      </c>
      <c r="I209" s="63">
        <f t="shared" si="114"/>
        <v>0</v>
      </c>
      <c r="J209" s="63">
        <f>'Stavební rozpočet-vyplnit'!J1587</f>
        <v>0</v>
      </c>
      <c r="K209" s="63">
        <f t="shared" si="115"/>
        <v>0</v>
      </c>
      <c r="L209" s="65" t="s">
        <v>124</v>
      </c>
      <c r="Z209" s="55">
        <f t="shared" si="116"/>
        <v>0</v>
      </c>
      <c r="AB209" s="55">
        <f t="shared" si="117"/>
        <v>0</v>
      </c>
      <c r="AC209" s="55">
        <f t="shared" si="118"/>
        <v>0</v>
      </c>
      <c r="AD209" s="55">
        <f t="shared" si="119"/>
        <v>0</v>
      </c>
      <c r="AE209" s="55">
        <f t="shared" si="120"/>
        <v>0</v>
      </c>
      <c r="AF209" s="55">
        <f t="shared" si="121"/>
        <v>0</v>
      </c>
      <c r="AG209" s="55">
        <f t="shared" si="122"/>
        <v>0</v>
      </c>
      <c r="AH209" s="55">
        <f t="shared" si="123"/>
        <v>0</v>
      </c>
      <c r="AI209" s="34" t="s">
        <v>2629</v>
      </c>
      <c r="AJ209" s="63">
        <f t="shared" si="124"/>
        <v>0</v>
      </c>
      <c r="AK209" s="63">
        <f t="shared" si="125"/>
        <v>0</v>
      </c>
      <c r="AL209" s="63">
        <f t="shared" si="126"/>
        <v>0</v>
      </c>
      <c r="AN209" s="55">
        <v>21</v>
      </c>
      <c r="AO209" s="55">
        <f t="shared" si="127"/>
        <v>0</v>
      </c>
      <c r="AP209" s="55">
        <f t="shared" si="128"/>
        <v>0</v>
      </c>
      <c r="AQ209" s="66" t="s">
        <v>125</v>
      </c>
      <c r="AV209" s="55">
        <f t="shared" si="129"/>
        <v>0</v>
      </c>
      <c r="AW209" s="55">
        <f t="shared" si="130"/>
        <v>0</v>
      </c>
      <c r="AX209" s="55">
        <f t="shared" si="131"/>
        <v>0</v>
      </c>
      <c r="AY209" s="58" t="s">
        <v>2992</v>
      </c>
      <c r="AZ209" s="58" t="s">
        <v>2633</v>
      </c>
      <c r="BA209" s="34" t="s">
        <v>2634</v>
      </c>
      <c r="BC209" s="55">
        <f t="shared" si="132"/>
        <v>0</v>
      </c>
      <c r="BD209" s="55">
        <f t="shared" si="133"/>
        <v>0</v>
      </c>
      <c r="BE209" s="55">
        <v>0</v>
      </c>
      <c r="BF209" s="55">
        <f t="shared" si="134"/>
        <v>0</v>
      </c>
      <c r="BH209" s="63">
        <f t="shared" si="135"/>
        <v>0</v>
      </c>
      <c r="BI209" s="63">
        <f t="shared" si="136"/>
        <v>0</v>
      </c>
      <c r="BJ209" s="63">
        <f t="shared" si="137"/>
        <v>0</v>
      </c>
      <c r="BK209" s="63"/>
      <c r="BL209" s="55"/>
      <c r="BW209" s="55">
        <v>21</v>
      </c>
    </row>
    <row r="210" spans="1:75" ht="27" customHeight="1">
      <c r="A210" s="61" t="s">
        <v>564</v>
      </c>
      <c r="B210" s="62" t="s">
        <v>2629</v>
      </c>
      <c r="C210" s="62" t="s">
        <v>3016</v>
      </c>
      <c r="D210" s="224" t="s">
        <v>3017</v>
      </c>
      <c r="E210" s="225"/>
      <c r="F210" s="62" t="s">
        <v>374</v>
      </c>
      <c r="G210" s="63">
        <f>'Stavební rozpočet-vyplnit'!G1588</f>
        <v>1</v>
      </c>
      <c r="H210" s="63">
        <f>'Stavební rozpočet-vyplnit'!H1588</f>
        <v>0</v>
      </c>
      <c r="I210" s="63">
        <f t="shared" si="114"/>
        <v>0</v>
      </c>
      <c r="J210" s="63">
        <f>'Stavební rozpočet-vyplnit'!J1588</f>
        <v>0</v>
      </c>
      <c r="K210" s="63">
        <f t="shared" si="115"/>
        <v>0</v>
      </c>
      <c r="L210" s="65" t="s">
        <v>124</v>
      </c>
      <c r="Z210" s="55">
        <f t="shared" si="116"/>
        <v>0</v>
      </c>
      <c r="AB210" s="55">
        <f t="shared" si="117"/>
        <v>0</v>
      </c>
      <c r="AC210" s="55">
        <f t="shared" si="118"/>
        <v>0</v>
      </c>
      <c r="AD210" s="55">
        <f t="shared" si="119"/>
        <v>0</v>
      </c>
      <c r="AE210" s="55">
        <f t="shared" si="120"/>
        <v>0</v>
      </c>
      <c r="AF210" s="55">
        <f t="shared" si="121"/>
        <v>0</v>
      </c>
      <c r="AG210" s="55">
        <f t="shared" si="122"/>
        <v>0</v>
      </c>
      <c r="AH210" s="55">
        <f t="shared" si="123"/>
        <v>0</v>
      </c>
      <c r="AI210" s="34" t="s">
        <v>2629</v>
      </c>
      <c r="AJ210" s="63">
        <f t="shared" si="124"/>
        <v>0</v>
      </c>
      <c r="AK210" s="63">
        <f t="shared" si="125"/>
        <v>0</v>
      </c>
      <c r="AL210" s="63">
        <f t="shared" si="126"/>
        <v>0</v>
      </c>
      <c r="AN210" s="55">
        <v>21</v>
      </c>
      <c r="AO210" s="55">
        <f t="shared" si="127"/>
        <v>0</v>
      </c>
      <c r="AP210" s="55">
        <f t="shared" si="128"/>
        <v>0</v>
      </c>
      <c r="AQ210" s="66" t="s">
        <v>125</v>
      </c>
      <c r="AV210" s="55">
        <f t="shared" si="129"/>
        <v>0</v>
      </c>
      <c r="AW210" s="55">
        <f t="shared" si="130"/>
        <v>0</v>
      </c>
      <c r="AX210" s="55">
        <f t="shared" si="131"/>
        <v>0</v>
      </c>
      <c r="AY210" s="58" t="s">
        <v>2992</v>
      </c>
      <c r="AZ210" s="58" t="s">
        <v>2633</v>
      </c>
      <c r="BA210" s="34" t="s">
        <v>2634</v>
      </c>
      <c r="BC210" s="55">
        <f t="shared" si="132"/>
        <v>0</v>
      </c>
      <c r="BD210" s="55">
        <f t="shared" si="133"/>
        <v>0</v>
      </c>
      <c r="BE210" s="55">
        <v>0</v>
      </c>
      <c r="BF210" s="55">
        <f t="shared" si="134"/>
        <v>0</v>
      </c>
      <c r="BH210" s="63">
        <f t="shared" si="135"/>
        <v>0</v>
      </c>
      <c r="BI210" s="63">
        <f t="shared" si="136"/>
        <v>0</v>
      </c>
      <c r="BJ210" s="63">
        <f t="shared" si="137"/>
        <v>0</v>
      </c>
      <c r="BK210" s="63"/>
      <c r="BL210" s="55"/>
      <c r="BW210" s="55">
        <v>21</v>
      </c>
    </row>
    <row r="211" spans="1:75" ht="13.5" customHeight="1">
      <c r="A211" s="61" t="s">
        <v>567</v>
      </c>
      <c r="B211" s="62" t="s">
        <v>2629</v>
      </c>
      <c r="C211" s="62" t="s">
        <v>3019</v>
      </c>
      <c r="D211" s="224" t="s">
        <v>3020</v>
      </c>
      <c r="E211" s="225"/>
      <c r="F211" s="62" t="s">
        <v>374</v>
      </c>
      <c r="G211" s="63">
        <f>'Stavební rozpočet-vyplnit'!G1589</f>
        <v>3</v>
      </c>
      <c r="H211" s="63">
        <f>'Stavební rozpočet-vyplnit'!H1589</f>
        <v>0</v>
      </c>
      <c r="I211" s="63">
        <f t="shared" si="114"/>
        <v>0</v>
      </c>
      <c r="J211" s="63">
        <f>'Stavební rozpočet-vyplnit'!J1589</f>
        <v>0</v>
      </c>
      <c r="K211" s="63">
        <f t="shared" si="115"/>
        <v>0</v>
      </c>
      <c r="L211" s="65" t="s">
        <v>124</v>
      </c>
      <c r="Z211" s="55">
        <f t="shared" si="116"/>
        <v>0</v>
      </c>
      <c r="AB211" s="55">
        <f t="shared" si="117"/>
        <v>0</v>
      </c>
      <c r="AC211" s="55">
        <f t="shared" si="118"/>
        <v>0</v>
      </c>
      <c r="AD211" s="55">
        <f t="shared" si="119"/>
        <v>0</v>
      </c>
      <c r="AE211" s="55">
        <f t="shared" si="120"/>
        <v>0</v>
      </c>
      <c r="AF211" s="55">
        <f t="shared" si="121"/>
        <v>0</v>
      </c>
      <c r="AG211" s="55">
        <f t="shared" si="122"/>
        <v>0</v>
      </c>
      <c r="AH211" s="55">
        <f t="shared" si="123"/>
        <v>0</v>
      </c>
      <c r="AI211" s="34" t="s">
        <v>2629</v>
      </c>
      <c r="AJ211" s="63">
        <f t="shared" si="124"/>
        <v>0</v>
      </c>
      <c r="AK211" s="63">
        <f t="shared" si="125"/>
        <v>0</v>
      </c>
      <c r="AL211" s="63">
        <f t="shared" si="126"/>
        <v>0</v>
      </c>
      <c r="AN211" s="55">
        <v>21</v>
      </c>
      <c r="AO211" s="55">
        <f t="shared" si="127"/>
        <v>0</v>
      </c>
      <c r="AP211" s="55">
        <f t="shared" si="128"/>
        <v>0</v>
      </c>
      <c r="AQ211" s="66" t="s">
        <v>125</v>
      </c>
      <c r="AV211" s="55">
        <f t="shared" si="129"/>
        <v>0</v>
      </c>
      <c r="AW211" s="55">
        <f t="shared" si="130"/>
        <v>0</v>
      </c>
      <c r="AX211" s="55">
        <f t="shared" si="131"/>
        <v>0</v>
      </c>
      <c r="AY211" s="58" t="s">
        <v>2992</v>
      </c>
      <c r="AZ211" s="58" t="s">
        <v>2633</v>
      </c>
      <c r="BA211" s="34" t="s">
        <v>2634</v>
      </c>
      <c r="BC211" s="55">
        <f t="shared" si="132"/>
        <v>0</v>
      </c>
      <c r="BD211" s="55">
        <f t="shared" si="133"/>
        <v>0</v>
      </c>
      <c r="BE211" s="55">
        <v>0</v>
      </c>
      <c r="BF211" s="55">
        <f t="shared" si="134"/>
        <v>0</v>
      </c>
      <c r="BH211" s="63">
        <f t="shared" si="135"/>
        <v>0</v>
      </c>
      <c r="BI211" s="63">
        <f t="shared" si="136"/>
        <v>0</v>
      </c>
      <c r="BJ211" s="63">
        <f t="shared" si="137"/>
        <v>0</v>
      </c>
      <c r="BK211" s="63"/>
      <c r="BL211" s="55"/>
      <c r="BW211" s="55">
        <v>21</v>
      </c>
    </row>
    <row r="212" spans="1:75" ht="13.5" customHeight="1">
      <c r="A212" s="61" t="s">
        <v>571</v>
      </c>
      <c r="B212" s="62" t="s">
        <v>2629</v>
      </c>
      <c r="C212" s="62" t="s">
        <v>3022</v>
      </c>
      <c r="D212" s="224" t="s">
        <v>3023</v>
      </c>
      <c r="E212" s="225"/>
      <c r="F212" s="62" t="s">
        <v>374</v>
      </c>
      <c r="G212" s="63">
        <f>'Stavební rozpočet-vyplnit'!G1590</f>
        <v>6</v>
      </c>
      <c r="H212" s="63">
        <f>'Stavební rozpočet-vyplnit'!H1590</f>
        <v>0</v>
      </c>
      <c r="I212" s="63">
        <f t="shared" si="114"/>
        <v>0</v>
      </c>
      <c r="J212" s="63">
        <f>'Stavební rozpočet-vyplnit'!J1590</f>
        <v>0</v>
      </c>
      <c r="K212" s="63">
        <f t="shared" si="115"/>
        <v>0</v>
      </c>
      <c r="L212" s="65" t="s">
        <v>124</v>
      </c>
      <c r="Z212" s="55">
        <f t="shared" si="116"/>
        <v>0</v>
      </c>
      <c r="AB212" s="55">
        <f t="shared" si="117"/>
        <v>0</v>
      </c>
      <c r="AC212" s="55">
        <f t="shared" si="118"/>
        <v>0</v>
      </c>
      <c r="AD212" s="55">
        <f t="shared" si="119"/>
        <v>0</v>
      </c>
      <c r="AE212" s="55">
        <f t="shared" si="120"/>
        <v>0</v>
      </c>
      <c r="AF212" s="55">
        <f t="shared" si="121"/>
        <v>0</v>
      </c>
      <c r="AG212" s="55">
        <f t="shared" si="122"/>
        <v>0</v>
      </c>
      <c r="AH212" s="55">
        <f t="shared" si="123"/>
        <v>0</v>
      </c>
      <c r="AI212" s="34" t="s">
        <v>2629</v>
      </c>
      <c r="AJ212" s="63">
        <f t="shared" si="124"/>
        <v>0</v>
      </c>
      <c r="AK212" s="63">
        <f t="shared" si="125"/>
        <v>0</v>
      </c>
      <c r="AL212" s="63">
        <f t="shared" si="126"/>
        <v>0</v>
      </c>
      <c r="AN212" s="55">
        <v>21</v>
      </c>
      <c r="AO212" s="55">
        <f t="shared" si="127"/>
        <v>0</v>
      </c>
      <c r="AP212" s="55">
        <f t="shared" si="128"/>
        <v>0</v>
      </c>
      <c r="AQ212" s="66" t="s">
        <v>125</v>
      </c>
      <c r="AV212" s="55">
        <f t="shared" si="129"/>
        <v>0</v>
      </c>
      <c r="AW212" s="55">
        <f t="shared" si="130"/>
        <v>0</v>
      </c>
      <c r="AX212" s="55">
        <f t="shared" si="131"/>
        <v>0</v>
      </c>
      <c r="AY212" s="58" t="s">
        <v>2992</v>
      </c>
      <c r="AZ212" s="58" t="s">
        <v>2633</v>
      </c>
      <c r="BA212" s="34" t="s">
        <v>2634</v>
      </c>
      <c r="BC212" s="55">
        <f t="shared" si="132"/>
        <v>0</v>
      </c>
      <c r="BD212" s="55">
        <f t="shared" si="133"/>
        <v>0</v>
      </c>
      <c r="BE212" s="55">
        <v>0</v>
      </c>
      <c r="BF212" s="55">
        <f t="shared" si="134"/>
        <v>0</v>
      </c>
      <c r="BH212" s="63">
        <f t="shared" si="135"/>
        <v>0</v>
      </c>
      <c r="BI212" s="63">
        <f t="shared" si="136"/>
        <v>0</v>
      </c>
      <c r="BJ212" s="63">
        <f t="shared" si="137"/>
        <v>0</v>
      </c>
      <c r="BK212" s="63"/>
      <c r="BL212" s="55"/>
      <c r="BW212" s="55">
        <v>21</v>
      </c>
    </row>
    <row r="213" spans="1:75" ht="27" customHeight="1">
      <c r="A213" s="61" t="s">
        <v>574</v>
      </c>
      <c r="B213" s="62" t="s">
        <v>2629</v>
      </c>
      <c r="C213" s="62" t="s">
        <v>3024</v>
      </c>
      <c r="D213" s="224" t="s">
        <v>3025</v>
      </c>
      <c r="E213" s="225"/>
      <c r="F213" s="62" t="s">
        <v>374</v>
      </c>
      <c r="G213" s="63">
        <f>'Stavební rozpočet-vyplnit'!G1591</f>
        <v>3</v>
      </c>
      <c r="H213" s="63">
        <f>'Stavební rozpočet-vyplnit'!H1591</f>
        <v>0</v>
      </c>
      <c r="I213" s="63">
        <f t="shared" si="114"/>
        <v>0</v>
      </c>
      <c r="J213" s="63">
        <f>'Stavební rozpočet-vyplnit'!J1591</f>
        <v>0</v>
      </c>
      <c r="K213" s="63">
        <f t="shared" si="115"/>
        <v>0</v>
      </c>
      <c r="L213" s="65" t="s">
        <v>124</v>
      </c>
      <c r="Z213" s="55">
        <f t="shared" si="116"/>
        <v>0</v>
      </c>
      <c r="AB213" s="55">
        <f t="shared" si="117"/>
        <v>0</v>
      </c>
      <c r="AC213" s="55">
        <f t="shared" si="118"/>
        <v>0</v>
      </c>
      <c r="AD213" s="55">
        <f t="shared" si="119"/>
        <v>0</v>
      </c>
      <c r="AE213" s="55">
        <f t="shared" si="120"/>
        <v>0</v>
      </c>
      <c r="AF213" s="55">
        <f t="shared" si="121"/>
        <v>0</v>
      </c>
      <c r="AG213" s="55">
        <f t="shared" si="122"/>
        <v>0</v>
      </c>
      <c r="AH213" s="55">
        <f t="shared" si="123"/>
        <v>0</v>
      </c>
      <c r="AI213" s="34" t="s">
        <v>2629</v>
      </c>
      <c r="AJ213" s="63">
        <f t="shared" si="124"/>
        <v>0</v>
      </c>
      <c r="AK213" s="63">
        <f t="shared" si="125"/>
        <v>0</v>
      </c>
      <c r="AL213" s="63">
        <f t="shared" si="126"/>
        <v>0</v>
      </c>
      <c r="AN213" s="55">
        <v>21</v>
      </c>
      <c r="AO213" s="55">
        <f t="shared" si="127"/>
        <v>0</v>
      </c>
      <c r="AP213" s="55">
        <f t="shared" si="128"/>
        <v>0</v>
      </c>
      <c r="AQ213" s="66" t="s">
        <v>125</v>
      </c>
      <c r="AV213" s="55">
        <f t="shared" si="129"/>
        <v>0</v>
      </c>
      <c r="AW213" s="55">
        <f t="shared" si="130"/>
        <v>0</v>
      </c>
      <c r="AX213" s="55">
        <f t="shared" si="131"/>
        <v>0</v>
      </c>
      <c r="AY213" s="58" t="s">
        <v>2992</v>
      </c>
      <c r="AZ213" s="58" t="s">
        <v>2633</v>
      </c>
      <c r="BA213" s="34" t="s">
        <v>2634</v>
      </c>
      <c r="BC213" s="55">
        <f t="shared" si="132"/>
        <v>0</v>
      </c>
      <c r="BD213" s="55">
        <f t="shared" si="133"/>
        <v>0</v>
      </c>
      <c r="BE213" s="55">
        <v>0</v>
      </c>
      <c r="BF213" s="55">
        <f t="shared" si="134"/>
        <v>0</v>
      </c>
      <c r="BH213" s="63">
        <f t="shared" si="135"/>
        <v>0</v>
      </c>
      <c r="BI213" s="63">
        <f t="shared" si="136"/>
        <v>0</v>
      </c>
      <c r="BJ213" s="63">
        <f t="shared" si="137"/>
        <v>0</v>
      </c>
      <c r="BK213" s="63"/>
      <c r="BL213" s="55"/>
      <c r="BW213" s="55">
        <v>21</v>
      </c>
    </row>
    <row r="214" spans="1:75" ht="27" customHeight="1">
      <c r="A214" s="61" t="s">
        <v>578</v>
      </c>
      <c r="B214" s="62" t="s">
        <v>2629</v>
      </c>
      <c r="C214" s="62" t="s">
        <v>3026</v>
      </c>
      <c r="D214" s="224" t="s">
        <v>3027</v>
      </c>
      <c r="E214" s="225"/>
      <c r="F214" s="62" t="s">
        <v>2936</v>
      </c>
      <c r="G214" s="63">
        <f>'Stavební rozpočet-vyplnit'!G1592</f>
        <v>2</v>
      </c>
      <c r="H214" s="63">
        <f>'Stavební rozpočet-vyplnit'!H1592</f>
        <v>0</v>
      </c>
      <c r="I214" s="63">
        <f t="shared" si="114"/>
        <v>0</v>
      </c>
      <c r="J214" s="63">
        <f>'Stavební rozpočet-vyplnit'!J1592</f>
        <v>0</v>
      </c>
      <c r="K214" s="63">
        <f t="shared" si="115"/>
        <v>0</v>
      </c>
      <c r="L214" s="65" t="s">
        <v>124</v>
      </c>
      <c r="Z214" s="55">
        <f t="shared" si="116"/>
        <v>0</v>
      </c>
      <c r="AB214" s="55">
        <f t="shared" si="117"/>
        <v>0</v>
      </c>
      <c r="AC214" s="55">
        <f t="shared" si="118"/>
        <v>0</v>
      </c>
      <c r="AD214" s="55">
        <f t="shared" si="119"/>
        <v>0</v>
      </c>
      <c r="AE214" s="55">
        <f t="shared" si="120"/>
        <v>0</v>
      </c>
      <c r="AF214" s="55">
        <f t="shared" si="121"/>
        <v>0</v>
      </c>
      <c r="AG214" s="55">
        <f t="shared" si="122"/>
        <v>0</v>
      </c>
      <c r="AH214" s="55">
        <f t="shared" si="123"/>
        <v>0</v>
      </c>
      <c r="AI214" s="34" t="s">
        <v>2629</v>
      </c>
      <c r="AJ214" s="63">
        <f t="shared" si="124"/>
        <v>0</v>
      </c>
      <c r="AK214" s="63">
        <f t="shared" si="125"/>
        <v>0</v>
      </c>
      <c r="AL214" s="63">
        <f t="shared" si="126"/>
        <v>0</v>
      </c>
      <c r="AN214" s="55">
        <v>21</v>
      </c>
      <c r="AO214" s="55">
        <f t="shared" si="127"/>
        <v>0</v>
      </c>
      <c r="AP214" s="55">
        <f t="shared" si="128"/>
        <v>0</v>
      </c>
      <c r="AQ214" s="66" t="s">
        <v>125</v>
      </c>
      <c r="AV214" s="55">
        <f t="shared" si="129"/>
        <v>0</v>
      </c>
      <c r="AW214" s="55">
        <f t="shared" si="130"/>
        <v>0</v>
      </c>
      <c r="AX214" s="55">
        <f t="shared" si="131"/>
        <v>0</v>
      </c>
      <c r="AY214" s="58" t="s">
        <v>2992</v>
      </c>
      <c r="AZ214" s="58" t="s">
        <v>2633</v>
      </c>
      <c r="BA214" s="34" t="s">
        <v>2634</v>
      </c>
      <c r="BC214" s="55">
        <f t="shared" si="132"/>
        <v>0</v>
      </c>
      <c r="BD214" s="55">
        <f t="shared" si="133"/>
        <v>0</v>
      </c>
      <c r="BE214" s="55">
        <v>0</v>
      </c>
      <c r="BF214" s="55">
        <f t="shared" si="134"/>
        <v>0</v>
      </c>
      <c r="BH214" s="63">
        <f t="shared" si="135"/>
        <v>0</v>
      </c>
      <c r="BI214" s="63">
        <f t="shared" si="136"/>
        <v>0</v>
      </c>
      <c r="BJ214" s="63">
        <f t="shared" si="137"/>
        <v>0</v>
      </c>
      <c r="BK214" s="63"/>
      <c r="BL214" s="55"/>
      <c r="BW214" s="55">
        <v>21</v>
      </c>
    </row>
    <row r="215" spans="1:75" ht="27" customHeight="1">
      <c r="A215" s="61" t="s">
        <v>581</v>
      </c>
      <c r="B215" s="62" t="s">
        <v>2629</v>
      </c>
      <c r="C215" s="62" t="s">
        <v>3029</v>
      </c>
      <c r="D215" s="224" t="s">
        <v>3030</v>
      </c>
      <c r="E215" s="225"/>
      <c r="F215" s="62" t="s">
        <v>2936</v>
      </c>
      <c r="G215" s="63">
        <f>'Stavební rozpočet-vyplnit'!G1593</f>
        <v>1</v>
      </c>
      <c r="H215" s="63">
        <f>'Stavební rozpočet-vyplnit'!H1593</f>
        <v>0</v>
      </c>
      <c r="I215" s="63">
        <f t="shared" si="114"/>
        <v>0</v>
      </c>
      <c r="J215" s="63">
        <f>'Stavební rozpočet-vyplnit'!J1593</f>
        <v>0</v>
      </c>
      <c r="K215" s="63">
        <f t="shared" si="115"/>
        <v>0</v>
      </c>
      <c r="L215" s="65" t="s">
        <v>124</v>
      </c>
      <c r="Z215" s="55">
        <f t="shared" si="116"/>
        <v>0</v>
      </c>
      <c r="AB215" s="55">
        <f t="shared" si="117"/>
        <v>0</v>
      </c>
      <c r="AC215" s="55">
        <f t="shared" si="118"/>
        <v>0</v>
      </c>
      <c r="AD215" s="55">
        <f t="shared" si="119"/>
        <v>0</v>
      </c>
      <c r="AE215" s="55">
        <f t="shared" si="120"/>
        <v>0</v>
      </c>
      <c r="AF215" s="55">
        <f t="shared" si="121"/>
        <v>0</v>
      </c>
      <c r="AG215" s="55">
        <f t="shared" si="122"/>
        <v>0</v>
      </c>
      <c r="AH215" s="55">
        <f t="shared" si="123"/>
        <v>0</v>
      </c>
      <c r="AI215" s="34" t="s">
        <v>2629</v>
      </c>
      <c r="AJ215" s="63">
        <f t="shared" si="124"/>
        <v>0</v>
      </c>
      <c r="AK215" s="63">
        <f t="shared" si="125"/>
        <v>0</v>
      </c>
      <c r="AL215" s="63">
        <f t="shared" si="126"/>
        <v>0</v>
      </c>
      <c r="AN215" s="55">
        <v>21</v>
      </c>
      <c r="AO215" s="55">
        <f t="shared" si="127"/>
        <v>0</v>
      </c>
      <c r="AP215" s="55">
        <f t="shared" si="128"/>
        <v>0</v>
      </c>
      <c r="AQ215" s="66" t="s">
        <v>125</v>
      </c>
      <c r="AV215" s="55">
        <f t="shared" si="129"/>
        <v>0</v>
      </c>
      <c r="AW215" s="55">
        <f t="shared" si="130"/>
        <v>0</v>
      </c>
      <c r="AX215" s="55">
        <f t="shared" si="131"/>
        <v>0</v>
      </c>
      <c r="AY215" s="58" t="s">
        <v>2992</v>
      </c>
      <c r="AZ215" s="58" t="s">
        <v>2633</v>
      </c>
      <c r="BA215" s="34" t="s">
        <v>2634</v>
      </c>
      <c r="BC215" s="55">
        <f t="shared" si="132"/>
        <v>0</v>
      </c>
      <c r="BD215" s="55">
        <f t="shared" si="133"/>
        <v>0</v>
      </c>
      <c r="BE215" s="55">
        <v>0</v>
      </c>
      <c r="BF215" s="55">
        <f t="shared" si="134"/>
        <v>0</v>
      </c>
      <c r="BH215" s="63">
        <f t="shared" si="135"/>
        <v>0</v>
      </c>
      <c r="BI215" s="63">
        <f t="shared" si="136"/>
        <v>0</v>
      </c>
      <c r="BJ215" s="63">
        <f t="shared" si="137"/>
        <v>0</v>
      </c>
      <c r="BK215" s="63"/>
      <c r="BL215" s="55"/>
      <c r="BW215" s="55">
        <v>21</v>
      </c>
    </row>
    <row r="216" spans="1:75" ht="13.5" customHeight="1">
      <c r="A216" s="61" t="s">
        <v>584</v>
      </c>
      <c r="B216" s="62" t="s">
        <v>2629</v>
      </c>
      <c r="C216" s="62" t="s">
        <v>3032</v>
      </c>
      <c r="D216" s="224" t="s">
        <v>3033</v>
      </c>
      <c r="E216" s="225"/>
      <c r="F216" s="62" t="s">
        <v>2936</v>
      </c>
      <c r="G216" s="63">
        <f>'Stavební rozpočet-vyplnit'!G1594</f>
        <v>1</v>
      </c>
      <c r="H216" s="63">
        <f>'Stavební rozpočet-vyplnit'!H1594</f>
        <v>0</v>
      </c>
      <c r="I216" s="63">
        <f t="shared" si="114"/>
        <v>0</v>
      </c>
      <c r="J216" s="63">
        <f>'Stavební rozpočet-vyplnit'!J1594</f>
        <v>0</v>
      </c>
      <c r="K216" s="63">
        <f t="shared" si="115"/>
        <v>0</v>
      </c>
      <c r="L216" s="65" t="s">
        <v>124</v>
      </c>
      <c r="Z216" s="55">
        <f t="shared" si="116"/>
        <v>0</v>
      </c>
      <c r="AB216" s="55">
        <f t="shared" si="117"/>
        <v>0</v>
      </c>
      <c r="AC216" s="55">
        <f t="shared" si="118"/>
        <v>0</v>
      </c>
      <c r="AD216" s="55">
        <f t="shared" si="119"/>
        <v>0</v>
      </c>
      <c r="AE216" s="55">
        <f t="shared" si="120"/>
        <v>0</v>
      </c>
      <c r="AF216" s="55">
        <f t="shared" si="121"/>
        <v>0</v>
      </c>
      <c r="AG216" s="55">
        <f t="shared" si="122"/>
        <v>0</v>
      </c>
      <c r="AH216" s="55">
        <f t="shared" si="123"/>
        <v>0</v>
      </c>
      <c r="AI216" s="34" t="s">
        <v>2629</v>
      </c>
      <c r="AJ216" s="63">
        <f t="shared" si="124"/>
        <v>0</v>
      </c>
      <c r="AK216" s="63">
        <f t="shared" si="125"/>
        <v>0</v>
      </c>
      <c r="AL216" s="63">
        <f t="shared" si="126"/>
        <v>0</v>
      </c>
      <c r="AN216" s="55">
        <v>21</v>
      </c>
      <c r="AO216" s="55">
        <f t="shared" si="127"/>
        <v>0</v>
      </c>
      <c r="AP216" s="55">
        <f t="shared" si="128"/>
        <v>0</v>
      </c>
      <c r="AQ216" s="66" t="s">
        <v>125</v>
      </c>
      <c r="AV216" s="55">
        <f t="shared" si="129"/>
        <v>0</v>
      </c>
      <c r="AW216" s="55">
        <f t="shared" si="130"/>
        <v>0</v>
      </c>
      <c r="AX216" s="55">
        <f t="shared" si="131"/>
        <v>0</v>
      </c>
      <c r="AY216" s="58" t="s">
        <v>2992</v>
      </c>
      <c r="AZ216" s="58" t="s">
        <v>2633</v>
      </c>
      <c r="BA216" s="34" t="s">
        <v>2634</v>
      </c>
      <c r="BC216" s="55">
        <f t="shared" si="132"/>
        <v>0</v>
      </c>
      <c r="BD216" s="55">
        <f t="shared" si="133"/>
        <v>0</v>
      </c>
      <c r="BE216" s="55">
        <v>0</v>
      </c>
      <c r="BF216" s="55">
        <f t="shared" si="134"/>
        <v>0</v>
      </c>
      <c r="BH216" s="63">
        <f t="shared" si="135"/>
        <v>0</v>
      </c>
      <c r="BI216" s="63">
        <f t="shared" si="136"/>
        <v>0</v>
      </c>
      <c r="BJ216" s="63">
        <f t="shared" si="137"/>
        <v>0</v>
      </c>
      <c r="BK216" s="63"/>
      <c r="BL216" s="55"/>
      <c r="BW216" s="55">
        <v>21</v>
      </c>
    </row>
    <row r="217" spans="1:75" ht="13.5" customHeight="1">
      <c r="A217" s="61" t="s">
        <v>587</v>
      </c>
      <c r="B217" s="62" t="s">
        <v>2629</v>
      </c>
      <c r="C217" s="62" t="s">
        <v>3035</v>
      </c>
      <c r="D217" s="224" t="s">
        <v>3036</v>
      </c>
      <c r="E217" s="225"/>
      <c r="F217" s="62" t="s">
        <v>2936</v>
      </c>
      <c r="G217" s="63">
        <f>'Stavební rozpočet-vyplnit'!G1595</f>
        <v>3</v>
      </c>
      <c r="H217" s="63">
        <f>'Stavební rozpočet-vyplnit'!H1595</f>
        <v>0</v>
      </c>
      <c r="I217" s="63">
        <f t="shared" si="114"/>
        <v>0</v>
      </c>
      <c r="J217" s="63">
        <f>'Stavební rozpočet-vyplnit'!J1595</f>
        <v>0</v>
      </c>
      <c r="K217" s="63">
        <f t="shared" si="115"/>
        <v>0</v>
      </c>
      <c r="L217" s="65" t="s">
        <v>124</v>
      </c>
      <c r="Z217" s="55">
        <f t="shared" si="116"/>
        <v>0</v>
      </c>
      <c r="AB217" s="55">
        <f t="shared" si="117"/>
        <v>0</v>
      </c>
      <c r="AC217" s="55">
        <f t="shared" si="118"/>
        <v>0</v>
      </c>
      <c r="AD217" s="55">
        <f t="shared" si="119"/>
        <v>0</v>
      </c>
      <c r="AE217" s="55">
        <f t="shared" si="120"/>
        <v>0</v>
      </c>
      <c r="AF217" s="55">
        <f t="shared" si="121"/>
        <v>0</v>
      </c>
      <c r="AG217" s="55">
        <f t="shared" si="122"/>
        <v>0</v>
      </c>
      <c r="AH217" s="55">
        <f t="shared" si="123"/>
        <v>0</v>
      </c>
      <c r="AI217" s="34" t="s">
        <v>2629</v>
      </c>
      <c r="AJ217" s="63">
        <f t="shared" si="124"/>
        <v>0</v>
      </c>
      <c r="AK217" s="63">
        <f t="shared" si="125"/>
        <v>0</v>
      </c>
      <c r="AL217" s="63">
        <f t="shared" si="126"/>
        <v>0</v>
      </c>
      <c r="AN217" s="55">
        <v>21</v>
      </c>
      <c r="AO217" s="55">
        <f t="shared" si="127"/>
        <v>0</v>
      </c>
      <c r="AP217" s="55">
        <f t="shared" si="128"/>
        <v>0</v>
      </c>
      <c r="AQ217" s="66" t="s">
        <v>125</v>
      </c>
      <c r="AV217" s="55">
        <f t="shared" si="129"/>
        <v>0</v>
      </c>
      <c r="AW217" s="55">
        <f t="shared" si="130"/>
        <v>0</v>
      </c>
      <c r="AX217" s="55">
        <f t="shared" si="131"/>
        <v>0</v>
      </c>
      <c r="AY217" s="58" t="s">
        <v>2992</v>
      </c>
      <c r="AZ217" s="58" t="s">
        <v>2633</v>
      </c>
      <c r="BA217" s="34" t="s">
        <v>2634</v>
      </c>
      <c r="BC217" s="55">
        <f t="shared" si="132"/>
        <v>0</v>
      </c>
      <c r="BD217" s="55">
        <f t="shared" si="133"/>
        <v>0</v>
      </c>
      <c r="BE217" s="55">
        <v>0</v>
      </c>
      <c r="BF217" s="55">
        <f t="shared" si="134"/>
        <v>0</v>
      </c>
      <c r="BH217" s="63">
        <f t="shared" si="135"/>
        <v>0</v>
      </c>
      <c r="BI217" s="63">
        <f t="shared" si="136"/>
        <v>0</v>
      </c>
      <c r="BJ217" s="63">
        <f t="shared" si="137"/>
        <v>0</v>
      </c>
      <c r="BK217" s="63"/>
      <c r="BL217" s="55"/>
      <c r="BW217" s="55">
        <v>21</v>
      </c>
    </row>
    <row r="218" spans="1:75" ht="13.5" customHeight="1">
      <c r="A218" s="61" t="s">
        <v>590</v>
      </c>
      <c r="B218" s="62" t="s">
        <v>2629</v>
      </c>
      <c r="C218" s="62" t="s">
        <v>3037</v>
      </c>
      <c r="D218" s="224" t="s">
        <v>3038</v>
      </c>
      <c r="E218" s="225"/>
      <c r="F218" s="62" t="s">
        <v>2936</v>
      </c>
      <c r="G218" s="63">
        <f>'Stavební rozpočet-vyplnit'!G1596</f>
        <v>1</v>
      </c>
      <c r="H218" s="63">
        <f>'Stavební rozpočet-vyplnit'!H1596</f>
        <v>0</v>
      </c>
      <c r="I218" s="63">
        <f t="shared" si="114"/>
        <v>0</v>
      </c>
      <c r="J218" s="63">
        <f>'Stavební rozpočet-vyplnit'!J1596</f>
        <v>0</v>
      </c>
      <c r="K218" s="63">
        <f t="shared" si="115"/>
        <v>0</v>
      </c>
      <c r="L218" s="65" t="s">
        <v>124</v>
      </c>
      <c r="Z218" s="55">
        <f t="shared" si="116"/>
        <v>0</v>
      </c>
      <c r="AB218" s="55">
        <f t="shared" si="117"/>
        <v>0</v>
      </c>
      <c r="AC218" s="55">
        <f t="shared" si="118"/>
        <v>0</v>
      </c>
      <c r="AD218" s="55">
        <f t="shared" si="119"/>
        <v>0</v>
      </c>
      <c r="AE218" s="55">
        <f t="shared" si="120"/>
        <v>0</v>
      </c>
      <c r="AF218" s="55">
        <f t="shared" si="121"/>
        <v>0</v>
      </c>
      <c r="AG218" s="55">
        <f t="shared" si="122"/>
        <v>0</v>
      </c>
      <c r="AH218" s="55">
        <f t="shared" si="123"/>
        <v>0</v>
      </c>
      <c r="AI218" s="34" t="s">
        <v>2629</v>
      </c>
      <c r="AJ218" s="63">
        <f t="shared" si="124"/>
        <v>0</v>
      </c>
      <c r="AK218" s="63">
        <f t="shared" si="125"/>
        <v>0</v>
      </c>
      <c r="AL218" s="63">
        <f t="shared" si="126"/>
        <v>0</v>
      </c>
      <c r="AN218" s="55">
        <v>21</v>
      </c>
      <c r="AO218" s="55">
        <f t="shared" si="127"/>
        <v>0</v>
      </c>
      <c r="AP218" s="55">
        <f t="shared" si="128"/>
        <v>0</v>
      </c>
      <c r="AQ218" s="66" t="s">
        <v>125</v>
      </c>
      <c r="AV218" s="55">
        <f t="shared" si="129"/>
        <v>0</v>
      </c>
      <c r="AW218" s="55">
        <f t="shared" si="130"/>
        <v>0</v>
      </c>
      <c r="AX218" s="55">
        <f t="shared" si="131"/>
        <v>0</v>
      </c>
      <c r="AY218" s="58" t="s">
        <v>2992</v>
      </c>
      <c r="AZ218" s="58" t="s">
        <v>2633</v>
      </c>
      <c r="BA218" s="34" t="s">
        <v>2634</v>
      </c>
      <c r="BC218" s="55">
        <f t="shared" si="132"/>
        <v>0</v>
      </c>
      <c r="BD218" s="55">
        <f t="shared" si="133"/>
        <v>0</v>
      </c>
      <c r="BE218" s="55">
        <v>0</v>
      </c>
      <c r="BF218" s="55">
        <f t="shared" si="134"/>
        <v>0</v>
      </c>
      <c r="BH218" s="63">
        <f t="shared" si="135"/>
        <v>0</v>
      </c>
      <c r="BI218" s="63">
        <f t="shared" si="136"/>
        <v>0</v>
      </c>
      <c r="BJ218" s="63">
        <f t="shared" si="137"/>
        <v>0</v>
      </c>
      <c r="BK218" s="63"/>
      <c r="BL218" s="55"/>
      <c r="BW218" s="55">
        <v>21</v>
      </c>
    </row>
    <row r="219" spans="1:75" ht="27" customHeight="1">
      <c r="A219" s="61" t="s">
        <v>593</v>
      </c>
      <c r="B219" s="62" t="s">
        <v>2629</v>
      </c>
      <c r="C219" s="62" t="s">
        <v>3040</v>
      </c>
      <c r="D219" s="224" t="s">
        <v>3041</v>
      </c>
      <c r="E219" s="225"/>
      <c r="F219" s="62" t="s">
        <v>2936</v>
      </c>
      <c r="G219" s="63">
        <f>'Stavební rozpočet-vyplnit'!G1597</f>
        <v>1</v>
      </c>
      <c r="H219" s="63">
        <f>'Stavební rozpočet-vyplnit'!H1597</f>
        <v>0</v>
      </c>
      <c r="I219" s="63">
        <f t="shared" si="114"/>
        <v>0</v>
      </c>
      <c r="J219" s="63">
        <f>'Stavební rozpočet-vyplnit'!J1597</f>
        <v>0</v>
      </c>
      <c r="K219" s="63">
        <f t="shared" si="115"/>
        <v>0</v>
      </c>
      <c r="L219" s="65" t="s">
        <v>124</v>
      </c>
      <c r="Z219" s="55">
        <f t="shared" si="116"/>
        <v>0</v>
      </c>
      <c r="AB219" s="55">
        <f t="shared" si="117"/>
        <v>0</v>
      </c>
      <c r="AC219" s="55">
        <f t="shared" si="118"/>
        <v>0</v>
      </c>
      <c r="AD219" s="55">
        <f t="shared" si="119"/>
        <v>0</v>
      </c>
      <c r="AE219" s="55">
        <f t="shared" si="120"/>
        <v>0</v>
      </c>
      <c r="AF219" s="55">
        <f t="shared" si="121"/>
        <v>0</v>
      </c>
      <c r="AG219" s="55">
        <f t="shared" si="122"/>
        <v>0</v>
      </c>
      <c r="AH219" s="55">
        <f t="shared" si="123"/>
        <v>0</v>
      </c>
      <c r="AI219" s="34" t="s">
        <v>2629</v>
      </c>
      <c r="AJ219" s="63">
        <f t="shared" si="124"/>
        <v>0</v>
      </c>
      <c r="AK219" s="63">
        <f t="shared" si="125"/>
        <v>0</v>
      </c>
      <c r="AL219" s="63">
        <f t="shared" si="126"/>
        <v>0</v>
      </c>
      <c r="AN219" s="55">
        <v>21</v>
      </c>
      <c r="AO219" s="55">
        <f t="shared" si="127"/>
        <v>0</v>
      </c>
      <c r="AP219" s="55">
        <f t="shared" si="128"/>
        <v>0</v>
      </c>
      <c r="AQ219" s="66" t="s">
        <v>125</v>
      </c>
      <c r="AV219" s="55">
        <f t="shared" si="129"/>
        <v>0</v>
      </c>
      <c r="AW219" s="55">
        <f t="shared" si="130"/>
        <v>0</v>
      </c>
      <c r="AX219" s="55">
        <f t="shared" si="131"/>
        <v>0</v>
      </c>
      <c r="AY219" s="58" t="s">
        <v>2992</v>
      </c>
      <c r="AZ219" s="58" t="s">
        <v>2633</v>
      </c>
      <c r="BA219" s="34" t="s">
        <v>2634</v>
      </c>
      <c r="BC219" s="55">
        <f t="shared" si="132"/>
        <v>0</v>
      </c>
      <c r="BD219" s="55">
        <f t="shared" si="133"/>
        <v>0</v>
      </c>
      <c r="BE219" s="55">
        <v>0</v>
      </c>
      <c r="BF219" s="55">
        <f t="shared" si="134"/>
        <v>0</v>
      </c>
      <c r="BH219" s="63">
        <f t="shared" si="135"/>
        <v>0</v>
      </c>
      <c r="BI219" s="63">
        <f t="shared" si="136"/>
        <v>0</v>
      </c>
      <c r="BJ219" s="63">
        <f t="shared" si="137"/>
        <v>0</v>
      </c>
      <c r="BK219" s="63"/>
      <c r="BL219" s="55"/>
      <c r="BW219" s="55">
        <v>21</v>
      </c>
    </row>
    <row r="220" spans="1:75" ht="27" customHeight="1">
      <c r="A220" s="61" t="s">
        <v>595</v>
      </c>
      <c r="B220" s="62" t="s">
        <v>2629</v>
      </c>
      <c r="C220" s="62" t="s">
        <v>3043</v>
      </c>
      <c r="D220" s="224" t="s">
        <v>3044</v>
      </c>
      <c r="E220" s="225"/>
      <c r="F220" s="62" t="s">
        <v>2936</v>
      </c>
      <c r="G220" s="63">
        <f>'Stavební rozpočet-vyplnit'!G1598</f>
        <v>1</v>
      </c>
      <c r="H220" s="63">
        <f>'Stavební rozpočet-vyplnit'!H1598</f>
        <v>0</v>
      </c>
      <c r="I220" s="63">
        <f t="shared" si="114"/>
        <v>0</v>
      </c>
      <c r="J220" s="63">
        <f>'Stavební rozpočet-vyplnit'!J1598</f>
        <v>0</v>
      </c>
      <c r="K220" s="63">
        <f t="shared" si="115"/>
        <v>0</v>
      </c>
      <c r="L220" s="65" t="s">
        <v>124</v>
      </c>
      <c r="Z220" s="55">
        <f t="shared" si="116"/>
        <v>0</v>
      </c>
      <c r="AB220" s="55">
        <f t="shared" si="117"/>
        <v>0</v>
      </c>
      <c r="AC220" s="55">
        <f t="shared" si="118"/>
        <v>0</v>
      </c>
      <c r="AD220" s="55">
        <f t="shared" si="119"/>
        <v>0</v>
      </c>
      <c r="AE220" s="55">
        <f t="shared" si="120"/>
        <v>0</v>
      </c>
      <c r="AF220" s="55">
        <f t="shared" si="121"/>
        <v>0</v>
      </c>
      <c r="AG220" s="55">
        <f t="shared" si="122"/>
        <v>0</v>
      </c>
      <c r="AH220" s="55">
        <f t="shared" si="123"/>
        <v>0</v>
      </c>
      <c r="AI220" s="34" t="s">
        <v>2629</v>
      </c>
      <c r="AJ220" s="63">
        <f t="shared" si="124"/>
        <v>0</v>
      </c>
      <c r="AK220" s="63">
        <f t="shared" si="125"/>
        <v>0</v>
      </c>
      <c r="AL220" s="63">
        <f t="shared" si="126"/>
        <v>0</v>
      </c>
      <c r="AN220" s="55">
        <v>21</v>
      </c>
      <c r="AO220" s="55">
        <f t="shared" si="127"/>
        <v>0</v>
      </c>
      <c r="AP220" s="55">
        <f t="shared" si="128"/>
        <v>0</v>
      </c>
      <c r="AQ220" s="66" t="s">
        <v>125</v>
      </c>
      <c r="AV220" s="55">
        <f t="shared" si="129"/>
        <v>0</v>
      </c>
      <c r="AW220" s="55">
        <f t="shared" si="130"/>
        <v>0</v>
      </c>
      <c r="AX220" s="55">
        <f t="shared" si="131"/>
        <v>0</v>
      </c>
      <c r="AY220" s="58" t="s">
        <v>2992</v>
      </c>
      <c r="AZ220" s="58" t="s">
        <v>2633</v>
      </c>
      <c r="BA220" s="34" t="s">
        <v>2634</v>
      </c>
      <c r="BC220" s="55">
        <f t="shared" si="132"/>
        <v>0</v>
      </c>
      <c r="BD220" s="55">
        <f t="shared" si="133"/>
        <v>0</v>
      </c>
      <c r="BE220" s="55">
        <v>0</v>
      </c>
      <c r="BF220" s="55">
        <f t="shared" si="134"/>
        <v>0</v>
      </c>
      <c r="BH220" s="63">
        <f t="shared" si="135"/>
        <v>0</v>
      </c>
      <c r="BI220" s="63">
        <f t="shared" si="136"/>
        <v>0</v>
      </c>
      <c r="BJ220" s="63">
        <f t="shared" si="137"/>
        <v>0</v>
      </c>
      <c r="BK220" s="63"/>
      <c r="BL220" s="55"/>
      <c r="BW220" s="55">
        <v>21</v>
      </c>
    </row>
    <row r="221" spans="1:75" ht="13.5" customHeight="1">
      <c r="A221" s="61" t="s">
        <v>600</v>
      </c>
      <c r="B221" s="62" t="s">
        <v>2629</v>
      </c>
      <c r="C221" s="62" t="s">
        <v>3046</v>
      </c>
      <c r="D221" s="224" t="s">
        <v>3047</v>
      </c>
      <c r="E221" s="225"/>
      <c r="F221" s="62" t="s">
        <v>2936</v>
      </c>
      <c r="G221" s="63">
        <f>'Stavební rozpočet-vyplnit'!G1599</f>
        <v>1</v>
      </c>
      <c r="H221" s="63">
        <f>'Stavební rozpočet-vyplnit'!H1599</f>
        <v>0</v>
      </c>
      <c r="I221" s="63">
        <f t="shared" si="114"/>
        <v>0</v>
      </c>
      <c r="J221" s="63">
        <f>'Stavební rozpočet-vyplnit'!J1599</f>
        <v>0</v>
      </c>
      <c r="K221" s="63">
        <f t="shared" si="115"/>
        <v>0</v>
      </c>
      <c r="L221" s="65" t="s">
        <v>124</v>
      </c>
      <c r="Z221" s="55">
        <f t="shared" si="116"/>
        <v>0</v>
      </c>
      <c r="AB221" s="55">
        <f t="shared" si="117"/>
        <v>0</v>
      </c>
      <c r="AC221" s="55">
        <f t="shared" si="118"/>
        <v>0</v>
      </c>
      <c r="AD221" s="55">
        <f t="shared" si="119"/>
        <v>0</v>
      </c>
      <c r="AE221" s="55">
        <f t="shared" si="120"/>
        <v>0</v>
      </c>
      <c r="AF221" s="55">
        <f t="shared" si="121"/>
        <v>0</v>
      </c>
      <c r="AG221" s="55">
        <f t="shared" si="122"/>
        <v>0</v>
      </c>
      <c r="AH221" s="55">
        <f t="shared" si="123"/>
        <v>0</v>
      </c>
      <c r="AI221" s="34" t="s">
        <v>2629</v>
      </c>
      <c r="AJ221" s="63">
        <f t="shared" si="124"/>
        <v>0</v>
      </c>
      <c r="AK221" s="63">
        <f t="shared" si="125"/>
        <v>0</v>
      </c>
      <c r="AL221" s="63">
        <f t="shared" si="126"/>
        <v>0</v>
      </c>
      <c r="AN221" s="55">
        <v>21</v>
      </c>
      <c r="AO221" s="55">
        <f t="shared" si="127"/>
        <v>0</v>
      </c>
      <c r="AP221" s="55">
        <f t="shared" si="128"/>
        <v>0</v>
      </c>
      <c r="AQ221" s="66" t="s">
        <v>125</v>
      </c>
      <c r="AV221" s="55">
        <f t="shared" si="129"/>
        <v>0</v>
      </c>
      <c r="AW221" s="55">
        <f t="shared" si="130"/>
        <v>0</v>
      </c>
      <c r="AX221" s="55">
        <f t="shared" si="131"/>
        <v>0</v>
      </c>
      <c r="AY221" s="58" t="s">
        <v>2992</v>
      </c>
      <c r="AZ221" s="58" t="s">
        <v>2633</v>
      </c>
      <c r="BA221" s="34" t="s">
        <v>2634</v>
      </c>
      <c r="BC221" s="55">
        <f t="shared" si="132"/>
        <v>0</v>
      </c>
      <c r="BD221" s="55">
        <f t="shared" si="133"/>
        <v>0</v>
      </c>
      <c r="BE221" s="55">
        <v>0</v>
      </c>
      <c r="BF221" s="55">
        <f t="shared" si="134"/>
        <v>0</v>
      </c>
      <c r="BH221" s="63">
        <f t="shared" si="135"/>
        <v>0</v>
      </c>
      <c r="BI221" s="63">
        <f t="shared" si="136"/>
        <v>0</v>
      </c>
      <c r="BJ221" s="63">
        <f t="shared" si="137"/>
        <v>0</v>
      </c>
      <c r="BK221" s="63"/>
      <c r="BL221" s="55"/>
      <c r="BW221" s="55">
        <v>21</v>
      </c>
    </row>
    <row r="222" spans="1:75" ht="27" customHeight="1">
      <c r="A222" s="61" t="s">
        <v>604</v>
      </c>
      <c r="B222" s="62" t="s">
        <v>2629</v>
      </c>
      <c r="C222" s="62" t="s">
        <v>3049</v>
      </c>
      <c r="D222" s="224" t="s">
        <v>3050</v>
      </c>
      <c r="E222" s="225"/>
      <c r="F222" s="62" t="s">
        <v>2936</v>
      </c>
      <c r="G222" s="63">
        <f>'Stavební rozpočet-vyplnit'!G1600</f>
        <v>2</v>
      </c>
      <c r="H222" s="63">
        <f>'Stavební rozpočet-vyplnit'!H1600</f>
        <v>0</v>
      </c>
      <c r="I222" s="63">
        <f t="shared" si="114"/>
        <v>0</v>
      </c>
      <c r="J222" s="63">
        <f>'Stavební rozpočet-vyplnit'!J1600</f>
        <v>0</v>
      </c>
      <c r="K222" s="63">
        <f t="shared" si="115"/>
        <v>0</v>
      </c>
      <c r="L222" s="65" t="s">
        <v>124</v>
      </c>
      <c r="Z222" s="55">
        <f t="shared" si="116"/>
        <v>0</v>
      </c>
      <c r="AB222" s="55">
        <f t="shared" si="117"/>
        <v>0</v>
      </c>
      <c r="AC222" s="55">
        <f t="shared" si="118"/>
        <v>0</v>
      </c>
      <c r="AD222" s="55">
        <f t="shared" si="119"/>
        <v>0</v>
      </c>
      <c r="AE222" s="55">
        <f t="shared" si="120"/>
        <v>0</v>
      </c>
      <c r="AF222" s="55">
        <f t="shared" si="121"/>
        <v>0</v>
      </c>
      <c r="AG222" s="55">
        <f t="shared" si="122"/>
        <v>0</v>
      </c>
      <c r="AH222" s="55">
        <f t="shared" si="123"/>
        <v>0</v>
      </c>
      <c r="AI222" s="34" t="s">
        <v>2629</v>
      </c>
      <c r="AJ222" s="63">
        <f t="shared" si="124"/>
        <v>0</v>
      </c>
      <c r="AK222" s="63">
        <f t="shared" si="125"/>
        <v>0</v>
      </c>
      <c r="AL222" s="63">
        <f t="shared" si="126"/>
        <v>0</v>
      </c>
      <c r="AN222" s="55">
        <v>21</v>
      </c>
      <c r="AO222" s="55">
        <f t="shared" si="127"/>
        <v>0</v>
      </c>
      <c r="AP222" s="55">
        <f t="shared" si="128"/>
        <v>0</v>
      </c>
      <c r="AQ222" s="66" t="s">
        <v>125</v>
      </c>
      <c r="AV222" s="55">
        <f t="shared" si="129"/>
        <v>0</v>
      </c>
      <c r="AW222" s="55">
        <f t="shared" si="130"/>
        <v>0</v>
      </c>
      <c r="AX222" s="55">
        <f t="shared" si="131"/>
        <v>0</v>
      </c>
      <c r="AY222" s="58" t="s">
        <v>2992</v>
      </c>
      <c r="AZ222" s="58" t="s">
        <v>2633</v>
      </c>
      <c r="BA222" s="34" t="s">
        <v>2634</v>
      </c>
      <c r="BC222" s="55">
        <f t="shared" si="132"/>
        <v>0</v>
      </c>
      <c r="BD222" s="55">
        <f t="shared" si="133"/>
        <v>0</v>
      </c>
      <c r="BE222" s="55">
        <v>0</v>
      </c>
      <c r="BF222" s="55">
        <f t="shared" si="134"/>
        <v>0</v>
      </c>
      <c r="BH222" s="63">
        <f t="shared" si="135"/>
        <v>0</v>
      </c>
      <c r="BI222" s="63">
        <f t="shared" si="136"/>
        <v>0</v>
      </c>
      <c r="BJ222" s="63">
        <f t="shared" si="137"/>
        <v>0</v>
      </c>
      <c r="BK222" s="63"/>
      <c r="BL222" s="55"/>
      <c r="BW222" s="55">
        <v>21</v>
      </c>
    </row>
    <row r="223" spans="1:75" ht="13.5" customHeight="1">
      <c r="A223" s="61" t="s">
        <v>607</v>
      </c>
      <c r="B223" s="62" t="s">
        <v>2629</v>
      </c>
      <c r="C223" s="62" t="s">
        <v>3051</v>
      </c>
      <c r="D223" s="224" t="s">
        <v>3052</v>
      </c>
      <c r="E223" s="225"/>
      <c r="F223" s="62" t="s">
        <v>2936</v>
      </c>
      <c r="G223" s="63">
        <f>'Stavební rozpočet-vyplnit'!G1601</f>
        <v>6</v>
      </c>
      <c r="H223" s="63">
        <f>'Stavební rozpočet-vyplnit'!H1601</f>
        <v>0</v>
      </c>
      <c r="I223" s="63">
        <f t="shared" si="114"/>
        <v>0</v>
      </c>
      <c r="J223" s="63">
        <f>'Stavební rozpočet-vyplnit'!J1601</f>
        <v>0</v>
      </c>
      <c r="K223" s="63">
        <f t="shared" si="115"/>
        <v>0</v>
      </c>
      <c r="L223" s="65" t="s">
        <v>124</v>
      </c>
      <c r="Z223" s="55">
        <f t="shared" si="116"/>
        <v>0</v>
      </c>
      <c r="AB223" s="55">
        <f t="shared" si="117"/>
        <v>0</v>
      </c>
      <c r="AC223" s="55">
        <f t="shared" si="118"/>
        <v>0</v>
      </c>
      <c r="AD223" s="55">
        <f t="shared" si="119"/>
        <v>0</v>
      </c>
      <c r="AE223" s="55">
        <f t="shared" si="120"/>
        <v>0</v>
      </c>
      <c r="AF223" s="55">
        <f t="shared" si="121"/>
        <v>0</v>
      </c>
      <c r="AG223" s="55">
        <f t="shared" si="122"/>
        <v>0</v>
      </c>
      <c r="AH223" s="55">
        <f t="shared" si="123"/>
        <v>0</v>
      </c>
      <c r="AI223" s="34" t="s">
        <v>2629</v>
      </c>
      <c r="AJ223" s="63">
        <f t="shared" si="124"/>
        <v>0</v>
      </c>
      <c r="AK223" s="63">
        <f t="shared" si="125"/>
        <v>0</v>
      </c>
      <c r="AL223" s="63">
        <f t="shared" si="126"/>
        <v>0</v>
      </c>
      <c r="AN223" s="55">
        <v>21</v>
      </c>
      <c r="AO223" s="55">
        <f t="shared" si="127"/>
        <v>0</v>
      </c>
      <c r="AP223" s="55">
        <f t="shared" si="128"/>
        <v>0</v>
      </c>
      <c r="AQ223" s="66" t="s">
        <v>125</v>
      </c>
      <c r="AV223" s="55">
        <f t="shared" si="129"/>
        <v>0</v>
      </c>
      <c r="AW223" s="55">
        <f t="shared" si="130"/>
        <v>0</v>
      </c>
      <c r="AX223" s="55">
        <f t="shared" si="131"/>
        <v>0</v>
      </c>
      <c r="AY223" s="58" t="s">
        <v>2992</v>
      </c>
      <c r="AZ223" s="58" t="s">
        <v>2633</v>
      </c>
      <c r="BA223" s="34" t="s">
        <v>2634</v>
      </c>
      <c r="BC223" s="55">
        <f t="shared" si="132"/>
        <v>0</v>
      </c>
      <c r="BD223" s="55">
        <f t="shared" si="133"/>
        <v>0</v>
      </c>
      <c r="BE223" s="55">
        <v>0</v>
      </c>
      <c r="BF223" s="55">
        <f t="shared" si="134"/>
        <v>0</v>
      </c>
      <c r="BH223" s="63">
        <f t="shared" si="135"/>
        <v>0</v>
      </c>
      <c r="BI223" s="63">
        <f t="shared" si="136"/>
        <v>0</v>
      </c>
      <c r="BJ223" s="63">
        <f t="shared" si="137"/>
        <v>0</v>
      </c>
      <c r="BK223" s="63"/>
      <c r="BL223" s="55"/>
      <c r="BW223" s="55">
        <v>21</v>
      </c>
    </row>
    <row r="224" spans="1:75" ht="27" customHeight="1">
      <c r="A224" s="61" t="s">
        <v>610</v>
      </c>
      <c r="B224" s="62" t="s">
        <v>2629</v>
      </c>
      <c r="C224" s="62" t="s">
        <v>3054</v>
      </c>
      <c r="D224" s="224" t="s">
        <v>3055</v>
      </c>
      <c r="E224" s="225"/>
      <c r="F224" s="62" t="s">
        <v>2936</v>
      </c>
      <c r="G224" s="63">
        <f>'Stavební rozpočet-vyplnit'!G1602</f>
        <v>1</v>
      </c>
      <c r="H224" s="63">
        <f>'Stavební rozpočet-vyplnit'!H1602</f>
        <v>0</v>
      </c>
      <c r="I224" s="63">
        <f t="shared" si="114"/>
        <v>0</v>
      </c>
      <c r="J224" s="63">
        <f>'Stavební rozpočet-vyplnit'!J1602</f>
        <v>0</v>
      </c>
      <c r="K224" s="63">
        <f t="shared" si="115"/>
        <v>0</v>
      </c>
      <c r="L224" s="65" t="s">
        <v>124</v>
      </c>
      <c r="Z224" s="55">
        <f t="shared" si="116"/>
        <v>0</v>
      </c>
      <c r="AB224" s="55">
        <f t="shared" si="117"/>
        <v>0</v>
      </c>
      <c r="AC224" s="55">
        <f t="shared" si="118"/>
        <v>0</v>
      </c>
      <c r="AD224" s="55">
        <f t="shared" si="119"/>
        <v>0</v>
      </c>
      <c r="AE224" s="55">
        <f t="shared" si="120"/>
        <v>0</v>
      </c>
      <c r="AF224" s="55">
        <f t="shared" si="121"/>
        <v>0</v>
      </c>
      <c r="AG224" s="55">
        <f t="shared" si="122"/>
        <v>0</v>
      </c>
      <c r="AH224" s="55">
        <f t="shared" si="123"/>
        <v>0</v>
      </c>
      <c r="AI224" s="34" t="s">
        <v>2629</v>
      </c>
      <c r="AJ224" s="63">
        <f t="shared" si="124"/>
        <v>0</v>
      </c>
      <c r="AK224" s="63">
        <f t="shared" si="125"/>
        <v>0</v>
      </c>
      <c r="AL224" s="63">
        <f t="shared" si="126"/>
        <v>0</v>
      </c>
      <c r="AN224" s="55">
        <v>21</v>
      </c>
      <c r="AO224" s="55">
        <f t="shared" si="127"/>
        <v>0</v>
      </c>
      <c r="AP224" s="55">
        <f t="shared" si="128"/>
        <v>0</v>
      </c>
      <c r="AQ224" s="66" t="s">
        <v>125</v>
      </c>
      <c r="AV224" s="55">
        <f t="shared" si="129"/>
        <v>0</v>
      </c>
      <c r="AW224" s="55">
        <f t="shared" si="130"/>
        <v>0</v>
      </c>
      <c r="AX224" s="55">
        <f t="shared" si="131"/>
        <v>0</v>
      </c>
      <c r="AY224" s="58" t="s">
        <v>2992</v>
      </c>
      <c r="AZ224" s="58" t="s">
        <v>2633</v>
      </c>
      <c r="BA224" s="34" t="s">
        <v>2634</v>
      </c>
      <c r="BC224" s="55">
        <f t="shared" si="132"/>
        <v>0</v>
      </c>
      <c r="BD224" s="55">
        <f t="shared" si="133"/>
        <v>0</v>
      </c>
      <c r="BE224" s="55">
        <v>0</v>
      </c>
      <c r="BF224" s="55">
        <f t="shared" si="134"/>
        <v>0</v>
      </c>
      <c r="BH224" s="63">
        <f t="shared" si="135"/>
        <v>0</v>
      </c>
      <c r="BI224" s="63">
        <f t="shared" si="136"/>
        <v>0</v>
      </c>
      <c r="BJ224" s="63">
        <f t="shared" si="137"/>
        <v>0</v>
      </c>
      <c r="BK224" s="63"/>
      <c r="BL224" s="55"/>
      <c r="BW224" s="55">
        <v>21</v>
      </c>
    </row>
    <row r="225" spans="1:75" ht="13.5" customHeight="1">
      <c r="A225" s="61" t="s">
        <v>613</v>
      </c>
      <c r="B225" s="62" t="s">
        <v>2629</v>
      </c>
      <c r="C225" s="62" t="s">
        <v>3056</v>
      </c>
      <c r="D225" s="224" t="s">
        <v>3057</v>
      </c>
      <c r="E225" s="225"/>
      <c r="F225" s="62" t="s">
        <v>2936</v>
      </c>
      <c r="G225" s="63">
        <f>'Stavební rozpočet-vyplnit'!G1603</f>
        <v>1</v>
      </c>
      <c r="H225" s="63">
        <f>'Stavební rozpočet-vyplnit'!H1603</f>
        <v>0</v>
      </c>
      <c r="I225" s="63">
        <f t="shared" si="114"/>
        <v>0</v>
      </c>
      <c r="J225" s="63">
        <f>'Stavební rozpočet-vyplnit'!J1603</f>
        <v>0</v>
      </c>
      <c r="K225" s="63">
        <f t="shared" si="115"/>
        <v>0</v>
      </c>
      <c r="L225" s="65" t="s">
        <v>124</v>
      </c>
      <c r="Z225" s="55">
        <f t="shared" si="116"/>
        <v>0</v>
      </c>
      <c r="AB225" s="55">
        <f t="shared" si="117"/>
        <v>0</v>
      </c>
      <c r="AC225" s="55">
        <f t="shared" si="118"/>
        <v>0</v>
      </c>
      <c r="AD225" s="55">
        <f t="shared" si="119"/>
        <v>0</v>
      </c>
      <c r="AE225" s="55">
        <f t="shared" si="120"/>
        <v>0</v>
      </c>
      <c r="AF225" s="55">
        <f t="shared" si="121"/>
        <v>0</v>
      </c>
      <c r="AG225" s="55">
        <f t="shared" si="122"/>
        <v>0</v>
      </c>
      <c r="AH225" s="55">
        <f t="shared" si="123"/>
        <v>0</v>
      </c>
      <c r="AI225" s="34" t="s">
        <v>2629</v>
      </c>
      <c r="AJ225" s="63">
        <f t="shared" si="124"/>
        <v>0</v>
      </c>
      <c r="AK225" s="63">
        <f t="shared" si="125"/>
        <v>0</v>
      </c>
      <c r="AL225" s="63">
        <f t="shared" si="126"/>
        <v>0</v>
      </c>
      <c r="AN225" s="55">
        <v>21</v>
      </c>
      <c r="AO225" s="55">
        <f t="shared" si="127"/>
        <v>0</v>
      </c>
      <c r="AP225" s="55">
        <f t="shared" si="128"/>
        <v>0</v>
      </c>
      <c r="AQ225" s="66" t="s">
        <v>125</v>
      </c>
      <c r="AV225" s="55">
        <f t="shared" si="129"/>
        <v>0</v>
      </c>
      <c r="AW225" s="55">
        <f t="shared" si="130"/>
        <v>0</v>
      </c>
      <c r="AX225" s="55">
        <f t="shared" si="131"/>
        <v>0</v>
      </c>
      <c r="AY225" s="58" t="s">
        <v>2992</v>
      </c>
      <c r="AZ225" s="58" t="s">
        <v>2633</v>
      </c>
      <c r="BA225" s="34" t="s">
        <v>2634</v>
      </c>
      <c r="BC225" s="55">
        <f t="shared" si="132"/>
        <v>0</v>
      </c>
      <c r="BD225" s="55">
        <f t="shared" si="133"/>
        <v>0</v>
      </c>
      <c r="BE225" s="55">
        <v>0</v>
      </c>
      <c r="BF225" s="55">
        <f t="shared" si="134"/>
        <v>0</v>
      </c>
      <c r="BH225" s="63">
        <f t="shared" si="135"/>
        <v>0</v>
      </c>
      <c r="BI225" s="63">
        <f t="shared" si="136"/>
        <v>0</v>
      </c>
      <c r="BJ225" s="63">
        <f t="shared" si="137"/>
        <v>0</v>
      </c>
      <c r="BK225" s="63"/>
      <c r="BL225" s="55"/>
      <c r="BW225" s="55">
        <v>21</v>
      </c>
    </row>
    <row r="226" spans="1:75" ht="27" customHeight="1">
      <c r="A226" s="61" t="s">
        <v>616</v>
      </c>
      <c r="B226" s="62" t="s">
        <v>2629</v>
      </c>
      <c r="C226" s="62" t="s">
        <v>3058</v>
      </c>
      <c r="D226" s="224" t="s">
        <v>3059</v>
      </c>
      <c r="E226" s="225"/>
      <c r="F226" s="62" t="s">
        <v>2936</v>
      </c>
      <c r="G226" s="63">
        <f>'Stavební rozpočet-vyplnit'!G1604</f>
        <v>1</v>
      </c>
      <c r="H226" s="63">
        <f>'Stavební rozpočet-vyplnit'!H1604</f>
        <v>0</v>
      </c>
      <c r="I226" s="63">
        <f t="shared" si="114"/>
        <v>0</v>
      </c>
      <c r="J226" s="63">
        <f>'Stavební rozpočet-vyplnit'!J1604</f>
        <v>0</v>
      </c>
      <c r="K226" s="63">
        <f t="shared" si="115"/>
        <v>0</v>
      </c>
      <c r="L226" s="65" t="s">
        <v>124</v>
      </c>
      <c r="Z226" s="55">
        <f t="shared" si="116"/>
        <v>0</v>
      </c>
      <c r="AB226" s="55">
        <f t="shared" si="117"/>
        <v>0</v>
      </c>
      <c r="AC226" s="55">
        <f t="shared" si="118"/>
        <v>0</v>
      </c>
      <c r="AD226" s="55">
        <f t="shared" si="119"/>
        <v>0</v>
      </c>
      <c r="AE226" s="55">
        <f t="shared" si="120"/>
        <v>0</v>
      </c>
      <c r="AF226" s="55">
        <f t="shared" si="121"/>
        <v>0</v>
      </c>
      <c r="AG226" s="55">
        <f t="shared" si="122"/>
        <v>0</v>
      </c>
      <c r="AH226" s="55">
        <f t="shared" si="123"/>
        <v>0</v>
      </c>
      <c r="AI226" s="34" t="s">
        <v>2629</v>
      </c>
      <c r="AJ226" s="63">
        <f t="shared" si="124"/>
        <v>0</v>
      </c>
      <c r="AK226" s="63">
        <f t="shared" si="125"/>
        <v>0</v>
      </c>
      <c r="AL226" s="63">
        <f t="shared" si="126"/>
        <v>0</v>
      </c>
      <c r="AN226" s="55">
        <v>21</v>
      </c>
      <c r="AO226" s="55">
        <f t="shared" si="127"/>
        <v>0</v>
      </c>
      <c r="AP226" s="55">
        <f t="shared" si="128"/>
        <v>0</v>
      </c>
      <c r="AQ226" s="66" t="s">
        <v>125</v>
      </c>
      <c r="AV226" s="55">
        <f t="shared" si="129"/>
        <v>0</v>
      </c>
      <c r="AW226" s="55">
        <f t="shared" si="130"/>
        <v>0</v>
      </c>
      <c r="AX226" s="55">
        <f t="shared" si="131"/>
        <v>0</v>
      </c>
      <c r="AY226" s="58" t="s">
        <v>2992</v>
      </c>
      <c r="AZ226" s="58" t="s">
        <v>2633</v>
      </c>
      <c r="BA226" s="34" t="s">
        <v>2634</v>
      </c>
      <c r="BC226" s="55">
        <f t="shared" si="132"/>
        <v>0</v>
      </c>
      <c r="BD226" s="55">
        <f t="shared" si="133"/>
        <v>0</v>
      </c>
      <c r="BE226" s="55">
        <v>0</v>
      </c>
      <c r="BF226" s="55">
        <f t="shared" si="134"/>
        <v>0</v>
      </c>
      <c r="BH226" s="63">
        <f t="shared" si="135"/>
        <v>0</v>
      </c>
      <c r="BI226" s="63">
        <f t="shared" si="136"/>
        <v>0</v>
      </c>
      <c r="BJ226" s="63">
        <f t="shared" si="137"/>
        <v>0</v>
      </c>
      <c r="BK226" s="63"/>
      <c r="BL226" s="55"/>
      <c r="BW226" s="55">
        <v>21</v>
      </c>
    </row>
    <row r="227" spans="1:75" ht="13.5" customHeight="1">
      <c r="A227" s="61" t="s">
        <v>619</v>
      </c>
      <c r="B227" s="62" t="s">
        <v>2629</v>
      </c>
      <c r="C227" s="62" t="s">
        <v>3061</v>
      </c>
      <c r="D227" s="224" t="s">
        <v>3062</v>
      </c>
      <c r="E227" s="225"/>
      <c r="F227" s="62" t="s">
        <v>2936</v>
      </c>
      <c r="G227" s="63">
        <f>'Stavební rozpočet-vyplnit'!G1605</f>
        <v>1</v>
      </c>
      <c r="H227" s="63">
        <f>'Stavební rozpočet-vyplnit'!H1605</f>
        <v>0</v>
      </c>
      <c r="I227" s="63">
        <f t="shared" si="114"/>
        <v>0</v>
      </c>
      <c r="J227" s="63">
        <f>'Stavební rozpočet-vyplnit'!J1605</f>
        <v>0</v>
      </c>
      <c r="K227" s="63">
        <f t="shared" si="115"/>
        <v>0</v>
      </c>
      <c r="L227" s="65" t="s">
        <v>124</v>
      </c>
      <c r="Z227" s="55">
        <f t="shared" si="116"/>
        <v>0</v>
      </c>
      <c r="AB227" s="55">
        <f t="shared" si="117"/>
        <v>0</v>
      </c>
      <c r="AC227" s="55">
        <f t="shared" si="118"/>
        <v>0</v>
      </c>
      <c r="AD227" s="55">
        <f t="shared" si="119"/>
        <v>0</v>
      </c>
      <c r="AE227" s="55">
        <f t="shared" si="120"/>
        <v>0</v>
      </c>
      <c r="AF227" s="55">
        <f t="shared" si="121"/>
        <v>0</v>
      </c>
      <c r="AG227" s="55">
        <f t="shared" si="122"/>
        <v>0</v>
      </c>
      <c r="AH227" s="55">
        <f t="shared" si="123"/>
        <v>0</v>
      </c>
      <c r="AI227" s="34" t="s">
        <v>2629</v>
      </c>
      <c r="AJ227" s="63">
        <f t="shared" si="124"/>
        <v>0</v>
      </c>
      <c r="AK227" s="63">
        <f t="shared" si="125"/>
        <v>0</v>
      </c>
      <c r="AL227" s="63">
        <f t="shared" si="126"/>
        <v>0</v>
      </c>
      <c r="AN227" s="55">
        <v>21</v>
      </c>
      <c r="AO227" s="55">
        <f t="shared" si="127"/>
        <v>0</v>
      </c>
      <c r="AP227" s="55">
        <f t="shared" si="128"/>
        <v>0</v>
      </c>
      <c r="AQ227" s="66" t="s">
        <v>125</v>
      </c>
      <c r="AV227" s="55">
        <f t="shared" si="129"/>
        <v>0</v>
      </c>
      <c r="AW227" s="55">
        <f t="shared" si="130"/>
        <v>0</v>
      </c>
      <c r="AX227" s="55">
        <f t="shared" si="131"/>
        <v>0</v>
      </c>
      <c r="AY227" s="58" t="s">
        <v>2992</v>
      </c>
      <c r="AZ227" s="58" t="s">
        <v>2633</v>
      </c>
      <c r="BA227" s="34" t="s">
        <v>2634</v>
      </c>
      <c r="BC227" s="55">
        <f t="shared" si="132"/>
        <v>0</v>
      </c>
      <c r="BD227" s="55">
        <f t="shared" si="133"/>
        <v>0</v>
      </c>
      <c r="BE227" s="55">
        <v>0</v>
      </c>
      <c r="BF227" s="55">
        <f t="shared" si="134"/>
        <v>0</v>
      </c>
      <c r="BH227" s="63">
        <f t="shared" si="135"/>
        <v>0</v>
      </c>
      <c r="BI227" s="63">
        <f t="shared" si="136"/>
        <v>0</v>
      </c>
      <c r="BJ227" s="63">
        <f t="shared" si="137"/>
        <v>0</v>
      </c>
      <c r="BK227" s="63"/>
      <c r="BL227" s="55"/>
      <c r="BW227" s="55">
        <v>21</v>
      </c>
    </row>
    <row r="228" spans="1:47" ht="14.4">
      <c r="A228" s="50" t="s">
        <v>4</v>
      </c>
      <c r="B228" s="51" t="s">
        <v>2629</v>
      </c>
      <c r="C228" s="51" t="s">
        <v>3063</v>
      </c>
      <c r="D228" s="222" t="s">
        <v>3064</v>
      </c>
      <c r="E228" s="223"/>
      <c r="F228" s="52" t="s">
        <v>79</v>
      </c>
      <c r="G228" s="52" t="s">
        <v>79</v>
      </c>
      <c r="H228" s="52" t="s">
        <v>79</v>
      </c>
      <c r="I228" s="27">
        <f>SUM(I229:I234)</f>
        <v>0</v>
      </c>
      <c r="J228" s="34" t="s">
        <v>4</v>
      </c>
      <c r="K228" s="27">
        <f>SUM(K229:K234)</f>
        <v>0</v>
      </c>
      <c r="L228" s="54" t="s">
        <v>4</v>
      </c>
      <c r="AI228" s="34" t="s">
        <v>2629</v>
      </c>
      <c r="AS228" s="27">
        <f>SUM(AJ229:AJ234)</f>
        <v>0</v>
      </c>
      <c r="AT228" s="27">
        <f>SUM(AK229:AK234)</f>
        <v>0</v>
      </c>
      <c r="AU228" s="27">
        <f>SUM(AL229:AL234)</f>
        <v>0</v>
      </c>
    </row>
    <row r="229" spans="1:75" ht="13.5" customHeight="1">
      <c r="A229" s="1" t="s">
        <v>622</v>
      </c>
      <c r="B229" s="2" t="s">
        <v>2629</v>
      </c>
      <c r="C229" s="2" t="s">
        <v>2817</v>
      </c>
      <c r="D229" s="147" t="s">
        <v>2818</v>
      </c>
      <c r="E229" s="148"/>
      <c r="F229" s="2" t="s">
        <v>360</v>
      </c>
      <c r="G229" s="55">
        <f>'Stavební rozpočet-vyplnit'!G1607</f>
        <v>11</v>
      </c>
      <c r="H229" s="55">
        <f>'Stavební rozpočet-vyplnit'!H1607</f>
        <v>0</v>
      </c>
      <c r="I229" s="55">
        <f>G229*H229</f>
        <v>0</v>
      </c>
      <c r="J229" s="55">
        <f>'Stavební rozpočet-vyplnit'!J1607</f>
        <v>0</v>
      </c>
      <c r="K229" s="55">
        <f>G229*J229</f>
        <v>0</v>
      </c>
      <c r="L229" s="57" t="s">
        <v>124</v>
      </c>
      <c r="Z229" s="55">
        <f>IF(AQ229="5",BJ229,0)</f>
        <v>0</v>
      </c>
      <c r="AB229" s="55">
        <f>IF(AQ229="1",BH229,0)</f>
        <v>0</v>
      </c>
      <c r="AC229" s="55">
        <f>IF(AQ229="1",BI229,0)</f>
        <v>0</v>
      </c>
      <c r="AD229" s="55">
        <f>IF(AQ229="7",BH229,0)</f>
        <v>0</v>
      </c>
      <c r="AE229" s="55">
        <f>IF(AQ229="7",BI229,0)</f>
        <v>0</v>
      </c>
      <c r="AF229" s="55">
        <f>IF(AQ229="2",BH229,0)</f>
        <v>0</v>
      </c>
      <c r="AG229" s="55">
        <f>IF(AQ229="2",BI229,0)</f>
        <v>0</v>
      </c>
      <c r="AH229" s="55">
        <f>IF(AQ229="0",BJ229,0)</f>
        <v>0</v>
      </c>
      <c r="AI229" s="34" t="s">
        <v>2629</v>
      </c>
      <c r="AJ229" s="55">
        <f>IF(AN229=0,I229,0)</f>
        <v>0</v>
      </c>
      <c r="AK229" s="55">
        <f>IF(AN229=12,I229,0)</f>
        <v>0</v>
      </c>
      <c r="AL229" s="55">
        <f>IF(AN229=21,I229,0)</f>
        <v>0</v>
      </c>
      <c r="AN229" s="55">
        <v>21</v>
      </c>
      <c r="AO229" s="55">
        <f>H229*0</f>
        <v>0</v>
      </c>
      <c r="AP229" s="55">
        <f>H229*(1-0)</f>
        <v>0</v>
      </c>
      <c r="AQ229" s="58" t="s">
        <v>125</v>
      </c>
      <c r="AV229" s="55">
        <f>AW229+AX229</f>
        <v>0</v>
      </c>
      <c r="AW229" s="55">
        <f>G229*AO229</f>
        <v>0</v>
      </c>
      <c r="AX229" s="55">
        <f>G229*AP229</f>
        <v>0</v>
      </c>
      <c r="AY229" s="58" t="s">
        <v>3066</v>
      </c>
      <c r="AZ229" s="58" t="s">
        <v>2633</v>
      </c>
      <c r="BA229" s="34" t="s">
        <v>2634</v>
      </c>
      <c r="BC229" s="55">
        <f>AW229+AX229</f>
        <v>0</v>
      </c>
      <c r="BD229" s="55">
        <f>H229/(100-BE229)*100</f>
        <v>0</v>
      </c>
      <c r="BE229" s="55">
        <v>0</v>
      </c>
      <c r="BF229" s="55">
        <f>K229</f>
        <v>0</v>
      </c>
      <c r="BH229" s="55">
        <f>G229*AO229</f>
        <v>0</v>
      </c>
      <c r="BI229" s="55">
        <f>G229*AP229</f>
        <v>0</v>
      </c>
      <c r="BJ229" s="55">
        <f>G229*H229</f>
        <v>0</v>
      </c>
      <c r="BK229" s="55"/>
      <c r="BL229" s="55"/>
      <c r="BW229" s="55">
        <v>21</v>
      </c>
    </row>
    <row r="230" spans="1:12" ht="13.5" customHeight="1">
      <c r="A230" s="59"/>
      <c r="D230" s="218" t="s">
        <v>3067</v>
      </c>
      <c r="E230" s="219"/>
      <c r="F230" s="219"/>
      <c r="G230" s="219"/>
      <c r="H230" s="219"/>
      <c r="I230" s="219"/>
      <c r="J230" s="219"/>
      <c r="K230" s="219"/>
      <c r="L230" s="221"/>
    </row>
    <row r="231" spans="1:75" ht="13.5" customHeight="1">
      <c r="A231" s="61" t="s">
        <v>625</v>
      </c>
      <c r="B231" s="62" t="s">
        <v>2629</v>
      </c>
      <c r="C231" s="62" t="s">
        <v>3069</v>
      </c>
      <c r="D231" s="224" t="s">
        <v>3070</v>
      </c>
      <c r="E231" s="225"/>
      <c r="F231" s="62" t="s">
        <v>2936</v>
      </c>
      <c r="G231" s="63">
        <f>'Stavební rozpočet-vyplnit'!G1609</f>
        <v>1</v>
      </c>
      <c r="H231" s="63">
        <f>'Stavební rozpočet-vyplnit'!H1609</f>
        <v>0</v>
      </c>
      <c r="I231" s="63">
        <f>G231*H231</f>
        <v>0</v>
      </c>
      <c r="J231" s="63">
        <f>'Stavební rozpočet-vyplnit'!J1609</f>
        <v>0</v>
      </c>
      <c r="K231" s="63">
        <f>G231*J231</f>
        <v>0</v>
      </c>
      <c r="L231" s="65" t="s">
        <v>124</v>
      </c>
      <c r="Z231" s="55">
        <f>IF(AQ231="5",BJ231,0)</f>
        <v>0</v>
      </c>
      <c r="AB231" s="55">
        <f>IF(AQ231="1",BH231,0)</f>
        <v>0</v>
      </c>
      <c r="AC231" s="55">
        <f>IF(AQ231="1",BI231,0)</f>
        <v>0</v>
      </c>
      <c r="AD231" s="55">
        <f>IF(AQ231="7",BH231,0)</f>
        <v>0</v>
      </c>
      <c r="AE231" s="55">
        <f>IF(AQ231="7",BI231,0)</f>
        <v>0</v>
      </c>
      <c r="AF231" s="55">
        <f>IF(AQ231="2",BH231,0)</f>
        <v>0</v>
      </c>
      <c r="AG231" s="55">
        <f>IF(AQ231="2",BI231,0)</f>
        <v>0</v>
      </c>
      <c r="AH231" s="55">
        <f>IF(AQ231="0",BJ231,0)</f>
        <v>0</v>
      </c>
      <c r="AI231" s="34" t="s">
        <v>2629</v>
      </c>
      <c r="AJ231" s="63">
        <f>IF(AN231=0,I231,0)</f>
        <v>0</v>
      </c>
      <c r="AK231" s="63">
        <f>IF(AN231=12,I231,0)</f>
        <v>0</v>
      </c>
      <c r="AL231" s="63">
        <f>IF(AN231=21,I231,0)</f>
        <v>0</v>
      </c>
      <c r="AN231" s="55">
        <v>21</v>
      </c>
      <c r="AO231" s="55">
        <f>H231*1</f>
        <v>0</v>
      </c>
      <c r="AP231" s="55">
        <f>H231*(1-1)</f>
        <v>0</v>
      </c>
      <c r="AQ231" s="66" t="s">
        <v>125</v>
      </c>
      <c r="AV231" s="55">
        <f>AW231+AX231</f>
        <v>0</v>
      </c>
      <c r="AW231" s="55">
        <f>G231*AO231</f>
        <v>0</v>
      </c>
      <c r="AX231" s="55">
        <f>G231*AP231</f>
        <v>0</v>
      </c>
      <c r="AY231" s="58" t="s">
        <v>3066</v>
      </c>
      <c r="AZ231" s="58" t="s">
        <v>2633</v>
      </c>
      <c r="BA231" s="34" t="s">
        <v>2634</v>
      </c>
      <c r="BC231" s="55">
        <f>AW231+AX231</f>
        <v>0</v>
      </c>
      <c r="BD231" s="55">
        <f>H231/(100-BE231)*100</f>
        <v>0</v>
      </c>
      <c r="BE231" s="55">
        <v>0</v>
      </c>
      <c r="BF231" s="55">
        <f>K231</f>
        <v>0</v>
      </c>
      <c r="BH231" s="63">
        <f>G231*AO231</f>
        <v>0</v>
      </c>
      <c r="BI231" s="63">
        <f>G231*AP231</f>
        <v>0</v>
      </c>
      <c r="BJ231" s="63">
        <f>G231*H231</f>
        <v>0</v>
      </c>
      <c r="BK231" s="63"/>
      <c r="BL231" s="55"/>
      <c r="BW231" s="55">
        <v>21</v>
      </c>
    </row>
    <row r="232" spans="1:75" ht="13.5" customHeight="1">
      <c r="A232" s="61" t="s">
        <v>629</v>
      </c>
      <c r="B232" s="62" t="s">
        <v>2629</v>
      </c>
      <c r="C232" s="62" t="s">
        <v>3072</v>
      </c>
      <c r="D232" s="224" t="s">
        <v>3073</v>
      </c>
      <c r="E232" s="225"/>
      <c r="F232" s="62" t="s">
        <v>2936</v>
      </c>
      <c r="G232" s="63">
        <f>'Stavební rozpočet-vyplnit'!G1610</f>
        <v>1</v>
      </c>
      <c r="H232" s="63">
        <f>'Stavební rozpočet-vyplnit'!H1610</f>
        <v>0</v>
      </c>
      <c r="I232" s="63">
        <f>G232*H232</f>
        <v>0</v>
      </c>
      <c r="J232" s="63">
        <f>'Stavební rozpočet-vyplnit'!J1610</f>
        <v>0</v>
      </c>
      <c r="K232" s="63">
        <f>G232*J232</f>
        <v>0</v>
      </c>
      <c r="L232" s="65" t="s">
        <v>124</v>
      </c>
      <c r="Z232" s="55">
        <f>IF(AQ232="5",BJ232,0)</f>
        <v>0</v>
      </c>
      <c r="AB232" s="55">
        <f>IF(AQ232="1",BH232,0)</f>
        <v>0</v>
      </c>
      <c r="AC232" s="55">
        <f>IF(AQ232="1",BI232,0)</f>
        <v>0</v>
      </c>
      <c r="AD232" s="55">
        <f>IF(AQ232="7",BH232,0)</f>
        <v>0</v>
      </c>
      <c r="AE232" s="55">
        <f>IF(AQ232="7",BI232,0)</f>
        <v>0</v>
      </c>
      <c r="AF232" s="55">
        <f>IF(AQ232="2",BH232,0)</f>
        <v>0</v>
      </c>
      <c r="AG232" s="55">
        <f>IF(AQ232="2",BI232,0)</f>
        <v>0</v>
      </c>
      <c r="AH232" s="55">
        <f>IF(AQ232="0",BJ232,0)</f>
        <v>0</v>
      </c>
      <c r="AI232" s="34" t="s">
        <v>2629</v>
      </c>
      <c r="AJ232" s="63">
        <f>IF(AN232=0,I232,0)</f>
        <v>0</v>
      </c>
      <c r="AK232" s="63">
        <f>IF(AN232=12,I232,0)</f>
        <v>0</v>
      </c>
      <c r="AL232" s="63">
        <f>IF(AN232=21,I232,0)</f>
        <v>0</v>
      </c>
      <c r="AN232" s="55">
        <v>21</v>
      </c>
      <c r="AO232" s="55">
        <f>H232*1</f>
        <v>0</v>
      </c>
      <c r="AP232" s="55">
        <f>H232*(1-1)</f>
        <v>0</v>
      </c>
      <c r="AQ232" s="66" t="s">
        <v>125</v>
      </c>
      <c r="AV232" s="55">
        <f>AW232+AX232</f>
        <v>0</v>
      </c>
      <c r="AW232" s="55">
        <f>G232*AO232</f>
        <v>0</v>
      </c>
      <c r="AX232" s="55">
        <f>G232*AP232</f>
        <v>0</v>
      </c>
      <c r="AY232" s="58" t="s">
        <v>3066</v>
      </c>
      <c r="AZ232" s="58" t="s">
        <v>2633</v>
      </c>
      <c r="BA232" s="34" t="s">
        <v>2634</v>
      </c>
      <c r="BC232" s="55">
        <f>AW232+AX232</f>
        <v>0</v>
      </c>
      <c r="BD232" s="55">
        <f>H232/(100-BE232)*100</f>
        <v>0</v>
      </c>
      <c r="BE232" s="55">
        <v>0</v>
      </c>
      <c r="BF232" s="55">
        <f>K232</f>
        <v>0</v>
      </c>
      <c r="BH232" s="63">
        <f>G232*AO232</f>
        <v>0</v>
      </c>
      <c r="BI232" s="63">
        <f>G232*AP232</f>
        <v>0</v>
      </c>
      <c r="BJ232" s="63">
        <f>G232*H232</f>
        <v>0</v>
      </c>
      <c r="BK232" s="63"/>
      <c r="BL232" s="55"/>
      <c r="BW232" s="55">
        <v>21</v>
      </c>
    </row>
    <row r="233" spans="1:75" ht="13.5" customHeight="1">
      <c r="A233" s="61" t="s">
        <v>632</v>
      </c>
      <c r="B233" s="62" t="s">
        <v>2629</v>
      </c>
      <c r="C233" s="62" t="s">
        <v>3075</v>
      </c>
      <c r="D233" s="224" t="s">
        <v>3076</v>
      </c>
      <c r="E233" s="225"/>
      <c r="F233" s="62" t="s">
        <v>2936</v>
      </c>
      <c r="G233" s="63">
        <f>'Stavební rozpočet-vyplnit'!G1611</f>
        <v>1</v>
      </c>
      <c r="H233" s="63">
        <f>'Stavební rozpočet-vyplnit'!H1611</f>
        <v>0</v>
      </c>
      <c r="I233" s="63">
        <f>G233*H233</f>
        <v>0</v>
      </c>
      <c r="J233" s="63">
        <f>'Stavební rozpočet-vyplnit'!J1611</f>
        <v>0</v>
      </c>
      <c r="K233" s="63">
        <f>G233*J233</f>
        <v>0</v>
      </c>
      <c r="L233" s="65" t="s">
        <v>124</v>
      </c>
      <c r="Z233" s="55">
        <f>IF(AQ233="5",BJ233,0)</f>
        <v>0</v>
      </c>
      <c r="AB233" s="55">
        <f>IF(AQ233="1",BH233,0)</f>
        <v>0</v>
      </c>
      <c r="AC233" s="55">
        <f>IF(AQ233="1",BI233,0)</f>
        <v>0</v>
      </c>
      <c r="AD233" s="55">
        <f>IF(AQ233="7",BH233,0)</f>
        <v>0</v>
      </c>
      <c r="AE233" s="55">
        <f>IF(AQ233="7",BI233,0)</f>
        <v>0</v>
      </c>
      <c r="AF233" s="55">
        <f>IF(AQ233="2",BH233,0)</f>
        <v>0</v>
      </c>
      <c r="AG233" s="55">
        <f>IF(AQ233="2",BI233,0)</f>
        <v>0</v>
      </c>
      <c r="AH233" s="55">
        <f>IF(AQ233="0",BJ233,0)</f>
        <v>0</v>
      </c>
      <c r="AI233" s="34" t="s">
        <v>2629</v>
      </c>
      <c r="AJ233" s="63">
        <f>IF(AN233=0,I233,0)</f>
        <v>0</v>
      </c>
      <c r="AK233" s="63">
        <f>IF(AN233=12,I233,0)</f>
        <v>0</v>
      </c>
      <c r="AL233" s="63">
        <f>IF(AN233=21,I233,0)</f>
        <v>0</v>
      </c>
      <c r="AN233" s="55">
        <v>21</v>
      </c>
      <c r="AO233" s="55">
        <f>H233*1</f>
        <v>0</v>
      </c>
      <c r="AP233" s="55">
        <f>H233*(1-1)</f>
        <v>0</v>
      </c>
      <c r="AQ233" s="66" t="s">
        <v>125</v>
      </c>
      <c r="AV233" s="55">
        <f>AW233+AX233</f>
        <v>0</v>
      </c>
      <c r="AW233" s="55">
        <f>G233*AO233</f>
        <v>0</v>
      </c>
      <c r="AX233" s="55">
        <f>G233*AP233</f>
        <v>0</v>
      </c>
      <c r="AY233" s="58" t="s">
        <v>3066</v>
      </c>
      <c r="AZ233" s="58" t="s">
        <v>2633</v>
      </c>
      <c r="BA233" s="34" t="s">
        <v>2634</v>
      </c>
      <c r="BC233" s="55">
        <f>AW233+AX233</f>
        <v>0</v>
      </c>
      <c r="BD233" s="55">
        <f>H233/(100-BE233)*100</f>
        <v>0</v>
      </c>
      <c r="BE233" s="55">
        <v>0</v>
      </c>
      <c r="BF233" s="55">
        <f>K233</f>
        <v>0</v>
      </c>
      <c r="BH233" s="63">
        <f>G233*AO233</f>
        <v>0</v>
      </c>
      <c r="BI233" s="63">
        <f>G233*AP233</f>
        <v>0</v>
      </c>
      <c r="BJ233" s="63">
        <f>G233*H233</f>
        <v>0</v>
      </c>
      <c r="BK233" s="63"/>
      <c r="BL233" s="55"/>
      <c r="BW233" s="55">
        <v>21</v>
      </c>
    </row>
    <row r="234" spans="1:75" ht="13.5" customHeight="1">
      <c r="A234" s="61" t="s">
        <v>635</v>
      </c>
      <c r="B234" s="62" t="s">
        <v>2629</v>
      </c>
      <c r="C234" s="62" t="s">
        <v>3078</v>
      </c>
      <c r="D234" s="224" t="s">
        <v>3079</v>
      </c>
      <c r="E234" s="225"/>
      <c r="F234" s="62" t="s">
        <v>2936</v>
      </c>
      <c r="G234" s="63">
        <f>'Stavební rozpočet-vyplnit'!G1612</f>
        <v>1</v>
      </c>
      <c r="H234" s="63">
        <f>'Stavební rozpočet-vyplnit'!H1612</f>
        <v>0</v>
      </c>
      <c r="I234" s="63">
        <f>G234*H234</f>
        <v>0</v>
      </c>
      <c r="J234" s="63">
        <f>'Stavební rozpočet-vyplnit'!J1612</f>
        <v>0</v>
      </c>
      <c r="K234" s="63">
        <f>G234*J234</f>
        <v>0</v>
      </c>
      <c r="L234" s="65" t="s">
        <v>124</v>
      </c>
      <c r="Z234" s="55">
        <f>IF(AQ234="5",BJ234,0)</f>
        <v>0</v>
      </c>
      <c r="AB234" s="55">
        <f>IF(AQ234="1",BH234,0)</f>
        <v>0</v>
      </c>
      <c r="AC234" s="55">
        <f>IF(AQ234="1",BI234,0)</f>
        <v>0</v>
      </c>
      <c r="AD234" s="55">
        <f>IF(AQ234="7",BH234,0)</f>
        <v>0</v>
      </c>
      <c r="AE234" s="55">
        <f>IF(AQ234="7",BI234,0)</f>
        <v>0</v>
      </c>
      <c r="AF234" s="55">
        <f>IF(AQ234="2",BH234,0)</f>
        <v>0</v>
      </c>
      <c r="AG234" s="55">
        <f>IF(AQ234="2",BI234,0)</f>
        <v>0</v>
      </c>
      <c r="AH234" s="55">
        <f>IF(AQ234="0",BJ234,0)</f>
        <v>0</v>
      </c>
      <c r="AI234" s="34" t="s">
        <v>2629</v>
      </c>
      <c r="AJ234" s="63">
        <f>IF(AN234=0,I234,0)</f>
        <v>0</v>
      </c>
      <c r="AK234" s="63">
        <f>IF(AN234=12,I234,0)</f>
        <v>0</v>
      </c>
      <c r="AL234" s="63">
        <f>IF(AN234=21,I234,0)</f>
        <v>0</v>
      </c>
      <c r="AN234" s="55">
        <v>21</v>
      </c>
      <c r="AO234" s="55">
        <f>H234*1</f>
        <v>0</v>
      </c>
      <c r="AP234" s="55">
        <f>H234*(1-1)</f>
        <v>0</v>
      </c>
      <c r="AQ234" s="66" t="s">
        <v>125</v>
      </c>
      <c r="AV234" s="55">
        <f>AW234+AX234</f>
        <v>0</v>
      </c>
      <c r="AW234" s="55">
        <f>G234*AO234</f>
        <v>0</v>
      </c>
      <c r="AX234" s="55">
        <f>G234*AP234</f>
        <v>0</v>
      </c>
      <c r="AY234" s="58" t="s">
        <v>3066</v>
      </c>
      <c r="AZ234" s="58" t="s">
        <v>2633</v>
      </c>
      <c r="BA234" s="34" t="s">
        <v>2634</v>
      </c>
      <c r="BC234" s="55">
        <f>AW234+AX234</f>
        <v>0</v>
      </c>
      <c r="BD234" s="55">
        <f>H234/(100-BE234)*100</f>
        <v>0</v>
      </c>
      <c r="BE234" s="55">
        <v>0</v>
      </c>
      <c r="BF234" s="55">
        <f>K234</f>
        <v>0</v>
      </c>
      <c r="BH234" s="63">
        <f>G234*AO234</f>
        <v>0</v>
      </c>
      <c r="BI234" s="63">
        <f>G234*AP234</f>
        <v>0</v>
      </c>
      <c r="BJ234" s="63">
        <f>G234*H234</f>
        <v>0</v>
      </c>
      <c r="BK234" s="63"/>
      <c r="BL234" s="55"/>
      <c r="BW234" s="55">
        <v>21</v>
      </c>
    </row>
    <row r="235" spans="1:47" ht="14.4">
      <c r="A235" s="50" t="s">
        <v>4</v>
      </c>
      <c r="B235" s="51" t="s">
        <v>2629</v>
      </c>
      <c r="C235" s="51" t="s">
        <v>3080</v>
      </c>
      <c r="D235" s="222" t="s">
        <v>3081</v>
      </c>
      <c r="E235" s="223"/>
      <c r="F235" s="52" t="s">
        <v>79</v>
      </c>
      <c r="G235" s="52" t="s">
        <v>79</v>
      </c>
      <c r="H235" s="52" t="s">
        <v>79</v>
      </c>
      <c r="I235" s="27">
        <f>SUM(I236:I240)</f>
        <v>0</v>
      </c>
      <c r="J235" s="34" t="s">
        <v>4</v>
      </c>
      <c r="K235" s="27">
        <f>SUM(K236:K240)</f>
        <v>0</v>
      </c>
      <c r="L235" s="54" t="s">
        <v>4</v>
      </c>
      <c r="AI235" s="34" t="s">
        <v>2629</v>
      </c>
      <c r="AS235" s="27">
        <f>SUM(AJ236:AJ240)</f>
        <v>0</v>
      </c>
      <c r="AT235" s="27">
        <f>SUM(AK236:AK240)</f>
        <v>0</v>
      </c>
      <c r="AU235" s="27">
        <f>SUM(AL236:AL240)</f>
        <v>0</v>
      </c>
    </row>
    <row r="236" spans="1:75" ht="13.5" customHeight="1">
      <c r="A236" s="1" t="s">
        <v>638</v>
      </c>
      <c r="B236" s="2" t="s">
        <v>2629</v>
      </c>
      <c r="C236" s="2" t="s">
        <v>2817</v>
      </c>
      <c r="D236" s="147" t="s">
        <v>2818</v>
      </c>
      <c r="E236" s="148"/>
      <c r="F236" s="2" t="s">
        <v>360</v>
      </c>
      <c r="G236" s="55">
        <f>'Stavební rozpočet-vyplnit'!G1614</f>
        <v>6</v>
      </c>
      <c r="H236" s="55">
        <f>'Stavební rozpočet-vyplnit'!H1614</f>
        <v>0</v>
      </c>
      <c r="I236" s="55">
        <f>G236*H236</f>
        <v>0</v>
      </c>
      <c r="J236" s="55">
        <f>'Stavební rozpočet-vyplnit'!J1614</f>
        <v>0</v>
      </c>
      <c r="K236" s="55">
        <f>G236*J236</f>
        <v>0</v>
      </c>
      <c r="L236" s="57" t="s">
        <v>124</v>
      </c>
      <c r="Z236" s="55">
        <f>IF(AQ236="5",BJ236,0)</f>
        <v>0</v>
      </c>
      <c r="AB236" s="55">
        <f>IF(AQ236="1",BH236,0)</f>
        <v>0</v>
      </c>
      <c r="AC236" s="55">
        <f>IF(AQ236="1",BI236,0)</f>
        <v>0</v>
      </c>
      <c r="AD236" s="55">
        <f>IF(AQ236="7",BH236,0)</f>
        <v>0</v>
      </c>
      <c r="AE236" s="55">
        <f>IF(AQ236="7",BI236,0)</f>
        <v>0</v>
      </c>
      <c r="AF236" s="55">
        <f>IF(AQ236="2",BH236,0)</f>
        <v>0</v>
      </c>
      <c r="AG236" s="55">
        <f>IF(AQ236="2",BI236,0)</f>
        <v>0</v>
      </c>
      <c r="AH236" s="55">
        <f>IF(AQ236="0",BJ236,0)</f>
        <v>0</v>
      </c>
      <c r="AI236" s="34" t="s">
        <v>2629</v>
      </c>
      <c r="AJ236" s="55">
        <f>IF(AN236=0,I236,0)</f>
        <v>0</v>
      </c>
      <c r="AK236" s="55">
        <f>IF(AN236=12,I236,0)</f>
        <v>0</v>
      </c>
      <c r="AL236" s="55">
        <f>IF(AN236=21,I236,0)</f>
        <v>0</v>
      </c>
      <c r="AN236" s="55">
        <v>21</v>
      </c>
      <c r="AO236" s="55">
        <f>H236*0</f>
        <v>0</v>
      </c>
      <c r="AP236" s="55">
        <f>H236*(1-0)</f>
        <v>0</v>
      </c>
      <c r="AQ236" s="58" t="s">
        <v>125</v>
      </c>
      <c r="AV236" s="55">
        <f>AW236+AX236</f>
        <v>0</v>
      </c>
      <c r="AW236" s="55">
        <f>G236*AO236</f>
        <v>0</v>
      </c>
      <c r="AX236" s="55">
        <f>G236*AP236</f>
        <v>0</v>
      </c>
      <c r="AY236" s="58" t="s">
        <v>3083</v>
      </c>
      <c r="AZ236" s="58" t="s">
        <v>2633</v>
      </c>
      <c r="BA236" s="34" t="s">
        <v>2634</v>
      </c>
      <c r="BC236" s="55">
        <f>AW236+AX236</f>
        <v>0</v>
      </c>
      <c r="BD236" s="55">
        <f>H236/(100-BE236)*100</f>
        <v>0</v>
      </c>
      <c r="BE236" s="55">
        <v>0</v>
      </c>
      <c r="BF236" s="55">
        <f>K236</f>
        <v>0</v>
      </c>
      <c r="BH236" s="55">
        <f>G236*AO236</f>
        <v>0</v>
      </c>
      <c r="BI236" s="55">
        <f>G236*AP236</f>
        <v>0</v>
      </c>
      <c r="BJ236" s="55">
        <f>G236*H236</f>
        <v>0</v>
      </c>
      <c r="BK236" s="55"/>
      <c r="BL236" s="55"/>
      <c r="BW236" s="55">
        <v>21</v>
      </c>
    </row>
    <row r="237" spans="1:75" ht="13.5" customHeight="1">
      <c r="A237" s="61" t="s">
        <v>641</v>
      </c>
      <c r="B237" s="62" t="s">
        <v>2629</v>
      </c>
      <c r="C237" s="62" t="s">
        <v>3085</v>
      </c>
      <c r="D237" s="224" t="s">
        <v>3086</v>
      </c>
      <c r="E237" s="225"/>
      <c r="F237" s="62" t="s">
        <v>2936</v>
      </c>
      <c r="G237" s="63">
        <f>'Stavební rozpočet-vyplnit'!G1615</f>
        <v>1</v>
      </c>
      <c r="H237" s="63">
        <f>'Stavební rozpočet-vyplnit'!H1615</f>
        <v>0</v>
      </c>
      <c r="I237" s="63">
        <f>G237*H237</f>
        <v>0</v>
      </c>
      <c r="J237" s="63">
        <f>'Stavební rozpočet-vyplnit'!J1615</f>
        <v>0</v>
      </c>
      <c r="K237" s="63">
        <f>G237*J237</f>
        <v>0</v>
      </c>
      <c r="L237" s="65" t="s">
        <v>124</v>
      </c>
      <c r="Z237" s="55">
        <f>IF(AQ237="5",BJ237,0)</f>
        <v>0</v>
      </c>
      <c r="AB237" s="55">
        <f>IF(AQ237="1",BH237,0)</f>
        <v>0</v>
      </c>
      <c r="AC237" s="55">
        <f>IF(AQ237="1",BI237,0)</f>
        <v>0</v>
      </c>
      <c r="AD237" s="55">
        <f>IF(AQ237="7",BH237,0)</f>
        <v>0</v>
      </c>
      <c r="AE237" s="55">
        <f>IF(AQ237="7",BI237,0)</f>
        <v>0</v>
      </c>
      <c r="AF237" s="55">
        <f>IF(AQ237="2",BH237,0)</f>
        <v>0</v>
      </c>
      <c r="AG237" s="55">
        <f>IF(AQ237="2",BI237,0)</f>
        <v>0</v>
      </c>
      <c r="AH237" s="55">
        <f>IF(AQ237="0",BJ237,0)</f>
        <v>0</v>
      </c>
      <c r="AI237" s="34" t="s">
        <v>2629</v>
      </c>
      <c r="AJ237" s="63">
        <f>IF(AN237=0,I237,0)</f>
        <v>0</v>
      </c>
      <c r="AK237" s="63">
        <f>IF(AN237=12,I237,0)</f>
        <v>0</v>
      </c>
      <c r="AL237" s="63">
        <f>IF(AN237=21,I237,0)</f>
        <v>0</v>
      </c>
      <c r="AN237" s="55">
        <v>21</v>
      </c>
      <c r="AO237" s="55">
        <f>H237*1</f>
        <v>0</v>
      </c>
      <c r="AP237" s="55">
        <f>H237*(1-1)</f>
        <v>0</v>
      </c>
      <c r="AQ237" s="66" t="s">
        <v>125</v>
      </c>
      <c r="AV237" s="55">
        <f>AW237+AX237</f>
        <v>0</v>
      </c>
      <c r="AW237" s="55">
        <f>G237*AO237</f>
        <v>0</v>
      </c>
      <c r="AX237" s="55">
        <f>G237*AP237</f>
        <v>0</v>
      </c>
      <c r="AY237" s="58" t="s">
        <v>3083</v>
      </c>
      <c r="AZ237" s="58" t="s">
        <v>2633</v>
      </c>
      <c r="BA237" s="34" t="s">
        <v>2634</v>
      </c>
      <c r="BC237" s="55">
        <f>AW237+AX237</f>
        <v>0</v>
      </c>
      <c r="BD237" s="55">
        <f>H237/(100-BE237)*100</f>
        <v>0</v>
      </c>
      <c r="BE237" s="55">
        <v>0</v>
      </c>
      <c r="BF237" s="55">
        <f>K237</f>
        <v>0</v>
      </c>
      <c r="BH237" s="63">
        <f>G237*AO237</f>
        <v>0</v>
      </c>
      <c r="BI237" s="63">
        <f>G237*AP237</f>
        <v>0</v>
      </c>
      <c r="BJ237" s="63">
        <f>G237*H237</f>
        <v>0</v>
      </c>
      <c r="BK237" s="63"/>
      <c r="BL237" s="55"/>
      <c r="BW237" s="55">
        <v>21</v>
      </c>
    </row>
    <row r="238" spans="1:75" ht="13.5" customHeight="1">
      <c r="A238" s="61" t="s">
        <v>644</v>
      </c>
      <c r="B238" s="62" t="s">
        <v>2629</v>
      </c>
      <c r="C238" s="62" t="s">
        <v>3075</v>
      </c>
      <c r="D238" s="224" t="s">
        <v>3076</v>
      </c>
      <c r="E238" s="225"/>
      <c r="F238" s="62" t="s">
        <v>2936</v>
      </c>
      <c r="G238" s="63">
        <f>'Stavební rozpočet-vyplnit'!G1616</f>
        <v>1</v>
      </c>
      <c r="H238" s="63">
        <f>'Stavební rozpočet-vyplnit'!H1616</f>
        <v>0</v>
      </c>
      <c r="I238" s="63">
        <f>G238*H238</f>
        <v>0</v>
      </c>
      <c r="J238" s="63">
        <f>'Stavební rozpočet-vyplnit'!J1616</f>
        <v>0</v>
      </c>
      <c r="K238" s="63">
        <f>G238*J238</f>
        <v>0</v>
      </c>
      <c r="L238" s="65" t="s">
        <v>124</v>
      </c>
      <c r="Z238" s="55">
        <f>IF(AQ238="5",BJ238,0)</f>
        <v>0</v>
      </c>
      <c r="AB238" s="55">
        <f>IF(AQ238="1",BH238,0)</f>
        <v>0</v>
      </c>
      <c r="AC238" s="55">
        <f>IF(AQ238="1",BI238,0)</f>
        <v>0</v>
      </c>
      <c r="AD238" s="55">
        <f>IF(AQ238="7",BH238,0)</f>
        <v>0</v>
      </c>
      <c r="AE238" s="55">
        <f>IF(AQ238="7",BI238,0)</f>
        <v>0</v>
      </c>
      <c r="AF238" s="55">
        <f>IF(AQ238="2",BH238,0)</f>
        <v>0</v>
      </c>
      <c r="AG238" s="55">
        <f>IF(AQ238="2",BI238,0)</f>
        <v>0</v>
      </c>
      <c r="AH238" s="55">
        <f>IF(AQ238="0",BJ238,0)</f>
        <v>0</v>
      </c>
      <c r="AI238" s="34" t="s">
        <v>2629</v>
      </c>
      <c r="AJ238" s="63">
        <f>IF(AN238=0,I238,0)</f>
        <v>0</v>
      </c>
      <c r="AK238" s="63">
        <f>IF(AN238=12,I238,0)</f>
        <v>0</v>
      </c>
      <c r="AL238" s="63">
        <f>IF(AN238=21,I238,0)</f>
        <v>0</v>
      </c>
      <c r="AN238" s="55">
        <v>21</v>
      </c>
      <c r="AO238" s="55">
        <f>H238*1</f>
        <v>0</v>
      </c>
      <c r="AP238" s="55">
        <f>H238*(1-1)</f>
        <v>0</v>
      </c>
      <c r="AQ238" s="66" t="s">
        <v>125</v>
      </c>
      <c r="AV238" s="55">
        <f>AW238+AX238</f>
        <v>0</v>
      </c>
      <c r="AW238" s="55">
        <f>G238*AO238</f>
        <v>0</v>
      </c>
      <c r="AX238" s="55">
        <f>G238*AP238</f>
        <v>0</v>
      </c>
      <c r="AY238" s="58" t="s">
        <v>3083</v>
      </c>
      <c r="AZ238" s="58" t="s">
        <v>2633</v>
      </c>
      <c r="BA238" s="34" t="s">
        <v>2634</v>
      </c>
      <c r="BC238" s="55">
        <f>AW238+AX238</f>
        <v>0</v>
      </c>
      <c r="BD238" s="55">
        <f>H238/(100-BE238)*100</f>
        <v>0</v>
      </c>
      <c r="BE238" s="55">
        <v>0</v>
      </c>
      <c r="BF238" s="55">
        <f>K238</f>
        <v>0</v>
      </c>
      <c r="BH238" s="63">
        <f>G238*AO238</f>
        <v>0</v>
      </c>
      <c r="BI238" s="63">
        <f>G238*AP238</f>
        <v>0</v>
      </c>
      <c r="BJ238" s="63">
        <f>G238*H238</f>
        <v>0</v>
      </c>
      <c r="BK238" s="63"/>
      <c r="BL238" s="55"/>
      <c r="BW238" s="55">
        <v>21</v>
      </c>
    </row>
    <row r="239" spans="1:75" ht="13.5" customHeight="1">
      <c r="A239" s="61" t="s">
        <v>647</v>
      </c>
      <c r="B239" s="62" t="s">
        <v>2629</v>
      </c>
      <c r="C239" s="62" t="s">
        <v>3078</v>
      </c>
      <c r="D239" s="224" t="s">
        <v>3079</v>
      </c>
      <c r="E239" s="225"/>
      <c r="F239" s="62" t="s">
        <v>2936</v>
      </c>
      <c r="G239" s="63">
        <f>'Stavební rozpočet-vyplnit'!G1617</f>
        <v>1</v>
      </c>
      <c r="H239" s="63">
        <f>'Stavební rozpočet-vyplnit'!H1617</f>
        <v>0</v>
      </c>
      <c r="I239" s="63">
        <f>G239*H239</f>
        <v>0</v>
      </c>
      <c r="J239" s="63">
        <f>'Stavební rozpočet-vyplnit'!J1617</f>
        <v>0</v>
      </c>
      <c r="K239" s="63">
        <f>G239*J239</f>
        <v>0</v>
      </c>
      <c r="L239" s="65" t="s">
        <v>124</v>
      </c>
      <c r="Z239" s="55">
        <f>IF(AQ239="5",BJ239,0)</f>
        <v>0</v>
      </c>
      <c r="AB239" s="55">
        <f>IF(AQ239="1",BH239,0)</f>
        <v>0</v>
      </c>
      <c r="AC239" s="55">
        <f>IF(AQ239="1",BI239,0)</f>
        <v>0</v>
      </c>
      <c r="AD239" s="55">
        <f>IF(AQ239="7",BH239,0)</f>
        <v>0</v>
      </c>
      <c r="AE239" s="55">
        <f>IF(AQ239="7",BI239,0)</f>
        <v>0</v>
      </c>
      <c r="AF239" s="55">
        <f>IF(AQ239="2",BH239,0)</f>
        <v>0</v>
      </c>
      <c r="AG239" s="55">
        <f>IF(AQ239="2",BI239,0)</f>
        <v>0</v>
      </c>
      <c r="AH239" s="55">
        <f>IF(AQ239="0",BJ239,0)</f>
        <v>0</v>
      </c>
      <c r="AI239" s="34" t="s">
        <v>2629</v>
      </c>
      <c r="AJ239" s="63">
        <f>IF(AN239=0,I239,0)</f>
        <v>0</v>
      </c>
      <c r="AK239" s="63">
        <f>IF(AN239=12,I239,0)</f>
        <v>0</v>
      </c>
      <c r="AL239" s="63">
        <f>IF(AN239=21,I239,0)</f>
        <v>0</v>
      </c>
      <c r="AN239" s="55">
        <v>21</v>
      </c>
      <c r="AO239" s="55">
        <f>H239*1</f>
        <v>0</v>
      </c>
      <c r="AP239" s="55">
        <f>H239*(1-1)</f>
        <v>0</v>
      </c>
      <c r="AQ239" s="66" t="s">
        <v>125</v>
      </c>
      <c r="AV239" s="55">
        <f>AW239+AX239</f>
        <v>0</v>
      </c>
      <c r="AW239" s="55">
        <f>G239*AO239</f>
        <v>0</v>
      </c>
      <c r="AX239" s="55">
        <f>G239*AP239</f>
        <v>0</v>
      </c>
      <c r="AY239" s="58" t="s">
        <v>3083</v>
      </c>
      <c r="AZ239" s="58" t="s">
        <v>2633</v>
      </c>
      <c r="BA239" s="34" t="s">
        <v>2634</v>
      </c>
      <c r="BC239" s="55">
        <f>AW239+AX239</f>
        <v>0</v>
      </c>
      <c r="BD239" s="55">
        <f>H239/(100-BE239)*100</f>
        <v>0</v>
      </c>
      <c r="BE239" s="55">
        <v>0</v>
      </c>
      <c r="BF239" s="55">
        <f>K239</f>
        <v>0</v>
      </c>
      <c r="BH239" s="63">
        <f>G239*AO239</f>
        <v>0</v>
      </c>
      <c r="BI239" s="63">
        <f>G239*AP239</f>
        <v>0</v>
      </c>
      <c r="BJ239" s="63">
        <f>G239*H239</f>
        <v>0</v>
      </c>
      <c r="BK239" s="63"/>
      <c r="BL239" s="55"/>
      <c r="BW239" s="55">
        <v>21</v>
      </c>
    </row>
    <row r="240" spans="1:75" ht="13.5" customHeight="1">
      <c r="A240" s="61" t="s">
        <v>650</v>
      </c>
      <c r="B240" s="62" t="s">
        <v>2629</v>
      </c>
      <c r="C240" s="62" t="s">
        <v>3090</v>
      </c>
      <c r="D240" s="224" t="s">
        <v>3091</v>
      </c>
      <c r="E240" s="225"/>
      <c r="F240" s="62" t="s">
        <v>2936</v>
      </c>
      <c r="G240" s="63">
        <f>'Stavební rozpočet-vyplnit'!G1618</f>
        <v>2</v>
      </c>
      <c r="H240" s="63">
        <f>'Stavební rozpočet-vyplnit'!H1618</f>
        <v>0</v>
      </c>
      <c r="I240" s="63">
        <f>G240*H240</f>
        <v>0</v>
      </c>
      <c r="J240" s="63">
        <f>'Stavební rozpočet-vyplnit'!J1618</f>
        <v>0</v>
      </c>
      <c r="K240" s="63">
        <f>G240*J240</f>
        <v>0</v>
      </c>
      <c r="L240" s="65" t="s">
        <v>124</v>
      </c>
      <c r="Z240" s="55">
        <f>IF(AQ240="5",BJ240,0)</f>
        <v>0</v>
      </c>
      <c r="AB240" s="55">
        <f>IF(AQ240="1",BH240,0)</f>
        <v>0</v>
      </c>
      <c r="AC240" s="55">
        <f>IF(AQ240="1",BI240,0)</f>
        <v>0</v>
      </c>
      <c r="AD240" s="55">
        <f>IF(AQ240="7",BH240,0)</f>
        <v>0</v>
      </c>
      <c r="AE240" s="55">
        <f>IF(AQ240="7",BI240,0)</f>
        <v>0</v>
      </c>
      <c r="AF240" s="55">
        <f>IF(AQ240="2",BH240,0)</f>
        <v>0</v>
      </c>
      <c r="AG240" s="55">
        <f>IF(AQ240="2",BI240,0)</f>
        <v>0</v>
      </c>
      <c r="AH240" s="55">
        <f>IF(AQ240="0",BJ240,0)</f>
        <v>0</v>
      </c>
      <c r="AI240" s="34" t="s">
        <v>2629</v>
      </c>
      <c r="AJ240" s="63">
        <f>IF(AN240=0,I240,0)</f>
        <v>0</v>
      </c>
      <c r="AK240" s="63">
        <f>IF(AN240=12,I240,0)</f>
        <v>0</v>
      </c>
      <c r="AL240" s="63">
        <f>IF(AN240=21,I240,0)</f>
        <v>0</v>
      </c>
      <c r="AN240" s="55">
        <v>21</v>
      </c>
      <c r="AO240" s="55">
        <f>H240*1</f>
        <v>0</v>
      </c>
      <c r="AP240" s="55">
        <f>H240*(1-1)</f>
        <v>0</v>
      </c>
      <c r="AQ240" s="66" t="s">
        <v>125</v>
      </c>
      <c r="AV240" s="55">
        <f>AW240+AX240</f>
        <v>0</v>
      </c>
      <c r="AW240" s="55">
        <f>G240*AO240</f>
        <v>0</v>
      </c>
      <c r="AX240" s="55">
        <f>G240*AP240</f>
        <v>0</v>
      </c>
      <c r="AY240" s="58" t="s">
        <v>3083</v>
      </c>
      <c r="AZ240" s="58" t="s">
        <v>2633</v>
      </c>
      <c r="BA240" s="34" t="s">
        <v>2634</v>
      </c>
      <c r="BC240" s="55">
        <f>AW240+AX240</f>
        <v>0</v>
      </c>
      <c r="BD240" s="55">
        <f>H240/(100-BE240)*100</f>
        <v>0</v>
      </c>
      <c r="BE240" s="55">
        <v>0</v>
      </c>
      <c r="BF240" s="55">
        <f>K240</f>
        <v>0</v>
      </c>
      <c r="BH240" s="63">
        <f>G240*AO240</f>
        <v>0</v>
      </c>
      <c r="BI240" s="63">
        <f>G240*AP240</f>
        <v>0</v>
      </c>
      <c r="BJ240" s="63">
        <f>G240*H240</f>
        <v>0</v>
      </c>
      <c r="BK240" s="63"/>
      <c r="BL240" s="55"/>
      <c r="BW240" s="55">
        <v>21</v>
      </c>
    </row>
    <row r="241" spans="1:47" ht="14.4">
      <c r="A241" s="50" t="s">
        <v>4</v>
      </c>
      <c r="B241" s="51" t="s">
        <v>2629</v>
      </c>
      <c r="C241" s="51" t="s">
        <v>316</v>
      </c>
      <c r="D241" s="222" t="s">
        <v>957</v>
      </c>
      <c r="E241" s="223"/>
      <c r="F241" s="52" t="s">
        <v>79</v>
      </c>
      <c r="G241" s="52" t="s">
        <v>79</v>
      </c>
      <c r="H241" s="52" t="s">
        <v>79</v>
      </c>
      <c r="I241" s="27">
        <f>SUM(I242:I242)</f>
        <v>0</v>
      </c>
      <c r="J241" s="34" t="s">
        <v>4</v>
      </c>
      <c r="K241" s="27">
        <f>SUM(K242:K242)</f>
        <v>0.00053</v>
      </c>
      <c r="L241" s="54" t="s">
        <v>4</v>
      </c>
      <c r="AI241" s="34" t="s">
        <v>2629</v>
      </c>
      <c r="AS241" s="27">
        <f>SUM(AJ242:AJ242)</f>
        <v>0</v>
      </c>
      <c r="AT241" s="27">
        <f>SUM(AK242:AK242)</f>
        <v>0</v>
      </c>
      <c r="AU241" s="27">
        <f>SUM(AL242:AL242)</f>
        <v>0</v>
      </c>
    </row>
    <row r="242" spans="1:75" ht="27" customHeight="1">
      <c r="A242" s="1" t="s">
        <v>653</v>
      </c>
      <c r="B242" s="2" t="s">
        <v>2629</v>
      </c>
      <c r="C242" s="2" t="s">
        <v>3093</v>
      </c>
      <c r="D242" s="147" t="s">
        <v>3094</v>
      </c>
      <c r="E242" s="148"/>
      <c r="F242" s="2" t="s">
        <v>993</v>
      </c>
      <c r="G242" s="55">
        <f>'Stavební rozpočet-vyplnit'!G1620</f>
        <v>1</v>
      </c>
      <c r="H242" s="55">
        <f>'Stavební rozpočet-vyplnit'!H1620</f>
        <v>0</v>
      </c>
      <c r="I242" s="55">
        <f>G242*H242</f>
        <v>0</v>
      </c>
      <c r="J242" s="55">
        <f>'Stavební rozpočet-vyplnit'!J1620</f>
        <v>0.00053</v>
      </c>
      <c r="K242" s="55">
        <f>G242*J242</f>
        <v>0.00053</v>
      </c>
      <c r="L242" s="57" t="s">
        <v>124</v>
      </c>
      <c r="Z242" s="55">
        <f>IF(AQ242="5",BJ242,0)</f>
        <v>0</v>
      </c>
      <c r="AB242" s="55">
        <f>IF(AQ242="1",BH242,0)</f>
        <v>0</v>
      </c>
      <c r="AC242" s="55">
        <f>IF(AQ242="1",BI242,0)</f>
        <v>0</v>
      </c>
      <c r="AD242" s="55">
        <f>IF(AQ242="7",BH242,0)</f>
        <v>0</v>
      </c>
      <c r="AE242" s="55">
        <f>IF(AQ242="7",BI242,0)</f>
        <v>0</v>
      </c>
      <c r="AF242" s="55">
        <f>IF(AQ242="2",BH242,0)</f>
        <v>0</v>
      </c>
      <c r="AG242" s="55">
        <f>IF(AQ242="2",BI242,0)</f>
        <v>0</v>
      </c>
      <c r="AH242" s="55">
        <f>IF(AQ242="0",BJ242,0)</f>
        <v>0</v>
      </c>
      <c r="AI242" s="34" t="s">
        <v>2629</v>
      </c>
      <c r="AJ242" s="55">
        <f>IF(AN242=0,I242,0)</f>
        <v>0</v>
      </c>
      <c r="AK242" s="55">
        <f>IF(AN242=12,I242,0)</f>
        <v>0</v>
      </c>
      <c r="AL242" s="55">
        <f>IF(AN242=21,I242,0)</f>
        <v>0</v>
      </c>
      <c r="AN242" s="55">
        <v>21</v>
      </c>
      <c r="AO242" s="55">
        <f>H242*0.294117647</f>
        <v>0</v>
      </c>
      <c r="AP242" s="55">
        <f>H242*(1-0.294117647)</f>
        <v>0</v>
      </c>
      <c r="AQ242" s="58" t="s">
        <v>120</v>
      </c>
      <c r="AV242" s="55">
        <f>AW242+AX242</f>
        <v>0</v>
      </c>
      <c r="AW242" s="55">
        <f>G242*AO242</f>
        <v>0</v>
      </c>
      <c r="AX242" s="55">
        <f>G242*AP242</f>
        <v>0</v>
      </c>
      <c r="AY242" s="58" t="s">
        <v>961</v>
      </c>
      <c r="AZ242" s="58" t="s">
        <v>3095</v>
      </c>
      <c r="BA242" s="34" t="s">
        <v>2634</v>
      </c>
      <c r="BB242" s="67">
        <v>100039</v>
      </c>
      <c r="BC242" s="55">
        <f>AW242+AX242</f>
        <v>0</v>
      </c>
      <c r="BD242" s="55">
        <f>H242/(100-BE242)*100</f>
        <v>0</v>
      </c>
      <c r="BE242" s="55">
        <v>0</v>
      </c>
      <c r="BF242" s="55">
        <f>K242</f>
        <v>0.00053</v>
      </c>
      <c r="BH242" s="55">
        <f>G242*AO242</f>
        <v>0</v>
      </c>
      <c r="BI242" s="55">
        <f>G242*AP242</f>
        <v>0</v>
      </c>
      <c r="BJ242" s="55">
        <f>G242*H242</f>
        <v>0</v>
      </c>
      <c r="BK242" s="55"/>
      <c r="BL242" s="55">
        <v>62</v>
      </c>
      <c r="BW242" s="55">
        <v>21</v>
      </c>
    </row>
    <row r="243" spans="1:12" ht="13.5" customHeight="1">
      <c r="A243" s="59"/>
      <c r="D243" s="218" t="s">
        <v>3096</v>
      </c>
      <c r="E243" s="219"/>
      <c r="F243" s="219"/>
      <c r="G243" s="219"/>
      <c r="H243" s="219"/>
      <c r="I243" s="219"/>
      <c r="J243" s="219"/>
      <c r="K243" s="219"/>
      <c r="L243" s="221"/>
    </row>
    <row r="244" spans="1:12" ht="14.4">
      <c r="A244" s="59"/>
      <c r="D244" s="60" t="s">
        <v>120</v>
      </c>
      <c r="E244" s="60" t="s">
        <v>4</v>
      </c>
      <c r="G244" s="68">
        <v>1</v>
      </c>
      <c r="L244" s="69"/>
    </row>
    <row r="245" spans="1:47" ht="14.4">
      <c r="A245" s="50" t="s">
        <v>4</v>
      </c>
      <c r="B245" s="51" t="s">
        <v>2629</v>
      </c>
      <c r="C245" s="51" t="s">
        <v>2874</v>
      </c>
      <c r="D245" s="222" t="s">
        <v>3097</v>
      </c>
      <c r="E245" s="223"/>
      <c r="F245" s="52" t="s">
        <v>79</v>
      </c>
      <c r="G245" s="52" t="s">
        <v>79</v>
      </c>
      <c r="H245" s="52" t="s">
        <v>79</v>
      </c>
      <c r="I245" s="27">
        <f>SUM(I246:I263)</f>
        <v>0</v>
      </c>
      <c r="J245" s="34" t="s">
        <v>4</v>
      </c>
      <c r="K245" s="27">
        <f>SUM(K246:K263)</f>
        <v>6.6753268</v>
      </c>
      <c r="L245" s="54" t="s">
        <v>4</v>
      </c>
      <c r="AI245" s="34" t="s">
        <v>2629</v>
      </c>
      <c r="AS245" s="27">
        <f>SUM(AJ246:AJ263)</f>
        <v>0</v>
      </c>
      <c r="AT245" s="27">
        <f>SUM(AK246:AK263)</f>
        <v>0</v>
      </c>
      <c r="AU245" s="27">
        <f>SUM(AL246:AL263)</f>
        <v>0</v>
      </c>
    </row>
    <row r="246" spans="1:75" ht="13.5" customHeight="1">
      <c r="A246" s="1" t="s">
        <v>656</v>
      </c>
      <c r="B246" s="2" t="s">
        <v>2629</v>
      </c>
      <c r="C246" s="2" t="s">
        <v>3099</v>
      </c>
      <c r="D246" s="147" t="s">
        <v>3100</v>
      </c>
      <c r="E246" s="148"/>
      <c r="F246" s="2" t="s">
        <v>729</v>
      </c>
      <c r="G246" s="55">
        <f>'Stavební rozpočet-vyplnit'!G1624</f>
        <v>124.2</v>
      </c>
      <c r="H246" s="55">
        <f>'Stavební rozpočet-vyplnit'!H1624</f>
        <v>0</v>
      </c>
      <c r="I246" s="55">
        <f>G246*H246</f>
        <v>0</v>
      </c>
      <c r="J246" s="55">
        <f>'Stavební rozpočet-vyplnit'!J1624</f>
        <v>4E-05</v>
      </c>
      <c r="K246" s="55">
        <f>G246*J246</f>
        <v>0.004968</v>
      </c>
      <c r="L246" s="57" t="s">
        <v>785</v>
      </c>
      <c r="Z246" s="55">
        <f>IF(AQ246="5",BJ246,0)</f>
        <v>0</v>
      </c>
      <c r="AB246" s="55">
        <f>IF(AQ246="1",BH246,0)</f>
        <v>0</v>
      </c>
      <c r="AC246" s="55">
        <f>IF(AQ246="1",BI246,0)</f>
        <v>0</v>
      </c>
      <c r="AD246" s="55">
        <f>IF(AQ246="7",BH246,0)</f>
        <v>0</v>
      </c>
      <c r="AE246" s="55">
        <f>IF(AQ246="7",BI246,0)</f>
        <v>0</v>
      </c>
      <c r="AF246" s="55">
        <f>IF(AQ246="2",BH246,0)</f>
        <v>0</v>
      </c>
      <c r="AG246" s="55">
        <f>IF(AQ246="2",BI246,0)</f>
        <v>0</v>
      </c>
      <c r="AH246" s="55">
        <f>IF(AQ246="0",BJ246,0)</f>
        <v>0</v>
      </c>
      <c r="AI246" s="34" t="s">
        <v>2629</v>
      </c>
      <c r="AJ246" s="55">
        <f>IF(AN246=0,I246,0)</f>
        <v>0</v>
      </c>
      <c r="AK246" s="55">
        <f>IF(AN246=12,I246,0)</f>
        <v>0</v>
      </c>
      <c r="AL246" s="55">
        <f>IF(AN246=21,I246,0)</f>
        <v>0</v>
      </c>
      <c r="AN246" s="55">
        <v>21</v>
      </c>
      <c r="AO246" s="55">
        <f>H246*0.049007634</f>
        <v>0</v>
      </c>
      <c r="AP246" s="55">
        <f>H246*(1-0.049007634)</f>
        <v>0</v>
      </c>
      <c r="AQ246" s="58" t="s">
        <v>125</v>
      </c>
      <c r="AV246" s="55">
        <f>AW246+AX246</f>
        <v>0</v>
      </c>
      <c r="AW246" s="55">
        <f>G246*AO246</f>
        <v>0</v>
      </c>
      <c r="AX246" s="55">
        <f>G246*AP246</f>
        <v>0</v>
      </c>
      <c r="AY246" s="58" t="s">
        <v>3101</v>
      </c>
      <c r="AZ246" s="58" t="s">
        <v>3102</v>
      </c>
      <c r="BA246" s="34" t="s">
        <v>2634</v>
      </c>
      <c r="BB246" s="67">
        <v>100013</v>
      </c>
      <c r="BC246" s="55">
        <f>AW246+AX246</f>
        <v>0</v>
      </c>
      <c r="BD246" s="55">
        <f>H246/(100-BE246)*100</f>
        <v>0</v>
      </c>
      <c r="BE246" s="55">
        <v>0</v>
      </c>
      <c r="BF246" s="55">
        <f>K246</f>
        <v>0.004968</v>
      </c>
      <c r="BH246" s="55">
        <f>G246*AO246</f>
        <v>0</v>
      </c>
      <c r="BI246" s="55">
        <f>G246*AP246</f>
        <v>0</v>
      </c>
      <c r="BJ246" s="55">
        <f>G246*H246</f>
        <v>0</v>
      </c>
      <c r="BK246" s="55"/>
      <c r="BL246" s="55">
        <v>712</v>
      </c>
      <c r="BW246" s="55">
        <v>21</v>
      </c>
    </row>
    <row r="247" spans="1:12" ht="13.5" customHeight="1">
      <c r="A247" s="59"/>
      <c r="D247" s="218" t="s">
        <v>3103</v>
      </c>
      <c r="E247" s="219"/>
      <c r="F247" s="219"/>
      <c r="G247" s="219"/>
      <c r="H247" s="219"/>
      <c r="I247" s="219"/>
      <c r="J247" s="219"/>
      <c r="K247" s="219"/>
      <c r="L247" s="221"/>
    </row>
    <row r="248" spans="1:12" ht="14.4">
      <c r="A248" s="59"/>
      <c r="D248" s="60" t="s">
        <v>3104</v>
      </c>
      <c r="E248" s="60" t="s">
        <v>3105</v>
      </c>
      <c r="G248" s="68">
        <v>61.6</v>
      </c>
      <c r="L248" s="69"/>
    </row>
    <row r="249" spans="1:12" ht="14.4">
      <c r="A249" s="59"/>
      <c r="D249" s="60" t="s">
        <v>3106</v>
      </c>
      <c r="E249" s="60" t="s">
        <v>3107</v>
      </c>
      <c r="G249" s="68">
        <v>62.6</v>
      </c>
      <c r="L249" s="69"/>
    </row>
    <row r="250" spans="1:75" ht="13.5" customHeight="1">
      <c r="A250" s="1" t="s">
        <v>659</v>
      </c>
      <c r="B250" s="2" t="s">
        <v>2629</v>
      </c>
      <c r="C250" s="2" t="s">
        <v>3109</v>
      </c>
      <c r="D250" s="147" t="s">
        <v>3110</v>
      </c>
      <c r="E250" s="148"/>
      <c r="F250" s="2" t="s">
        <v>729</v>
      </c>
      <c r="G250" s="55">
        <f>'Stavební rozpočet-vyplnit'!G1628</f>
        <v>2242.96</v>
      </c>
      <c r="H250" s="55">
        <f>'Stavební rozpočet-vyplnit'!H1628</f>
        <v>0</v>
      </c>
      <c r="I250" s="55">
        <f>G250*H250</f>
        <v>0</v>
      </c>
      <c r="J250" s="55">
        <f>'Stavební rozpočet-vyplnit'!J1628</f>
        <v>3E-05</v>
      </c>
      <c r="K250" s="55">
        <f>G250*J250</f>
        <v>0.06728880000000001</v>
      </c>
      <c r="L250" s="57" t="s">
        <v>785</v>
      </c>
      <c r="Z250" s="55">
        <f>IF(AQ250="5",BJ250,0)</f>
        <v>0</v>
      </c>
      <c r="AB250" s="55">
        <f>IF(AQ250="1",BH250,0)</f>
        <v>0</v>
      </c>
      <c r="AC250" s="55">
        <f>IF(AQ250="1",BI250,0)</f>
        <v>0</v>
      </c>
      <c r="AD250" s="55">
        <f>IF(AQ250="7",BH250,0)</f>
        <v>0</v>
      </c>
      <c r="AE250" s="55">
        <f>IF(AQ250="7",BI250,0)</f>
        <v>0</v>
      </c>
      <c r="AF250" s="55">
        <f>IF(AQ250="2",BH250,0)</f>
        <v>0</v>
      </c>
      <c r="AG250" s="55">
        <f>IF(AQ250="2",BI250,0)</f>
        <v>0</v>
      </c>
      <c r="AH250" s="55">
        <f>IF(AQ250="0",BJ250,0)</f>
        <v>0</v>
      </c>
      <c r="AI250" s="34" t="s">
        <v>2629</v>
      </c>
      <c r="AJ250" s="55">
        <f>IF(AN250=0,I250,0)</f>
        <v>0</v>
      </c>
      <c r="AK250" s="55">
        <f>IF(AN250=12,I250,0)</f>
        <v>0</v>
      </c>
      <c r="AL250" s="55">
        <f>IF(AN250=21,I250,0)</f>
        <v>0</v>
      </c>
      <c r="AN250" s="55">
        <v>21</v>
      </c>
      <c r="AO250" s="55">
        <f>H250*0.03208128</f>
        <v>0</v>
      </c>
      <c r="AP250" s="55">
        <f>H250*(1-0.03208128)</f>
        <v>0</v>
      </c>
      <c r="AQ250" s="58" t="s">
        <v>125</v>
      </c>
      <c r="AV250" s="55">
        <f>AW250+AX250</f>
        <v>0</v>
      </c>
      <c r="AW250" s="55">
        <f>G250*AO250</f>
        <v>0</v>
      </c>
      <c r="AX250" s="55">
        <f>G250*AP250</f>
        <v>0</v>
      </c>
      <c r="AY250" s="58" t="s">
        <v>3101</v>
      </c>
      <c r="AZ250" s="58" t="s">
        <v>3102</v>
      </c>
      <c r="BA250" s="34" t="s">
        <v>2634</v>
      </c>
      <c r="BB250" s="67">
        <v>100013</v>
      </c>
      <c r="BC250" s="55">
        <f>AW250+AX250</f>
        <v>0</v>
      </c>
      <c r="BD250" s="55">
        <f>H250/(100-BE250)*100</f>
        <v>0</v>
      </c>
      <c r="BE250" s="55">
        <v>0</v>
      </c>
      <c r="BF250" s="55">
        <f>K250</f>
        <v>0.06728880000000001</v>
      </c>
      <c r="BH250" s="55">
        <f>G250*AO250</f>
        <v>0</v>
      </c>
      <c r="BI250" s="55">
        <f>G250*AP250</f>
        <v>0</v>
      </c>
      <c r="BJ250" s="55">
        <f>G250*H250</f>
        <v>0</v>
      </c>
      <c r="BK250" s="55"/>
      <c r="BL250" s="55">
        <v>712</v>
      </c>
      <c r="BW250" s="55">
        <v>21</v>
      </c>
    </row>
    <row r="251" spans="1:12" ht="13.5" customHeight="1">
      <c r="A251" s="59"/>
      <c r="D251" s="218" t="s">
        <v>3103</v>
      </c>
      <c r="E251" s="219"/>
      <c r="F251" s="219"/>
      <c r="G251" s="219"/>
      <c r="H251" s="219"/>
      <c r="I251" s="219"/>
      <c r="J251" s="219"/>
      <c r="K251" s="219"/>
      <c r="L251" s="221"/>
    </row>
    <row r="252" spans="1:12" ht="14.4">
      <c r="A252" s="59"/>
      <c r="D252" s="60" t="s">
        <v>3111</v>
      </c>
      <c r="E252" s="60" t="s">
        <v>3112</v>
      </c>
      <c r="G252" s="68">
        <v>1037.1</v>
      </c>
      <c r="L252" s="69"/>
    </row>
    <row r="253" spans="1:12" ht="14.4">
      <c r="A253" s="59"/>
      <c r="D253" s="60" t="s">
        <v>3113</v>
      </c>
      <c r="E253" s="60" t="s">
        <v>3114</v>
      </c>
      <c r="G253" s="68">
        <v>1067.1</v>
      </c>
      <c r="L253" s="69"/>
    </row>
    <row r="254" spans="1:12" ht="14.4">
      <c r="A254" s="59"/>
      <c r="D254" s="60" t="s">
        <v>3115</v>
      </c>
      <c r="E254" s="60" t="s">
        <v>3116</v>
      </c>
      <c r="G254" s="68">
        <v>71.61</v>
      </c>
      <c r="L254" s="69"/>
    </row>
    <row r="255" spans="1:12" ht="14.4">
      <c r="A255" s="59"/>
      <c r="D255" s="60" t="s">
        <v>3117</v>
      </c>
      <c r="E255" s="60" t="s">
        <v>3118</v>
      </c>
      <c r="G255" s="68">
        <v>43.3</v>
      </c>
      <c r="L255" s="69"/>
    </row>
    <row r="256" spans="1:12" ht="14.4">
      <c r="A256" s="59"/>
      <c r="D256" s="60" t="s">
        <v>3119</v>
      </c>
      <c r="E256" s="60" t="s">
        <v>3120</v>
      </c>
      <c r="G256" s="68">
        <v>23.85</v>
      </c>
      <c r="L256" s="69"/>
    </row>
    <row r="257" spans="1:75" ht="27" customHeight="1">
      <c r="A257" s="61" t="s">
        <v>661</v>
      </c>
      <c r="B257" s="62" t="s">
        <v>2629</v>
      </c>
      <c r="C257" s="62" t="s">
        <v>3122</v>
      </c>
      <c r="D257" s="224" t="s">
        <v>3123</v>
      </c>
      <c r="E257" s="225"/>
      <c r="F257" s="62" t="s">
        <v>729</v>
      </c>
      <c r="G257" s="63">
        <f>'Stavební rozpočet-vyplnit'!G1635</f>
        <v>1208.57</v>
      </c>
      <c r="H257" s="63">
        <f>'Stavební rozpočet-vyplnit'!H1635</f>
        <v>0</v>
      </c>
      <c r="I257" s="63">
        <f>G257*H257</f>
        <v>0</v>
      </c>
      <c r="J257" s="63">
        <f>'Stavební rozpočet-vyplnit'!J1635</f>
        <v>0.002</v>
      </c>
      <c r="K257" s="63">
        <f>G257*J257</f>
        <v>2.41714</v>
      </c>
      <c r="L257" s="65" t="s">
        <v>124</v>
      </c>
      <c r="Z257" s="55">
        <f>IF(AQ257="5",BJ257,0)</f>
        <v>0</v>
      </c>
      <c r="AB257" s="55">
        <f>IF(AQ257="1",BH257,0)</f>
        <v>0</v>
      </c>
      <c r="AC257" s="55">
        <f>IF(AQ257="1",BI257,0)</f>
        <v>0</v>
      </c>
      <c r="AD257" s="55">
        <f>IF(AQ257="7",BH257,0)</f>
        <v>0</v>
      </c>
      <c r="AE257" s="55">
        <f>IF(AQ257="7",BI257,0)</f>
        <v>0</v>
      </c>
      <c r="AF257" s="55">
        <f>IF(AQ257="2",BH257,0)</f>
        <v>0</v>
      </c>
      <c r="AG257" s="55">
        <f>IF(AQ257="2",BI257,0)</f>
        <v>0</v>
      </c>
      <c r="AH257" s="55">
        <f>IF(AQ257="0",BJ257,0)</f>
        <v>0</v>
      </c>
      <c r="AI257" s="34" t="s">
        <v>2629</v>
      </c>
      <c r="AJ257" s="63">
        <f>IF(AN257=0,I257,0)</f>
        <v>0</v>
      </c>
      <c r="AK257" s="63">
        <f>IF(AN257=12,I257,0)</f>
        <v>0</v>
      </c>
      <c r="AL257" s="63">
        <f>IF(AN257=21,I257,0)</f>
        <v>0</v>
      </c>
      <c r="AN257" s="55">
        <v>21</v>
      </c>
      <c r="AO257" s="55">
        <f>H257*1</f>
        <v>0</v>
      </c>
      <c r="AP257" s="55">
        <f>H257*(1-1)</f>
        <v>0</v>
      </c>
      <c r="AQ257" s="66" t="s">
        <v>125</v>
      </c>
      <c r="AV257" s="55">
        <f>AW257+AX257</f>
        <v>0</v>
      </c>
      <c r="AW257" s="55">
        <f>G257*AO257</f>
        <v>0</v>
      </c>
      <c r="AX257" s="55">
        <f>G257*AP257</f>
        <v>0</v>
      </c>
      <c r="AY257" s="58" t="s">
        <v>3101</v>
      </c>
      <c r="AZ257" s="58" t="s">
        <v>3102</v>
      </c>
      <c r="BA257" s="34" t="s">
        <v>2634</v>
      </c>
      <c r="BC257" s="55">
        <f>AW257+AX257</f>
        <v>0</v>
      </c>
      <c r="BD257" s="55">
        <f>H257/(100-BE257)*100</f>
        <v>0</v>
      </c>
      <c r="BE257" s="55">
        <v>0</v>
      </c>
      <c r="BF257" s="55">
        <f>K257</f>
        <v>2.41714</v>
      </c>
      <c r="BH257" s="63">
        <f>G257*AO257</f>
        <v>0</v>
      </c>
      <c r="BI257" s="63">
        <f>G257*AP257</f>
        <v>0</v>
      </c>
      <c r="BJ257" s="63">
        <f>G257*H257</f>
        <v>0</v>
      </c>
      <c r="BK257" s="63"/>
      <c r="BL257" s="55">
        <v>712</v>
      </c>
      <c r="BW257" s="55">
        <v>21</v>
      </c>
    </row>
    <row r="258" spans="1:12" ht="14.4">
      <c r="A258" s="59"/>
      <c r="D258" s="60" t="s">
        <v>3124</v>
      </c>
      <c r="E258" s="60" t="s">
        <v>3125</v>
      </c>
      <c r="G258" s="68">
        <v>1098.7</v>
      </c>
      <c r="L258" s="69"/>
    </row>
    <row r="259" spans="1:12" ht="14.4">
      <c r="A259" s="59"/>
      <c r="D259" s="60" t="s">
        <v>3126</v>
      </c>
      <c r="E259" s="60" t="s">
        <v>4</v>
      </c>
      <c r="G259" s="68">
        <v>109.87</v>
      </c>
      <c r="L259" s="69"/>
    </row>
    <row r="260" spans="1:75" ht="27" customHeight="1">
      <c r="A260" s="61" t="s">
        <v>663</v>
      </c>
      <c r="B260" s="62" t="s">
        <v>2629</v>
      </c>
      <c r="C260" s="62" t="s">
        <v>3127</v>
      </c>
      <c r="D260" s="224" t="s">
        <v>3128</v>
      </c>
      <c r="E260" s="225"/>
      <c r="F260" s="62" t="s">
        <v>729</v>
      </c>
      <c r="G260" s="63">
        <f>'Stavební rozpočet-vyplnit'!G1638</f>
        <v>1395.31</v>
      </c>
      <c r="H260" s="63">
        <f>'Stavební rozpočet-vyplnit'!H1638</f>
        <v>0</v>
      </c>
      <c r="I260" s="63">
        <f>G260*H260</f>
        <v>0</v>
      </c>
      <c r="J260" s="63">
        <f>'Stavební rozpočet-vyplnit'!J1638</f>
        <v>0.003</v>
      </c>
      <c r="K260" s="63">
        <f>G260*J260</f>
        <v>4.18593</v>
      </c>
      <c r="L260" s="65" t="s">
        <v>124</v>
      </c>
      <c r="Z260" s="55">
        <f>IF(AQ260="5",BJ260,0)</f>
        <v>0</v>
      </c>
      <c r="AB260" s="55">
        <f>IF(AQ260="1",BH260,0)</f>
        <v>0</v>
      </c>
      <c r="AC260" s="55">
        <f>IF(AQ260="1",BI260,0)</f>
        <v>0</v>
      </c>
      <c r="AD260" s="55">
        <f>IF(AQ260="7",BH260,0)</f>
        <v>0</v>
      </c>
      <c r="AE260" s="55">
        <f>IF(AQ260="7",BI260,0)</f>
        <v>0</v>
      </c>
      <c r="AF260" s="55">
        <f>IF(AQ260="2",BH260,0)</f>
        <v>0</v>
      </c>
      <c r="AG260" s="55">
        <f>IF(AQ260="2",BI260,0)</f>
        <v>0</v>
      </c>
      <c r="AH260" s="55">
        <f>IF(AQ260="0",BJ260,0)</f>
        <v>0</v>
      </c>
      <c r="AI260" s="34" t="s">
        <v>2629</v>
      </c>
      <c r="AJ260" s="63">
        <f>IF(AN260=0,I260,0)</f>
        <v>0</v>
      </c>
      <c r="AK260" s="63">
        <f>IF(AN260=12,I260,0)</f>
        <v>0</v>
      </c>
      <c r="AL260" s="63">
        <f>IF(AN260=21,I260,0)</f>
        <v>0</v>
      </c>
      <c r="AN260" s="55">
        <v>21</v>
      </c>
      <c r="AO260" s="55">
        <f>H260*1</f>
        <v>0</v>
      </c>
      <c r="AP260" s="55">
        <f>H260*(1-1)</f>
        <v>0</v>
      </c>
      <c r="AQ260" s="66" t="s">
        <v>125</v>
      </c>
      <c r="AV260" s="55">
        <f>AW260+AX260</f>
        <v>0</v>
      </c>
      <c r="AW260" s="55">
        <f>G260*AO260</f>
        <v>0</v>
      </c>
      <c r="AX260" s="55">
        <f>G260*AP260</f>
        <v>0</v>
      </c>
      <c r="AY260" s="58" t="s">
        <v>3101</v>
      </c>
      <c r="AZ260" s="58" t="s">
        <v>3102</v>
      </c>
      <c r="BA260" s="34" t="s">
        <v>2634</v>
      </c>
      <c r="BC260" s="55">
        <f>AW260+AX260</f>
        <v>0</v>
      </c>
      <c r="BD260" s="55">
        <f>H260/(100-BE260)*100</f>
        <v>0</v>
      </c>
      <c r="BE260" s="55">
        <v>0</v>
      </c>
      <c r="BF260" s="55">
        <f>K260</f>
        <v>4.18593</v>
      </c>
      <c r="BH260" s="63">
        <f>G260*AO260</f>
        <v>0</v>
      </c>
      <c r="BI260" s="63">
        <f>G260*AP260</f>
        <v>0</v>
      </c>
      <c r="BJ260" s="63">
        <f>G260*H260</f>
        <v>0</v>
      </c>
      <c r="BK260" s="63"/>
      <c r="BL260" s="55">
        <v>712</v>
      </c>
      <c r="BW260" s="55">
        <v>21</v>
      </c>
    </row>
    <row r="261" spans="1:12" ht="14.4">
      <c r="A261" s="59"/>
      <c r="D261" s="60" t="s">
        <v>3129</v>
      </c>
      <c r="E261" s="60" t="s">
        <v>4</v>
      </c>
      <c r="G261" s="68">
        <v>1268.46</v>
      </c>
      <c r="L261" s="69"/>
    </row>
    <row r="262" spans="1:12" ht="14.4">
      <c r="A262" s="59"/>
      <c r="D262" s="60" t="s">
        <v>3130</v>
      </c>
      <c r="E262" s="60" t="s">
        <v>4</v>
      </c>
      <c r="G262" s="68">
        <v>126.85</v>
      </c>
      <c r="L262" s="69"/>
    </row>
    <row r="263" spans="1:75" ht="13.5" customHeight="1">
      <c r="A263" s="1" t="s">
        <v>667</v>
      </c>
      <c r="B263" s="2" t="s">
        <v>2629</v>
      </c>
      <c r="C263" s="2" t="s">
        <v>3132</v>
      </c>
      <c r="D263" s="147" t="s">
        <v>3133</v>
      </c>
      <c r="E263" s="148"/>
      <c r="F263" s="2" t="s">
        <v>939</v>
      </c>
      <c r="G263" s="55">
        <f>'Stavební rozpočet-vyplnit'!G1641</f>
        <v>6.67</v>
      </c>
      <c r="H263" s="55">
        <f>'Stavební rozpočet-vyplnit'!H1641</f>
        <v>0</v>
      </c>
      <c r="I263" s="55">
        <f>G263*H263</f>
        <v>0</v>
      </c>
      <c r="J263" s="55">
        <f>'Stavební rozpočet-vyplnit'!J1641</f>
        <v>0</v>
      </c>
      <c r="K263" s="55">
        <f>G263*J263</f>
        <v>0</v>
      </c>
      <c r="L263" s="57" t="s">
        <v>785</v>
      </c>
      <c r="Z263" s="55">
        <f>IF(AQ263="5",BJ263,0)</f>
        <v>0</v>
      </c>
      <c r="AB263" s="55">
        <f>IF(AQ263="1",BH263,0)</f>
        <v>0</v>
      </c>
      <c r="AC263" s="55">
        <f>IF(AQ263="1",BI263,0)</f>
        <v>0</v>
      </c>
      <c r="AD263" s="55">
        <f>IF(AQ263="7",BH263,0)</f>
        <v>0</v>
      </c>
      <c r="AE263" s="55">
        <f>IF(AQ263="7",BI263,0)</f>
        <v>0</v>
      </c>
      <c r="AF263" s="55">
        <f>IF(AQ263="2",BH263,0)</f>
        <v>0</v>
      </c>
      <c r="AG263" s="55">
        <f>IF(AQ263="2",BI263,0)</f>
        <v>0</v>
      </c>
      <c r="AH263" s="55">
        <f>IF(AQ263="0",BJ263,0)</f>
        <v>0</v>
      </c>
      <c r="AI263" s="34" t="s">
        <v>2629</v>
      </c>
      <c r="AJ263" s="55">
        <f>IF(AN263=0,I263,0)</f>
        <v>0</v>
      </c>
      <c r="AK263" s="55">
        <f>IF(AN263=12,I263,0)</f>
        <v>0</v>
      </c>
      <c r="AL263" s="55">
        <f>IF(AN263=21,I263,0)</f>
        <v>0</v>
      </c>
      <c r="AN263" s="55">
        <v>21</v>
      </c>
      <c r="AO263" s="55">
        <f>H263*0</f>
        <v>0</v>
      </c>
      <c r="AP263" s="55">
        <f>H263*(1-0)</f>
        <v>0</v>
      </c>
      <c r="AQ263" s="58" t="s">
        <v>139</v>
      </c>
      <c r="AV263" s="55">
        <f>AW263+AX263</f>
        <v>0</v>
      </c>
      <c r="AW263" s="55">
        <f>G263*AO263</f>
        <v>0</v>
      </c>
      <c r="AX263" s="55">
        <f>G263*AP263</f>
        <v>0</v>
      </c>
      <c r="AY263" s="58" t="s">
        <v>3101</v>
      </c>
      <c r="AZ263" s="58" t="s">
        <v>3102</v>
      </c>
      <c r="BA263" s="34" t="s">
        <v>2634</v>
      </c>
      <c r="BC263" s="55">
        <f>AW263+AX263</f>
        <v>0</v>
      </c>
      <c r="BD263" s="55">
        <f>H263/(100-BE263)*100</f>
        <v>0</v>
      </c>
      <c r="BE263" s="55">
        <v>0</v>
      </c>
      <c r="BF263" s="55">
        <f>K263</f>
        <v>0</v>
      </c>
      <c r="BH263" s="55">
        <f>G263*AO263</f>
        <v>0</v>
      </c>
      <c r="BI263" s="55">
        <f>G263*AP263</f>
        <v>0</v>
      </c>
      <c r="BJ263" s="55">
        <f>G263*H263</f>
        <v>0</v>
      </c>
      <c r="BK263" s="55"/>
      <c r="BL263" s="55">
        <v>712</v>
      </c>
      <c r="BW263" s="55">
        <v>21</v>
      </c>
    </row>
    <row r="264" spans="1:12" ht="14.4">
      <c r="A264" s="59"/>
      <c r="D264" s="60" t="s">
        <v>3134</v>
      </c>
      <c r="E264" s="60" t="s">
        <v>4</v>
      </c>
      <c r="G264" s="68">
        <v>6.67</v>
      </c>
      <c r="L264" s="69"/>
    </row>
    <row r="265" spans="1:47" ht="14.4">
      <c r="A265" s="50" t="s">
        <v>4</v>
      </c>
      <c r="B265" s="51" t="s">
        <v>2629</v>
      </c>
      <c r="C265" s="51" t="s">
        <v>1508</v>
      </c>
      <c r="D265" s="222" t="s">
        <v>370</v>
      </c>
      <c r="E265" s="223"/>
      <c r="F265" s="52" t="s">
        <v>79</v>
      </c>
      <c r="G265" s="52" t="s">
        <v>79</v>
      </c>
      <c r="H265" s="52" t="s">
        <v>79</v>
      </c>
      <c r="I265" s="27">
        <f>SUM(I266:I269)</f>
        <v>0</v>
      </c>
      <c r="J265" s="34" t="s">
        <v>4</v>
      </c>
      <c r="K265" s="27">
        <f>SUM(K266:K269)</f>
        <v>0</v>
      </c>
      <c r="L265" s="54" t="s">
        <v>4</v>
      </c>
      <c r="AI265" s="34" t="s">
        <v>2629</v>
      </c>
      <c r="AS265" s="27">
        <f>SUM(AJ266:AJ269)</f>
        <v>0</v>
      </c>
      <c r="AT265" s="27">
        <f>SUM(AK266:AK269)</f>
        <v>0</v>
      </c>
      <c r="AU265" s="27">
        <f>SUM(AL266:AL269)</f>
        <v>0</v>
      </c>
    </row>
    <row r="266" spans="1:75" ht="13.5" customHeight="1">
      <c r="A266" s="1" t="s">
        <v>671</v>
      </c>
      <c r="B266" s="2" t="s">
        <v>2629</v>
      </c>
      <c r="C266" s="2" t="s">
        <v>3136</v>
      </c>
      <c r="D266" s="147" t="s">
        <v>3137</v>
      </c>
      <c r="E266" s="148"/>
      <c r="F266" s="2" t="s">
        <v>174</v>
      </c>
      <c r="G266" s="55">
        <f>'Stavební rozpočet-vyplnit'!G1644</f>
        <v>6</v>
      </c>
      <c r="H266" s="55">
        <f>'Stavební rozpočet-vyplnit'!H1644</f>
        <v>0</v>
      </c>
      <c r="I266" s="55">
        <f>G266*H266</f>
        <v>0</v>
      </c>
      <c r="J266" s="55">
        <f>'Stavební rozpočet-vyplnit'!J1644</f>
        <v>0</v>
      </c>
      <c r="K266" s="55">
        <f>G266*J266</f>
        <v>0</v>
      </c>
      <c r="L266" s="57" t="s">
        <v>124</v>
      </c>
      <c r="Z266" s="55">
        <f>IF(AQ266="5",BJ266,0)</f>
        <v>0</v>
      </c>
      <c r="AB266" s="55">
        <f>IF(AQ266="1",BH266,0)</f>
        <v>0</v>
      </c>
      <c r="AC266" s="55">
        <f>IF(AQ266="1",BI266,0)</f>
        <v>0</v>
      </c>
      <c r="AD266" s="55">
        <f>IF(AQ266="7",BH266,0)</f>
        <v>0</v>
      </c>
      <c r="AE266" s="55">
        <f>IF(AQ266="7",BI266,0)</f>
        <v>0</v>
      </c>
      <c r="AF266" s="55">
        <f>IF(AQ266="2",BH266,0)</f>
        <v>0</v>
      </c>
      <c r="AG266" s="55">
        <f>IF(AQ266="2",BI266,0)</f>
        <v>0</v>
      </c>
      <c r="AH266" s="55">
        <f>IF(AQ266="0",BJ266,0)</f>
        <v>0</v>
      </c>
      <c r="AI266" s="34" t="s">
        <v>2629</v>
      </c>
      <c r="AJ266" s="55">
        <f>IF(AN266=0,I266,0)</f>
        <v>0</v>
      </c>
      <c r="AK266" s="55">
        <f>IF(AN266=12,I266,0)</f>
        <v>0</v>
      </c>
      <c r="AL266" s="55">
        <f>IF(AN266=21,I266,0)</f>
        <v>0</v>
      </c>
      <c r="AN266" s="55">
        <v>21</v>
      </c>
      <c r="AO266" s="55">
        <f>H266*0</f>
        <v>0</v>
      </c>
      <c r="AP266" s="55">
        <f>H266*(1-0)</f>
        <v>0</v>
      </c>
      <c r="AQ266" s="58" t="s">
        <v>125</v>
      </c>
      <c r="AV266" s="55">
        <f>AW266+AX266</f>
        <v>0</v>
      </c>
      <c r="AW266" s="55">
        <f>G266*AO266</f>
        <v>0</v>
      </c>
      <c r="AX266" s="55">
        <f>G266*AP266</f>
        <v>0</v>
      </c>
      <c r="AY266" s="58" t="s">
        <v>1512</v>
      </c>
      <c r="AZ266" s="58" t="s">
        <v>3138</v>
      </c>
      <c r="BA266" s="34" t="s">
        <v>2634</v>
      </c>
      <c r="BC266" s="55">
        <f>AW266+AX266</f>
        <v>0</v>
      </c>
      <c r="BD266" s="55">
        <f>H266/(100-BE266)*100</f>
        <v>0</v>
      </c>
      <c r="BE266" s="55">
        <v>0</v>
      </c>
      <c r="BF266" s="55">
        <f>K266</f>
        <v>0</v>
      </c>
      <c r="BH266" s="55">
        <f>G266*AO266</f>
        <v>0</v>
      </c>
      <c r="BI266" s="55">
        <f>G266*AP266</f>
        <v>0</v>
      </c>
      <c r="BJ266" s="55">
        <f>G266*H266</f>
        <v>0</v>
      </c>
      <c r="BK266" s="55"/>
      <c r="BL266" s="55">
        <v>728</v>
      </c>
      <c r="BW266" s="55">
        <v>21</v>
      </c>
    </row>
    <row r="267" spans="1:75" ht="13.5" customHeight="1">
      <c r="A267" s="1" t="s">
        <v>674</v>
      </c>
      <c r="B267" s="2" t="s">
        <v>2629</v>
      </c>
      <c r="C267" s="2" t="s">
        <v>3140</v>
      </c>
      <c r="D267" s="147" t="s">
        <v>3141</v>
      </c>
      <c r="E267" s="148"/>
      <c r="F267" s="2" t="s">
        <v>374</v>
      </c>
      <c r="G267" s="55">
        <f>'Stavební rozpočet-vyplnit'!G1645</f>
        <v>1</v>
      </c>
      <c r="H267" s="55">
        <f>'Stavební rozpočet-vyplnit'!H1645</f>
        <v>0</v>
      </c>
      <c r="I267" s="55">
        <f>G267*H267</f>
        <v>0</v>
      </c>
      <c r="J267" s="55">
        <f>'Stavební rozpočet-vyplnit'!J1645</f>
        <v>0</v>
      </c>
      <c r="K267" s="55">
        <f>G267*J267</f>
        <v>0</v>
      </c>
      <c r="L267" s="57" t="s">
        <v>124</v>
      </c>
      <c r="Z267" s="55">
        <f>IF(AQ267="5",BJ267,0)</f>
        <v>0</v>
      </c>
      <c r="AB267" s="55">
        <f>IF(AQ267="1",BH267,0)</f>
        <v>0</v>
      </c>
      <c r="AC267" s="55">
        <f>IF(AQ267="1",BI267,0)</f>
        <v>0</v>
      </c>
      <c r="AD267" s="55">
        <f>IF(AQ267="7",BH267,0)</f>
        <v>0</v>
      </c>
      <c r="AE267" s="55">
        <f>IF(AQ267="7",BI267,0)</f>
        <v>0</v>
      </c>
      <c r="AF267" s="55">
        <f>IF(AQ267="2",BH267,0)</f>
        <v>0</v>
      </c>
      <c r="AG267" s="55">
        <f>IF(AQ267="2",BI267,0)</f>
        <v>0</v>
      </c>
      <c r="AH267" s="55">
        <f>IF(AQ267="0",BJ267,0)</f>
        <v>0</v>
      </c>
      <c r="AI267" s="34" t="s">
        <v>2629</v>
      </c>
      <c r="AJ267" s="55">
        <f>IF(AN267=0,I267,0)</f>
        <v>0</v>
      </c>
      <c r="AK267" s="55">
        <f>IF(AN267=12,I267,0)</f>
        <v>0</v>
      </c>
      <c r="AL267" s="55">
        <f>IF(AN267=21,I267,0)</f>
        <v>0</v>
      </c>
      <c r="AN267" s="55">
        <v>21</v>
      </c>
      <c r="AO267" s="55">
        <f>H267*0</f>
        <v>0</v>
      </c>
      <c r="AP267" s="55">
        <f>H267*(1-0)</f>
        <v>0</v>
      </c>
      <c r="AQ267" s="58" t="s">
        <v>125</v>
      </c>
      <c r="AV267" s="55">
        <f>AW267+AX267</f>
        <v>0</v>
      </c>
      <c r="AW267" s="55">
        <f>G267*AO267</f>
        <v>0</v>
      </c>
      <c r="AX267" s="55">
        <f>G267*AP267</f>
        <v>0</v>
      </c>
      <c r="AY267" s="58" t="s">
        <v>1512</v>
      </c>
      <c r="AZ267" s="58" t="s">
        <v>3138</v>
      </c>
      <c r="BA267" s="34" t="s">
        <v>2634</v>
      </c>
      <c r="BC267" s="55">
        <f>AW267+AX267</f>
        <v>0</v>
      </c>
      <c r="BD267" s="55">
        <f>H267/(100-BE267)*100</f>
        <v>0</v>
      </c>
      <c r="BE267" s="55">
        <v>0</v>
      </c>
      <c r="BF267" s="55">
        <f>K267</f>
        <v>0</v>
      </c>
      <c r="BH267" s="55">
        <f>G267*AO267</f>
        <v>0</v>
      </c>
      <c r="BI267" s="55">
        <f>G267*AP267</f>
        <v>0</v>
      </c>
      <c r="BJ267" s="55">
        <f>G267*H267</f>
        <v>0</v>
      </c>
      <c r="BK267" s="55"/>
      <c r="BL267" s="55">
        <v>728</v>
      </c>
      <c r="BW267" s="55">
        <v>21</v>
      </c>
    </row>
    <row r="268" spans="1:75" ht="13.5" customHeight="1">
      <c r="A268" s="61" t="s">
        <v>677</v>
      </c>
      <c r="B268" s="62" t="s">
        <v>2629</v>
      </c>
      <c r="C268" s="62" t="s">
        <v>3143</v>
      </c>
      <c r="D268" s="224" t="s">
        <v>3144</v>
      </c>
      <c r="E268" s="225"/>
      <c r="F268" s="62" t="s">
        <v>374</v>
      </c>
      <c r="G268" s="63">
        <f>'Stavební rozpočet-vyplnit'!G1646</f>
        <v>1</v>
      </c>
      <c r="H268" s="63">
        <f>'Stavební rozpočet-vyplnit'!H1646</f>
        <v>0</v>
      </c>
      <c r="I268" s="63">
        <f>G268*H268</f>
        <v>0</v>
      </c>
      <c r="J268" s="63">
        <f>'Stavební rozpočet-vyplnit'!J1646</f>
        <v>0</v>
      </c>
      <c r="K268" s="63">
        <f>G268*J268</f>
        <v>0</v>
      </c>
      <c r="L268" s="65" t="s">
        <v>124</v>
      </c>
      <c r="Z268" s="55">
        <f>IF(AQ268="5",BJ268,0)</f>
        <v>0</v>
      </c>
      <c r="AB268" s="55">
        <f>IF(AQ268="1",BH268,0)</f>
        <v>0</v>
      </c>
      <c r="AC268" s="55">
        <f>IF(AQ268="1",BI268,0)</f>
        <v>0</v>
      </c>
      <c r="AD268" s="55">
        <f>IF(AQ268="7",BH268,0)</f>
        <v>0</v>
      </c>
      <c r="AE268" s="55">
        <f>IF(AQ268="7",BI268,0)</f>
        <v>0</v>
      </c>
      <c r="AF268" s="55">
        <f>IF(AQ268="2",BH268,0)</f>
        <v>0</v>
      </c>
      <c r="AG268" s="55">
        <f>IF(AQ268="2",BI268,0)</f>
        <v>0</v>
      </c>
      <c r="AH268" s="55">
        <f>IF(AQ268="0",BJ268,0)</f>
        <v>0</v>
      </c>
      <c r="AI268" s="34" t="s">
        <v>2629</v>
      </c>
      <c r="AJ268" s="63">
        <f>IF(AN268=0,I268,0)</f>
        <v>0</v>
      </c>
      <c r="AK268" s="63">
        <f>IF(AN268=12,I268,0)</f>
        <v>0</v>
      </c>
      <c r="AL268" s="63">
        <f>IF(AN268=21,I268,0)</f>
        <v>0</v>
      </c>
      <c r="AN268" s="55">
        <v>21</v>
      </c>
      <c r="AO268" s="55">
        <f>H268*1</f>
        <v>0</v>
      </c>
      <c r="AP268" s="55">
        <f>H268*(1-1)</f>
        <v>0</v>
      </c>
      <c r="AQ268" s="66" t="s">
        <v>125</v>
      </c>
      <c r="AV268" s="55">
        <f>AW268+AX268</f>
        <v>0</v>
      </c>
      <c r="AW268" s="55">
        <f>G268*AO268</f>
        <v>0</v>
      </c>
      <c r="AX268" s="55">
        <f>G268*AP268</f>
        <v>0</v>
      </c>
      <c r="AY268" s="58" t="s">
        <v>1512</v>
      </c>
      <c r="AZ268" s="58" t="s">
        <v>3138</v>
      </c>
      <c r="BA268" s="34" t="s">
        <v>2634</v>
      </c>
      <c r="BC268" s="55">
        <f>AW268+AX268</f>
        <v>0</v>
      </c>
      <c r="BD268" s="55">
        <f>H268/(100-BE268)*100</f>
        <v>0</v>
      </c>
      <c r="BE268" s="55">
        <v>0</v>
      </c>
      <c r="BF268" s="55">
        <f>K268</f>
        <v>0</v>
      </c>
      <c r="BH268" s="63">
        <f>G268*AO268</f>
        <v>0</v>
      </c>
      <c r="BI268" s="63">
        <f>G268*AP268</f>
        <v>0</v>
      </c>
      <c r="BJ268" s="63">
        <f>G268*H268</f>
        <v>0</v>
      </c>
      <c r="BK268" s="63"/>
      <c r="BL268" s="55">
        <v>728</v>
      </c>
      <c r="BW268" s="55">
        <v>21</v>
      </c>
    </row>
    <row r="269" spans="1:75" ht="13.5" customHeight="1">
      <c r="A269" s="1" t="s">
        <v>680</v>
      </c>
      <c r="B269" s="2" t="s">
        <v>2629</v>
      </c>
      <c r="C269" s="2" t="s">
        <v>3146</v>
      </c>
      <c r="D269" s="147" t="s">
        <v>3147</v>
      </c>
      <c r="E269" s="148"/>
      <c r="F269" s="2" t="s">
        <v>174</v>
      </c>
      <c r="G269" s="55">
        <f>'Stavební rozpočet-vyplnit'!G1647</f>
        <v>6</v>
      </c>
      <c r="H269" s="55">
        <f>'Stavební rozpočet-vyplnit'!H1647</f>
        <v>0</v>
      </c>
      <c r="I269" s="55">
        <f>G269*H269</f>
        <v>0</v>
      </c>
      <c r="J269" s="55">
        <f>'Stavební rozpočet-vyplnit'!J1647</f>
        <v>0</v>
      </c>
      <c r="K269" s="55">
        <f>G269*J269</f>
        <v>0</v>
      </c>
      <c r="L269" s="57" t="s">
        <v>124</v>
      </c>
      <c r="Z269" s="55">
        <f>IF(AQ269="5",BJ269,0)</f>
        <v>0</v>
      </c>
      <c r="AB269" s="55">
        <f>IF(AQ269="1",BH269,0)</f>
        <v>0</v>
      </c>
      <c r="AC269" s="55">
        <f>IF(AQ269="1",BI269,0)</f>
        <v>0</v>
      </c>
      <c r="AD269" s="55">
        <f>IF(AQ269="7",BH269,0)</f>
        <v>0</v>
      </c>
      <c r="AE269" s="55">
        <f>IF(AQ269="7",BI269,0)</f>
        <v>0</v>
      </c>
      <c r="AF269" s="55">
        <f>IF(AQ269="2",BH269,0)</f>
        <v>0</v>
      </c>
      <c r="AG269" s="55">
        <f>IF(AQ269="2",BI269,0)</f>
        <v>0</v>
      </c>
      <c r="AH269" s="55">
        <f>IF(AQ269="0",BJ269,0)</f>
        <v>0</v>
      </c>
      <c r="AI269" s="34" t="s">
        <v>2629</v>
      </c>
      <c r="AJ269" s="55">
        <f>IF(AN269=0,I269,0)</f>
        <v>0</v>
      </c>
      <c r="AK269" s="55">
        <f>IF(AN269=12,I269,0)</f>
        <v>0</v>
      </c>
      <c r="AL269" s="55">
        <f>IF(AN269=21,I269,0)</f>
        <v>0</v>
      </c>
      <c r="AN269" s="55">
        <v>21</v>
      </c>
      <c r="AO269" s="55">
        <f>H269*0</f>
        <v>0</v>
      </c>
      <c r="AP269" s="55">
        <f>H269*(1-0)</f>
        <v>0</v>
      </c>
      <c r="AQ269" s="58" t="s">
        <v>125</v>
      </c>
      <c r="AV269" s="55">
        <f>AW269+AX269</f>
        <v>0</v>
      </c>
      <c r="AW269" s="55">
        <f>G269*AO269</f>
        <v>0</v>
      </c>
      <c r="AX269" s="55">
        <f>G269*AP269</f>
        <v>0</v>
      </c>
      <c r="AY269" s="58" t="s">
        <v>1512</v>
      </c>
      <c r="AZ269" s="58" t="s">
        <v>3138</v>
      </c>
      <c r="BA269" s="34" t="s">
        <v>2634</v>
      </c>
      <c r="BC269" s="55">
        <f>AW269+AX269</f>
        <v>0</v>
      </c>
      <c r="BD269" s="55">
        <f>H269/(100-BE269)*100</f>
        <v>0</v>
      </c>
      <c r="BE269" s="55">
        <v>0</v>
      </c>
      <c r="BF269" s="55">
        <f>K269</f>
        <v>0</v>
      </c>
      <c r="BH269" s="55">
        <f>G269*AO269</f>
        <v>0</v>
      </c>
      <c r="BI269" s="55">
        <f>G269*AP269</f>
        <v>0</v>
      </c>
      <c r="BJ269" s="55">
        <f>G269*H269</f>
        <v>0</v>
      </c>
      <c r="BK269" s="55"/>
      <c r="BL269" s="55">
        <v>728</v>
      </c>
      <c r="BW269" s="55">
        <v>21</v>
      </c>
    </row>
    <row r="270" spans="1:47" ht="14.4">
      <c r="A270" s="50" t="s">
        <v>4</v>
      </c>
      <c r="B270" s="51" t="s">
        <v>2629</v>
      </c>
      <c r="C270" s="51" t="s">
        <v>1532</v>
      </c>
      <c r="D270" s="222" t="s">
        <v>1533</v>
      </c>
      <c r="E270" s="223"/>
      <c r="F270" s="52" t="s">
        <v>79</v>
      </c>
      <c r="G270" s="52" t="s">
        <v>79</v>
      </c>
      <c r="H270" s="52" t="s">
        <v>79</v>
      </c>
      <c r="I270" s="27">
        <f>SUM(I271:I281)</f>
        <v>0</v>
      </c>
      <c r="J270" s="34" t="s">
        <v>4</v>
      </c>
      <c r="K270" s="27">
        <f>SUM(K271:K281)</f>
        <v>0</v>
      </c>
      <c r="L270" s="54" t="s">
        <v>4</v>
      </c>
      <c r="AI270" s="34" t="s">
        <v>2629</v>
      </c>
      <c r="AS270" s="27">
        <f>SUM(AJ271:AJ281)</f>
        <v>0</v>
      </c>
      <c r="AT270" s="27">
        <f>SUM(AK271:AK281)</f>
        <v>0</v>
      </c>
      <c r="AU270" s="27">
        <f>SUM(AL271:AL281)</f>
        <v>0</v>
      </c>
    </row>
    <row r="271" spans="1:75" ht="13.5" customHeight="1">
      <c r="A271" s="1" t="s">
        <v>683</v>
      </c>
      <c r="B271" s="2" t="s">
        <v>2629</v>
      </c>
      <c r="C271" s="2" t="s">
        <v>3149</v>
      </c>
      <c r="D271" s="147" t="s">
        <v>3150</v>
      </c>
      <c r="E271" s="148"/>
      <c r="F271" s="2" t="s">
        <v>360</v>
      </c>
      <c r="G271" s="55">
        <f>'Stavební rozpočet-vyplnit'!G1649</f>
        <v>64</v>
      </c>
      <c r="H271" s="55">
        <f>'Stavební rozpočet-vyplnit'!H1649</f>
        <v>0</v>
      </c>
      <c r="I271" s="55">
        <f aca="true" t="shared" si="138" ref="I271:I281">G271*H271</f>
        <v>0</v>
      </c>
      <c r="J271" s="55">
        <f>'Stavební rozpočet-vyplnit'!J1649</f>
        <v>0</v>
      </c>
      <c r="K271" s="55">
        <f aca="true" t="shared" si="139" ref="K271:K281">G271*J271</f>
        <v>0</v>
      </c>
      <c r="L271" s="57" t="s">
        <v>124</v>
      </c>
      <c r="Z271" s="55">
        <f aca="true" t="shared" si="140" ref="Z271:Z281">IF(AQ271="5",BJ271,0)</f>
        <v>0</v>
      </c>
      <c r="AB271" s="55">
        <f aca="true" t="shared" si="141" ref="AB271:AB281">IF(AQ271="1",BH271,0)</f>
        <v>0</v>
      </c>
      <c r="AC271" s="55">
        <f aca="true" t="shared" si="142" ref="AC271:AC281">IF(AQ271="1",BI271,0)</f>
        <v>0</v>
      </c>
      <c r="AD271" s="55">
        <f aca="true" t="shared" si="143" ref="AD271:AD281">IF(AQ271="7",BH271,0)</f>
        <v>0</v>
      </c>
      <c r="AE271" s="55">
        <f aca="true" t="shared" si="144" ref="AE271:AE281">IF(AQ271="7",BI271,0)</f>
        <v>0</v>
      </c>
      <c r="AF271" s="55">
        <f aca="true" t="shared" si="145" ref="AF271:AF281">IF(AQ271="2",BH271,0)</f>
        <v>0</v>
      </c>
      <c r="AG271" s="55">
        <f aca="true" t="shared" si="146" ref="AG271:AG281">IF(AQ271="2",BI271,0)</f>
        <v>0</v>
      </c>
      <c r="AH271" s="55">
        <f aca="true" t="shared" si="147" ref="AH271:AH281">IF(AQ271="0",BJ271,0)</f>
        <v>0</v>
      </c>
      <c r="AI271" s="34" t="s">
        <v>2629</v>
      </c>
      <c r="AJ271" s="55">
        <f aca="true" t="shared" si="148" ref="AJ271:AJ281">IF(AN271=0,I271,0)</f>
        <v>0</v>
      </c>
      <c r="AK271" s="55">
        <f aca="true" t="shared" si="149" ref="AK271:AK281">IF(AN271=12,I271,0)</f>
        <v>0</v>
      </c>
      <c r="AL271" s="55">
        <f aca="true" t="shared" si="150" ref="AL271:AL281">IF(AN271=21,I271,0)</f>
        <v>0</v>
      </c>
      <c r="AN271" s="55">
        <v>21</v>
      </c>
      <c r="AO271" s="55">
        <f>H271*0</f>
        <v>0</v>
      </c>
      <c r="AP271" s="55">
        <f>H271*(1-0)</f>
        <v>0</v>
      </c>
      <c r="AQ271" s="58" t="s">
        <v>125</v>
      </c>
      <c r="AV271" s="55">
        <f aca="true" t="shared" si="151" ref="AV271:AV281">AW271+AX271</f>
        <v>0</v>
      </c>
      <c r="AW271" s="55">
        <f aca="true" t="shared" si="152" ref="AW271:AW281">G271*AO271</f>
        <v>0</v>
      </c>
      <c r="AX271" s="55">
        <f aca="true" t="shared" si="153" ref="AX271:AX281">G271*AP271</f>
        <v>0</v>
      </c>
      <c r="AY271" s="58" t="s">
        <v>1537</v>
      </c>
      <c r="AZ271" s="58" t="s">
        <v>3151</v>
      </c>
      <c r="BA271" s="34" t="s">
        <v>2634</v>
      </c>
      <c r="BC271" s="55">
        <f aca="true" t="shared" si="154" ref="BC271:BC281">AW271+AX271</f>
        <v>0</v>
      </c>
      <c r="BD271" s="55">
        <f aca="true" t="shared" si="155" ref="BD271:BD281">H271/(100-BE271)*100</f>
        <v>0</v>
      </c>
      <c r="BE271" s="55">
        <v>0</v>
      </c>
      <c r="BF271" s="55">
        <f aca="true" t="shared" si="156" ref="BF271:BF281">K271</f>
        <v>0</v>
      </c>
      <c r="BH271" s="55">
        <f aca="true" t="shared" si="157" ref="BH271:BH281">G271*AO271</f>
        <v>0</v>
      </c>
      <c r="BI271" s="55">
        <f aca="true" t="shared" si="158" ref="BI271:BI281">G271*AP271</f>
        <v>0</v>
      </c>
      <c r="BJ271" s="55">
        <f aca="true" t="shared" si="159" ref="BJ271:BJ281">G271*H271</f>
        <v>0</v>
      </c>
      <c r="BK271" s="55"/>
      <c r="BL271" s="55">
        <v>732</v>
      </c>
      <c r="BW271" s="55">
        <v>21</v>
      </c>
    </row>
    <row r="272" spans="1:75" ht="27" customHeight="1">
      <c r="A272" s="1" t="s">
        <v>686</v>
      </c>
      <c r="B272" s="2" t="s">
        <v>2629</v>
      </c>
      <c r="C272" s="2" t="s">
        <v>3153</v>
      </c>
      <c r="D272" s="147" t="s">
        <v>3154</v>
      </c>
      <c r="E272" s="148"/>
      <c r="F272" s="2" t="s">
        <v>360</v>
      </c>
      <c r="G272" s="55">
        <f>'Stavební rozpočet-vyplnit'!G1650</f>
        <v>2</v>
      </c>
      <c r="H272" s="55">
        <f>'Stavební rozpočet-vyplnit'!H1650</f>
        <v>0</v>
      </c>
      <c r="I272" s="55">
        <f t="shared" si="138"/>
        <v>0</v>
      </c>
      <c r="J272" s="55">
        <f>'Stavební rozpočet-vyplnit'!J1650</f>
        <v>0</v>
      </c>
      <c r="K272" s="55">
        <f t="shared" si="139"/>
        <v>0</v>
      </c>
      <c r="L272" s="57" t="s">
        <v>124</v>
      </c>
      <c r="Z272" s="55">
        <f t="shared" si="140"/>
        <v>0</v>
      </c>
      <c r="AB272" s="55">
        <f t="shared" si="141"/>
        <v>0</v>
      </c>
      <c r="AC272" s="55">
        <f t="shared" si="142"/>
        <v>0</v>
      </c>
      <c r="AD272" s="55">
        <f t="shared" si="143"/>
        <v>0</v>
      </c>
      <c r="AE272" s="55">
        <f t="shared" si="144"/>
        <v>0</v>
      </c>
      <c r="AF272" s="55">
        <f t="shared" si="145"/>
        <v>0</v>
      </c>
      <c r="AG272" s="55">
        <f t="shared" si="146"/>
        <v>0</v>
      </c>
      <c r="AH272" s="55">
        <f t="shared" si="147"/>
        <v>0</v>
      </c>
      <c r="AI272" s="34" t="s">
        <v>2629</v>
      </c>
      <c r="AJ272" s="55">
        <f t="shared" si="148"/>
        <v>0</v>
      </c>
      <c r="AK272" s="55">
        <f t="shared" si="149"/>
        <v>0</v>
      </c>
      <c r="AL272" s="55">
        <f t="shared" si="150"/>
        <v>0</v>
      </c>
      <c r="AN272" s="55">
        <v>21</v>
      </c>
      <c r="AO272" s="55">
        <f>H272*0</f>
        <v>0</v>
      </c>
      <c r="AP272" s="55">
        <f>H272*(1-0)</f>
        <v>0</v>
      </c>
      <c r="AQ272" s="58" t="s">
        <v>125</v>
      </c>
      <c r="AV272" s="55">
        <f t="shared" si="151"/>
        <v>0</v>
      </c>
      <c r="AW272" s="55">
        <f t="shared" si="152"/>
        <v>0</v>
      </c>
      <c r="AX272" s="55">
        <f t="shared" si="153"/>
        <v>0</v>
      </c>
      <c r="AY272" s="58" t="s">
        <v>1537</v>
      </c>
      <c r="AZ272" s="58" t="s">
        <v>3151</v>
      </c>
      <c r="BA272" s="34" t="s">
        <v>2634</v>
      </c>
      <c r="BC272" s="55">
        <f t="shared" si="154"/>
        <v>0</v>
      </c>
      <c r="BD272" s="55">
        <f t="shared" si="155"/>
        <v>0</v>
      </c>
      <c r="BE272" s="55">
        <v>0</v>
      </c>
      <c r="BF272" s="55">
        <f t="shared" si="156"/>
        <v>0</v>
      </c>
      <c r="BH272" s="55">
        <f t="shared" si="157"/>
        <v>0</v>
      </c>
      <c r="BI272" s="55">
        <f t="shared" si="158"/>
        <v>0</v>
      </c>
      <c r="BJ272" s="55">
        <f t="shared" si="159"/>
        <v>0</v>
      </c>
      <c r="BK272" s="55"/>
      <c r="BL272" s="55">
        <v>732</v>
      </c>
      <c r="BW272" s="55">
        <v>21</v>
      </c>
    </row>
    <row r="273" spans="1:75" ht="27" customHeight="1">
      <c r="A273" s="61" t="s">
        <v>689</v>
      </c>
      <c r="B273" s="62" t="s">
        <v>2629</v>
      </c>
      <c r="C273" s="62" t="s">
        <v>3156</v>
      </c>
      <c r="D273" s="224" t="s">
        <v>3157</v>
      </c>
      <c r="E273" s="225"/>
      <c r="F273" s="62" t="s">
        <v>374</v>
      </c>
      <c r="G273" s="63">
        <f>'Stavební rozpočet-vyplnit'!G1651</f>
        <v>1</v>
      </c>
      <c r="H273" s="63">
        <f>'Stavební rozpočet-vyplnit'!H1651</f>
        <v>0</v>
      </c>
      <c r="I273" s="63">
        <f t="shared" si="138"/>
        <v>0</v>
      </c>
      <c r="J273" s="63">
        <f>'Stavební rozpočet-vyplnit'!J1651</f>
        <v>0</v>
      </c>
      <c r="K273" s="63">
        <f t="shared" si="139"/>
        <v>0</v>
      </c>
      <c r="L273" s="65" t="s">
        <v>124</v>
      </c>
      <c r="Z273" s="55">
        <f t="shared" si="140"/>
        <v>0</v>
      </c>
      <c r="AB273" s="55">
        <f t="shared" si="141"/>
        <v>0</v>
      </c>
      <c r="AC273" s="55">
        <f t="shared" si="142"/>
        <v>0</v>
      </c>
      <c r="AD273" s="55">
        <f t="shared" si="143"/>
        <v>0</v>
      </c>
      <c r="AE273" s="55">
        <f t="shared" si="144"/>
        <v>0</v>
      </c>
      <c r="AF273" s="55">
        <f t="shared" si="145"/>
        <v>0</v>
      </c>
      <c r="AG273" s="55">
        <f t="shared" si="146"/>
        <v>0</v>
      </c>
      <c r="AH273" s="55">
        <f t="shared" si="147"/>
        <v>0</v>
      </c>
      <c r="AI273" s="34" t="s">
        <v>2629</v>
      </c>
      <c r="AJ273" s="63">
        <f t="shared" si="148"/>
        <v>0</v>
      </c>
      <c r="AK273" s="63">
        <f t="shared" si="149"/>
        <v>0</v>
      </c>
      <c r="AL273" s="63">
        <f t="shared" si="150"/>
        <v>0</v>
      </c>
      <c r="AN273" s="55">
        <v>21</v>
      </c>
      <c r="AO273" s="55">
        <f aca="true" t="shared" si="160" ref="AO273:AO281">H273*1</f>
        <v>0</v>
      </c>
      <c r="AP273" s="55">
        <f aca="true" t="shared" si="161" ref="AP273:AP281">H273*(1-1)</f>
        <v>0</v>
      </c>
      <c r="AQ273" s="66" t="s">
        <v>125</v>
      </c>
      <c r="AV273" s="55">
        <f t="shared" si="151"/>
        <v>0</v>
      </c>
      <c r="AW273" s="55">
        <f t="shared" si="152"/>
        <v>0</v>
      </c>
      <c r="AX273" s="55">
        <f t="shared" si="153"/>
        <v>0</v>
      </c>
      <c r="AY273" s="58" t="s">
        <v>1537</v>
      </c>
      <c r="AZ273" s="58" t="s">
        <v>3151</v>
      </c>
      <c r="BA273" s="34" t="s">
        <v>2634</v>
      </c>
      <c r="BC273" s="55">
        <f t="shared" si="154"/>
        <v>0</v>
      </c>
      <c r="BD273" s="55">
        <f t="shared" si="155"/>
        <v>0</v>
      </c>
      <c r="BE273" s="55">
        <v>0</v>
      </c>
      <c r="BF273" s="55">
        <f t="shared" si="156"/>
        <v>0</v>
      </c>
      <c r="BH273" s="63">
        <f t="shared" si="157"/>
        <v>0</v>
      </c>
      <c r="BI273" s="63">
        <f t="shared" si="158"/>
        <v>0</v>
      </c>
      <c r="BJ273" s="63">
        <f t="shared" si="159"/>
        <v>0</v>
      </c>
      <c r="BK273" s="63"/>
      <c r="BL273" s="55">
        <v>732</v>
      </c>
      <c r="BW273" s="55">
        <v>21</v>
      </c>
    </row>
    <row r="274" spans="1:75" ht="13.5" customHeight="1">
      <c r="A274" s="61" t="s">
        <v>692</v>
      </c>
      <c r="B274" s="62" t="s">
        <v>2629</v>
      </c>
      <c r="C274" s="62" t="s">
        <v>3159</v>
      </c>
      <c r="D274" s="224" t="s">
        <v>3160</v>
      </c>
      <c r="E274" s="225"/>
      <c r="F274" s="62" t="s">
        <v>374</v>
      </c>
      <c r="G274" s="63">
        <f>'Stavební rozpočet-vyplnit'!G1652</f>
        <v>1</v>
      </c>
      <c r="H274" s="63">
        <f>'Stavební rozpočet-vyplnit'!H1652</f>
        <v>0</v>
      </c>
      <c r="I274" s="63">
        <f t="shared" si="138"/>
        <v>0</v>
      </c>
      <c r="J274" s="63">
        <f>'Stavební rozpočet-vyplnit'!J1652</f>
        <v>0</v>
      </c>
      <c r="K274" s="63">
        <f t="shared" si="139"/>
        <v>0</v>
      </c>
      <c r="L274" s="65" t="s">
        <v>124</v>
      </c>
      <c r="Z274" s="55">
        <f t="shared" si="140"/>
        <v>0</v>
      </c>
      <c r="AB274" s="55">
        <f t="shared" si="141"/>
        <v>0</v>
      </c>
      <c r="AC274" s="55">
        <f t="shared" si="142"/>
        <v>0</v>
      </c>
      <c r="AD274" s="55">
        <f t="shared" si="143"/>
        <v>0</v>
      </c>
      <c r="AE274" s="55">
        <f t="shared" si="144"/>
        <v>0</v>
      </c>
      <c r="AF274" s="55">
        <f t="shared" si="145"/>
        <v>0</v>
      </c>
      <c r="AG274" s="55">
        <f t="shared" si="146"/>
        <v>0</v>
      </c>
      <c r="AH274" s="55">
        <f t="shared" si="147"/>
        <v>0</v>
      </c>
      <c r="AI274" s="34" t="s">
        <v>2629</v>
      </c>
      <c r="AJ274" s="63">
        <f t="shared" si="148"/>
        <v>0</v>
      </c>
      <c r="AK274" s="63">
        <f t="shared" si="149"/>
        <v>0</v>
      </c>
      <c r="AL274" s="63">
        <f t="shared" si="150"/>
        <v>0</v>
      </c>
      <c r="AN274" s="55">
        <v>21</v>
      </c>
      <c r="AO274" s="55">
        <f t="shared" si="160"/>
        <v>0</v>
      </c>
      <c r="AP274" s="55">
        <f t="shared" si="161"/>
        <v>0</v>
      </c>
      <c r="AQ274" s="66" t="s">
        <v>125</v>
      </c>
      <c r="AV274" s="55">
        <f t="shared" si="151"/>
        <v>0</v>
      </c>
      <c r="AW274" s="55">
        <f t="shared" si="152"/>
        <v>0</v>
      </c>
      <c r="AX274" s="55">
        <f t="shared" si="153"/>
        <v>0</v>
      </c>
      <c r="AY274" s="58" t="s">
        <v>1537</v>
      </c>
      <c r="AZ274" s="58" t="s">
        <v>3151</v>
      </c>
      <c r="BA274" s="34" t="s">
        <v>2634</v>
      </c>
      <c r="BC274" s="55">
        <f t="shared" si="154"/>
        <v>0</v>
      </c>
      <c r="BD274" s="55">
        <f t="shared" si="155"/>
        <v>0</v>
      </c>
      <c r="BE274" s="55">
        <v>0</v>
      </c>
      <c r="BF274" s="55">
        <f t="shared" si="156"/>
        <v>0</v>
      </c>
      <c r="BH274" s="63">
        <f t="shared" si="157"/>
        <v>0</v>
      </c>
      <c r="BI274" s="63">
        <f t="shared" si="158"/>
        <v>0</v>
      </c>
      <c r="BJ274" s="63">
        <f t="shared" si="159"/>
        <v>0</v>
      </c>
      <c r="BK274" s="63"/>
      <c r="BL274" s="55">
        <v>732</v>
      </c>
      <c r="BW274" s="55">
        <v>21</v>
      </c>
    </row>
    <row r="275" spans="1:75" ht="13.5" customHeight="1">
      <c r="A275" s="61" t="s">
        <v>695</v>
      </c>
      <c r="B275" s="62" t="s">
        <v>2629</v>
      </c>
      <c r="C275" s="62" t="s">
        <v>3162</v>
      </c>
      <c r="D275" s="224" t="s">
        <v>3163</v>
      </c>
      <c r="E275" s="225"/>
      <c r="F275" s="62" t="s">
        <v>374</v>
      </c>
      <c r="G275" s="63">
        <f>'Stavební rozpočet-vyplnit'!G1653</f>
        <v>1</v>
      </c>
      <c r="H275" s="63">
        <f>'Stavební rozpočet-vyplnit'!H1653</f>
        <v>0</v>
      </c>
      <c r="I275" s="63">
        <f t="shared" si="138"/>
        <v>0</v>
      </c>
      <c r="J275" s="63">
        <f>'Stavební rozpočet-vyplnit'!J1653</f>
        <v>0</v>
      </c>
      <c r="K275" s="63">
        <f t="shared" si="139"/>
        <v>0</v>
      </c>
      <c r="L275" s="65" t="s">
        <v>124</v>
      </c>
      <c r="Z275" s="55">
        <f t="shared" si="140"/>
        <v>0</v>
      </c>
      <c r="AB275" s="55">
        <f t="shared" si="141"/>
        <v>0</v>
      </c>
      <c r="AC275" s="55">
        <f t="shared" si="142"/>
        <v>0</v>
      </c>
      <c r="AD275" s="55">
        <f t="shared" si="143"/>
        <v>0</v>
      </c>
      <c r="AE275" s="55">
        <f t="shared" si="144"/>
        <v>0</v>
      </c>
      <c r="AF275" s="55">
        <f t="shared" si="145"/>
        <v>0</v>
      </c>
      <c r="AG275" s="55">
        <f t="shared" si="146"/>
        <v>0</v>
      </c>
      <c r="AH275" s="55">
        <f t="shared" si="147"/>
        <v>0</v>
      </c>
      <c r="AI275" s="34" t="s">
        <v>2629</v>
      </c>
      <c r="AJ275" s="63">
        <f t="shared" si="148"/>
        <v>0</v>
      </c>
      <c r="AK275" s="63">
        <f t="shared" si="149"/>
        <v>0</v>
      </c>
      <c r="AL275" s="63">
        <f t="shared" si="150"/>
        <v>0</v>
      </c>
      <c r="AN275" s="55">
        <v>21</v>
      </c>
      <c r="AO275" s="55">
        <f t="shared" si="160"/>
        <v>0</v>
      </c>
      <c r="AP275" s="55">
        <f t="shared" si="161"/>
        <v>0</v>
      </c>
      <c r="AQ275" s="66" t="s">
        <v>125</v>
      </c>
      <c r="AV275" s="55">
        <f t="shared" si="151"/>
        <v>0</v>
      </c>
      <c r="AW275" s="55">
        <f t="shared" si="152"/>
        <v>0</v>
      </c>
      <c r="AX275" s="55">
        <f t="shared" si="153"/>
        <v>0</v>
      </c>
      <c r="AY275" s="58" t="s">
        <v>1537</v>
      </c>
      <c r="AZ275" s="58" t="s">
        <v>3151</v>
      </c>
      <c r="BA275" s="34" t="s">
        <v>2634</v>
      </c>
      <c r="BC275" s="55">
        <f t="shared" si="154"/>
        <v>0</v>
      </c>
      <c r="BD275" s="55">
        <f t="shared" si="155"/>
        <v>0</v>
      </c>
      <c r="BE275" s="55">
        <v>0</v>
      </c>
      <c r="BF275" s="55">
        <f t="shared" si="156"/>
        <v>0</v>
      </c>
      <c r="BH275" s="63">
        <f t="shared" si="157"/>
        <v>0</v>
      </c>
      <c r="BI275" s="63">
        <f t="shared" si="158"/>
        <v>0</v>
      </c>
      <c r="BJ275" s="63">
        <f t="shared" si="159"/>
        <v>0</v>
      </c>
      <c r="BK275" s="63"/>
      <c r="BL275" s="55">
        <v>732</v>
      </c>
      <c r="BW275" s="55">
        <v>21</v>
      </c>
    </row>
    <row r="276" spans="1:75" ht="13.5" customHeight="1">
      <c r="A276" s="61" t="s">
        <v>698</v>
      </c>
      <c r="B276" s="62" t="s">
        <v>2629</v>
      </c>
      <c r="C276" s="62" t="s">
        <v>3165</v>
      </c>
      <c r="D276" s="224" t="s">
        <v>3166</v>
      </c>
      <c r="E276" s="225"/>
      <c r="F276" s="62" t="s">
        <v>374</v>
      </c>
      <c r="G276" s="63">
        <f>'Stavební rozpočet-vyplnit'!G1654</f>
        <v>2</v>
      </c>
      <c r="H276" s="63">
        <f>'Stavební rozpočet-vyplnit'!H1654</f>
        <v>0</v>
      </c>
      <c r="I276" s="63">
        <f t="shared" si="138"/>
        <v>0</v>
      </c>
      <c r="J276" s="63">
        <f>'Stavební rozpočet-vyplnit'!J1654</f>
        <v>0</v>
      </c>
      <c r="K276" s="63">
        <f t="shared" si="139"/>
        <v>0</v>
      </c>
      <c r="L276" s="65" t="s">
        <v>124</v>
      </c>
      <c r="Z276" s="55">
        <f t="shared" si="140"/>
        <v>0</v>
      </c>
      <c r="AB276" s="55">
        <f t="shared" si="141"/>
        <v>0</v>
      </c>
      <c r="AC276" s="55">
        <f t="shared" si="142"/>
        <v>0</v>
      </c>
      <c r="AD276" s="55">
        <f t="shared" si="143"/>
        <v>0</v>
      </c>
      <c r="AE276" s="55">
        <f t="shared" si="144"/>
        <v>0</v>
      </c>
      <c r="AF276" s="55">
        <f t="shared" si="145"/>
        <v>0</v>
      </c>
      <c r="AG276" s="55">
        <f t="shared" si="146"/>
        <v>0</v>
      </c>
      <c r="AH276" s="55">
        <f t="shared" si="147"/>
        <v>0</v>
      </c>
      <c r="AI276" s="34" t="s">
        <v>2629</v>
      </c>
      <c r="AJ276" s="63">
        <f t="shared" si="148"/>
        <v>0</v>
      </c>
      <c r="AK276" s="63">
        <f t="shared" si="149"/>
        <v>0</v>
      </c>
      <c r="AL276" s="63">
        <f t="shared" si="150"/>
        <v>0</v>
      </c>
      <c r="AN276" s="55">
        <v>21</v>
      </c>
      <c r="AO276" s="55">
        <f t="shared" si="160"/>
        <v>0</v>
      </c>
      <c r="AP276" s="55">
        <f t="shared" si="161"/>
        <v>0</v>
      </c>
      <c r="AQ276" s="66" t="s">
        <v>125</v>
      </c>
      <c r="AV276" s="55">
        <f t="shared" si="151"/>
        <v>0</v>
      </c>
      <c r="AW276" s="55">
        <f t="shared" si="152"/>
        <v>0</v>
      </c>
      <c r="AX276" s="55">
        <f t="shared" si="153"/>
        <v>0</v>
      </c>
      <c r="AY276" s="58" t="s">
        <v>1537</v>
      </c>
      <c r="AZ276" s="58" t="s">
        <v>3151</v>
      </c>
      <c r="BA276" s="34" t="s">
        <v>2634</v>
      </c>
      <c r="BC276" s="55">
        <f t="shared" si="154"/>
        <v>0</v>
      </c>
      <c r="BD276" s="55">
        <f t="shared" si="155"/>
        <v>0</v>
      </c>
      <c r="BE276" s="55">
        <v>0</v>
      </c>
      <c r="BF276" s="55">
        <f t="shared" si="156"/>
        <v>0</v>
      </c>
      <c r="BH276" s="63">
        <f t="shared" si="157"/>
        <v>0</v>
      </c>
      <c r="BI276" s="63">
        <f t="shared" si="158"/>
        <v>0</v>
      </c>
      <c r="BJ276" s="63">
        <f t="shared" si="159"/>
        <v>0</v>
      </c>
      <c r="BK276" s="63"/>
      <c r="BL276" s="55">
        <v>732</v>
      </c>
      <c r="BW276" s="55">
        <v>21</v>
      </c>
    </row>
    <row r="277" spans="1:75" ht="13.5" customHeight="1">
      <c r="A277" s="61" t="s">
        <v>701</v>
      </c>
      <c r="B277" s="62" t="s">
        <v>2629</v>
      </c>
      <c r="C277" s="62" t="s">
        <v>3168</v>
      </c>
      <c r="D277" s="224" t="s">
        <v>3169</v>
      </c>
      <c r="E277" s="225"/>
      <c r="F277" s="62" t="s">
        <v>374</v>
      </c>
      <c r="G277" s="63">
        <f>'Stavební rozpočet-vyplnit'!G1655</f>
        <v>1</v>
      </c>
      <c r="H277" s="63">
        <f>'Stavební rozpočet-vyplnit'!H1655</f>
        <v>0</v>
      </c>
      <c r="I277" s="63">
        <f t="shared" si="138"/>
        <v>0</v>
      </c>
      <c r="J277" s="63">
        <f>'Stavební rozpočet-vyplnit'!J1655</f>
        <v>0</v>
      </c>
      <c r="K277" s="63">
        <f t="shared" si="139"/>
        <v>0</v>
      </c>
      <c r="L277" s="65" t="s">
        <v>124</v>
      </c>
      <c r="Z277" s="55">
        <f t="shared" si="140"/>
        <v>0</v>
      </c>
      <c r="AB277" s="55">
        <f t="shared" si="141"/>
        <v>0</v>
      </c>
      <c r="AC277" s="55">
        <f t="shared" si="142"/>
        <v>0</v>
      </c>
      <c r="AD277" s="55">
        <f t="shared" si="143"/>
        <v>0</v>
      </c>
      <c r="AE277" s="55">
        <f t="shared" si="144"/>
        <v>0</v>
      </c>
      <c r="AF277" s="55">
        <f t="shared" si="145"/>
        <v>0</v>
      </c>
      <c r="AG277" s="55">
        <f t="shared" si="146"/>
        <v>0</v>
      </c>
      <c r="AH277" s="55">
        <f t="shared" si="147"/>
        <v>0</v>
      </c>
      <c r="AI277" s="34" t="s">
        <v>2629</v>
      </c>
      <c r="AJ277" s="63">
        <f t="shared" si="148"/>
        <v>0</v>
      </c>
      <c r="AK277" s="63">
        <f t="shared" si="149"/>
        <v>0</v>
      </c>
      <c r="AL277" s="63">
        <f t="shared" si="150"/>
        <v>0</v>
      </c>
      <c r="AN277" s="55">
        <v>21</v>
      </c>
      <c r="AO277" s="55">
        <f t="shared" si="160"/>
        <v>0</v>
      </c>
      <c r="AP277" s="55">
        <f t="shared" si="161"/>
        <v>0</v>
      </c>
      <c r="AQ277" s="66" t="s">
        <v>125</v>
      </c>
      <c r="AV277" s="55">
        <f t="shared" si="151"/>
        <v>0</v>
      </c>
      <c r="AW277" s="55">
        <f t="shared" si="152"/>
        <v>0</v>
      </c>
      <c r="AX277" s="55">
        <f t="shared" si="153"/>
        <v>0</v>
      </c>
      <c r="AY277" s="58" t="s">
        <v>1537</v>
      </c>
      <c r="AZ277" s="58" t="s">
        <v>3151</v>
      </c>
      <c r="BA277" s="34" t="s">
        <v>2634</v>
      </c>
      <c r="BC277" s="55">
        <f t="shared" si="154"/>
        <v>0</v>
      </c>
      <c r="BD277" s="55">
        <f t="shared" si="155"/>
        <v>0</v>
      </c>
      <c r="BE277" s="55">
        <v>0</v>
      </c>
      <c r="BF277" s="55">
        <f t="shared" si="156"/>
        <v>0</v>
      </c>
      <c r="BH277" s="63">
        <f t="shared" si="157"/>
        <v>0</v>
      </c>
      <c r="BI277" s="63">
        <f t="shared" si="158"/>
        <v>0</v>
      </c>
      <c r="BJ277" s="63">
        <f t="shared" si="159"/>
        <v>0</v>
      </c>
      <c r="BK277" s="63"/>
      <c r="BL277" s="55">
        <v>732</v>
      </c>
      <c r="BW277" s="55">
        <v>21</v>
      </c>
    </row>
    <row r="278" spans="1:75" ht="13.5" customHeight="1">
      <c r="A278" s="61" t="s">
        <v>704</v>
      </c>
      <c r="B278" s="62" t="s">
        <v>2629</v>
      </c>
      <c r="C278" s="62" t="s">
        <v>3171</v>
      </c>
      <c r="D278" s="224" t="s">
        <v>3172</v>
      </c>
      <c r="E278" s="225"/>
      <c r="F278" s="62" t="s">
        <v>374</v>
      </c>
      <c r="G278" s="63">
        <f>'Stavební rozpočet-vyplnit'!G1656</f>
        <v>1</v>
      </c>
      <c r="H278" s="63">
        <f>'Stavební rozpočet-vyplnit'!H1656</f>
        <v>0</v>
      </c>
      <c r="I278" s="63">
        <f t="shared" si="138"/>
        <v>0</v>
      </c>
      <c r="J278" s="63">
        <f>'Stavební rozpočet-vyplnit'!J1656</f>
        <v>0</v>
      </c>
      <c r="K278" s="63">
        <f t="shared" si="139"/>
        <v>0</v>
      </c>
      <c r="L278" s="65" t="s">
        <v>124</v>
      </c>
      <c r="Z278" s="55">
        <f t="shared" si="140"/>
        <v>0</v>
      </c>
      <c r="AB278" s="55">
        <f t="shared" si="141"/>
        <v>0</v>
      </c>
      <c r="AC278" s="55">
        <f t="shared" si="142"/>
        <v>0</v>
      </c>
      <c r="AD278" s="55">
        <f t="shared" si="143"/>
        <v>0</v>
      </c>
      <c r="AE278" s="55">
        <f t="shared" si="144"/>
        <v>0</v>
      </c>
      <c r="AF278" s="55">
        <f t="shared" si="145"/>
        <v>0</v>
      </c>
      <c r="AG278" s="55">
        <f t="shared" si="146"/>
        <v>0</v>
      </c>
      <c r="AH278" s="55">
        <f t="shared" si="147"/>
        <v>0</v>
      </c>
      <c r="AI278" s="34" t="s">
        <v>2629</v>
      </c>
      <c r="AJ278" s="63">
        <f t="shared" si="148"/>
        <v>0</v>
      </c>
      <c r="AK278" s="63">
        <f t="shared" si="149"/>
        <v>0</v>
      </c>
      <c r="AL278" s="63">
        <f t="shared" si="150"/>
        <v>0</v>
      </c>
      <c r="AN278" s="55">
        <v>21</v>
      </c>
      <c r="AO278" s="55">
        <f t="shared" si="160"/>
        <v>0</v>
      </c>
      <c r="AP278" s="55">
        <f t="shared" si="161"/>
        <v>0</v>
      </c>
      <c r="AQ278" s="66" t="s">
        <v>125</v>
      </c>
      <c r="AV278" s="55">
        <f t="shared" si="151"/>
        <v>0</v>
      </c>
      <c r="AW278" s="55">
        <f t="shared" si="152"/>
        <v>0</v>
      </c>
      <c r="AX278" s="55">
        <f t="shared" si="153"/>
        <v>0</v>
      </c>
      <c r="AY278" s="58" t="s">
        <v>1537</v>
      </c>
      <c r="AZ278" s="58" t="s">
        <v>3151</v>
      </c>
      <c r="BA278" s="34" t="s">
        <v>2634</v>
      </c>
      <c r="BC278" s="55">
        <f t="shared" si="154"/>
        <v>0</v>
      </c>
      <c r="BD278" s="55">
        <f t="shared" si="155"/>
        <v>0</v>
      </c>
      <c r="BE278" s="55">
        <v>0</v>
      </c>
      <c r="BF278" s="55">
        <f t="shared" si="156"/>
        <v>0</v>
      </c>
      <c r="BH278" s="63">
        <f t="shared" si="157"/>
        <v>0</v>
      </c>
      <c r="BI278" s="63">
        <f t="shared" si="158"/>
        <v>0</v>
      </c>
      <c r="BJ278" s="63">
        <f t="shared" si="159"/>
        <v>0</v>
      </c>
      <c r="BK278" s="63"/>
      <c r="BL278" s="55">
        <v>732</v>
      </c>
      <c r="BW278" s="55">
        <v>21</v>
      </c>
    </row>
    <row r="279" spans="1:75" ht="13.5" customHeight="1">
      <c r="A279" s="61" t="s">
        <v>707</v>
      </c>
      <c r="B279" s="62" t="s">
        <v>2629</v>
      </c>
      <c r="C279" s="62" t="s">
        <v>3174</v>
      </c>
      <c r="D279" s="224" t="s">
        <v>3175</v>
      </c>
      <c r="E279" s="225"/>
      <c r="F279" s="62" t="s">
        <v>374</v>
      </c>
      <c r="G279" s="63">
        <f>'Stavební rozpočet-vyplnit'!G1657</f>
        <v>2</v>
      </c>
      <c r="H279" s="63">
        <f>'Stavební rozpočet-vyplnit'!H1657</f>
        <v>0</v>
      </c>
      <c r="I279" s="63">
        <f t="shared" si="138"/>
        <v>0</v>
      </c>
      <c r="J279" s="63">
        <f>'Stavební rozpočet-vyplnit'!J1657</f>
        <v>0</v>
      </c>
      <c r="K279" s="63">
        <f t="shared" si="139"/>
        <v>0</v>
      </c>
      <c r="L279" s="65" t="s">
        <v>124</v>
      </c>
      <c r="Z279" s="55">
        <f t="shared" si="140"/>
        <v>0</v>
      </c>
      <c r="AB279" s="55">
        <f t="shared" si="141"/>
        <v>0</v>
      </c>
      <c r="AC279" s="55">
        <f t="shared" si="142"/>
        <v>0</v>
      </c>
      <c r="AD279" s="55">
        <f t="shared" si="143"/>
        <v>0</v>
      </c>
      <c r="AE279" s="55">
        <f t="shared" si="144"/>
        <v>0</v>
      </c>
      <c r="AF279" s="55">
        <f t="shared" si="145"/>
        <v>0</v>
      </c>
      <c r="AG279" s="55">
        <f t="shared" si="146"/>
        <v>0</v>
      </c>
      <c r="AH279" s="55">
        <f t="shared" si="147"/>
        <v>0</v>
      </c>
      <c r="AI279" s="34" t="s">
        <v>2629</v>
      </c>
      <c r="AJ279" s="63">
        <f t="shared" si="148"/>
        <v>0</v>
      </c>
      <c r="AK279" s="63">
        <f t="shared" si="149"/>
        <v>0</v>
      </c>
      <c r="AL279" s="63">
        <f t="shared" si="150"/>
        <v>0</v>
      </c>
      <c r="AN279" s="55">
        <v>21</v>
      </c>
      <c r="AO279" s="55">
        <f t="shared" si="160"/>
        <v>0</v>
      </c>
      <c r="AP279" s="55">
        <f t="shared" si="161"/>
        <v>0</v>
      </c>
      <c r="AQ279" s="66" t="s">
        <v>125</v>
      </c>
      <c r="AV279" s="55">
        <f t="shared" si="151"/>
        <v>0</v>
      </c>
      <c r="AW279" s="55">
        <f t="shared" si="152"/>
        <v>0</v>
      </c>
      <c r="AX279" s="55">
        <f t="shared" si="153"/>
        <v>0</v>
      </c>
      <c r="AY279" s="58" t="s">
        <v>1537</v>
      </c>
      <c r="AZ279" s="58" t="s">
        <v>3151</v>
      </c>
      <c r="BA279" s="34" t="s">
        <v>2634</v>
      </c>
      <c r="BC279" s="55">
        <f t="shared" si="154"/>
        <v>0</v>
      </c>
      <c r="BD279" s="55">
        <f t="shared" si="155"/>
        <v>0</v>
      </c>
      <c r="BE279" s="55">
        <v>0</v>
      </c>
      <c r="BF279" s="55">
        <f t="shared" si="156"/>
        <v>0</v>
      </c>
      <c r="BH279" s="63">
        <f t="shared" si="157"/>
        <v>0</v>
      </c>
      <c r="BI279" s="63">
        <f t="shared" si="158"/>
        <v>0</v>
      </c>
      <c r="BJ279" s="63">
        <f t="shared" si="159"/>
        <v>0</v>
      </c>
      <c r="BK279" s="63"/>
      <c r="BL279" s="55">
        <v>732</v>
      </c>
      <c r="BW279" s="55">
        <v>21</v>
      </c>
    </row>
    <row r="280" spans="1:75" ht="13.5" customHeight="1">
      <c r="A280" s="61" t="s">
        <v>710</v>
      </c>
      <c r="B280" s="62" t="s">
        <v>2629</v>
      </c>
      <c r="C280" s="62" t="s">
        <v>3177</v>
      </c>
      <c r="D280" s="224" t="s">
        <v>3178</v>
      </c>
      <c r="E280" s="225"/>
      <c r="F280" s="62" t="s">
        <v>374</v>
      </c>
      <c r="G280" s="63">
        <f>'Stavební rozpočet-vyplnit'!G1658</f>
        <v>1</v>
      </c>
      <c r="H280" s="63">
        <f>'Stavební rozpočet-vyplnit'!H1658</f>
        <v>0</v>
      </c>
      <c r="I280" s="63">
        <f t="shared" si="138"/>
        <v>0</v>
      </c>
      <c r="J280" s="63">
        <f>'Stavební rozpočet-vyplnit'!J1658</f>
        <v>0</v>
      </c>
      <c r="K280" s="63">
        <f t="shared" si="139"/>
        <v>0</v>
      </c>
      <c r="L280" s="65" t="s">
        <v>124</v>
      </c>
      <c r="Z280" s="55">
        <f t="shared" si="140"/>
        <v>0</v>
      </c>
      <c r="AB280" s="55">
        <f t="shared" si="141"/>
        <v>0</v>
      </c>
      <c r="AC280" s="55">
        <f t="shared" si="142"/>
        <v>0</v>
      </c>
      <c r="AD280" s="55">
        <f t="shared" si="143"/>
        <v>0</v>
      </c>
      <c r="AE280" s="55">
        <f t="shared" si="144"/>
        <v>0</v>
      </c>
      <c r="AF280" s="55">
        <f t="shared" si="145"/>
        <v>0</v>
      </c>
      <c r="AG280" s="55">
        <f t="shared" si="146"/>
        <v>0</v>
      </c>
      <c r="AH280" s="55">
        <f t="shared" si="147"/>
        <v>0</v>
      </c>
      <c r="AI280" s="34" t="s">
        <v>2629</v>
      </c>
      <c r="AJ280" s="63">
        <f t="shared" si="148"/>
        <v>0</v>
      </c>
      <c r="AK280" s="63">
        <f t="shared" si="149"/>
        <v>0</v>
      </c>
      <c r="AL280" s="63">
        <f t="shared" si="150"/>
        <v>0</v>
      </c>
      <c r="AN280" s="55">
        <v>21</v>
      </c>
      <c r="AO280" s="55">
        <f t="shared" si="160"/>
        <v>0</v>
      </c>
      <c r="AP280" s="55">
        <f t="shared" si="161"/>
        <v>0</v>
      </c>
      <c r="AQ280" s="66" t="s">
        <v>125</v>
      </c>
      <c r="AV280" s="55">
        <f t="shared" si="151"/>
        <v>0</v>
      </c>
      <c r="AW280" s="55">
        <f t="shared" si="152"/>
        <v>0</v>
      </c>
      <c r="AX280" s="55">
        <f t="shared" si="153"/>
        <v>0</v>
      </c>
      <c r="AY280" s="58" t="s">
        <v>1537</v>
      </c>
      <c r="AZ280" s="58" t="s">
        <v>3151</v>
      </c>
      <c r="BA280" s="34" t="s">
        <v>2634</v>
      </c>
      <c r="BC280" s="55">
        <f t="shared" si="154"/>
        <v>0</v>
      </c>
      <c r="BD280" s="55">
        <f t="shared" si="155"/>
        <v>0</v>
      </c>
      <c r="BE280" s="55">
        <v>0</v>
      </c>
      <c r="BF280" s="55">
        <f t="shared" si="156"/>
        <v>0</v>
      </c>
      <c r="BH280" s="63">
        <f t="shared" si="157"/>
        <v>0</v>
      </c>
      <c r="BI280" s="63">
        <f t="shared" si="158"/>
        <v>0</v>
      </c>
      <c r="BJ280" s="63">
        <f t="shared" si="159"/>
        <v>0</v>
      </c>
      <c r="BK280" s="63"/>
      <c r="BL280" s="55">
        <v>732</v>
      </c>
      <c r="BW280" s="55">
        <v>21</v>
      </c>
    </row>
    <row r="281" spans="1:75" ht="13.5" customHeight="1">
      <c r="A281" s="61" t="s">
        <v>713</v>
      </c>
      <c r="B281" s="62" t="s">
        <v>2629</v>
      </c>
      <c r="C281" s="62" t="s">
        <v>3180</v>
      </c>
      <c r="D281" s="224" t="s">
        <v>3181</v>
      </c>
      <c r="E281" s="225"/>
      <c r="F281" s="62" t="s">
        <v>374</v>
      </c>
      <c r="G281" s="63">
        <f>'Stavební rozpočet-vyplnit'!G1659</f>
        <v>1</v>
      </c>
      <c r="H281" s="63">
        <f>'Stavební rozpočet-vyplnit'!H1659</f>
        <v>0</v>
      </c>
      <c r="I281" s="63">
        <f t="shared" si="138"/>
        <v>0</v>
      </c>
      <c r="J281" s="63">
        <f>'Stavební rozpočet-vyplnit'!J1659</f>
        <v>0</v>
      </c>
      <c r="K281" s="63">
        <f t="shared" si="139"/>
        <v>0</v>
      </c>
      <c r="L281" s="65" t="s">
        <v>124</v>
      </c>
      <c r="Z281" s="55">
        <f t="shared" si="140"/>
        <v>0</v>
      </c>
      <c r="AB281" s="55">
        <f t="shared" si="141"/>
        <v>0</v>
      </c>
      <c r="AC281" s="55">
        <f t="shared" si="142"/>
        <v>0</v>
      </c>
      <c r="AD281" s="55">
        <f t="shared" si="143"/>
        <v>0</v>
      </c>
      <c r="AE281" s="55">
        <f t="shared" si="144"/>
        <v>0</v>
      </c>
      <c r="AF281" s="55">
        <f t="shared" si="145"/>
        <v>0</v>
      </c>
      <c r="AG281" s="55">
        <f t="shared" si="146"/>
        <v>0</v>
      </c>
      <c r="AH281" s="55">
        <f t="shared" si="147"/>
        <v>0</v>
      </c>
      <c r="AI281" s="34" t="s">
        <v>2629</v>
      </c>
      <c r="AJ281" s="63">
        <f t="shared" si="148"/>
        <v>0</v>
      </c>
      <c r="AK281" s="63">
        <f t="shared" si="149"/>
        <v>0</v>
      </c>
      <c r="AL281" s="63">
        <f t="shared" si="150"/>
        <v>0</v>
      </c>
      <c r="AN281" s="55">
        <v>21</v>
      </c>
      <c r="AO281" s="55">
        <f t="shared" si="160"/>
        <v>0</v>
      </c>
      <c r="AP281" s="55">
        <f t="shared" si="161"/>
        <v>0</v>
      </c>
      <c r="AQ281" s="66" t="s">
        <v>125</v>
      </c>
      <c r="AV281" s="55">
        <f t="shared" si="151"/>
        <v>0</v>
      </c>
      <c r="AW281" s="55">
        <f t="shared" si="152"/>
        <v>0</v>
      </c>
      <c r="AX281" s="55">
        <f t="shared" si="153"/>
        <v>0</v>
      </c>
      <c r="AY281" s="58" t="s">
        <v>1537</v>
      </c>
      <c r="AZ281" s="58" t="s">
        <v>3151</v>
      </c>
      <c r="BA281" s="34" t="s">
        <v>2634</v>
      </c>
      <c r="BC281" s="55">
        <f t="shared" si="154"/>
        <v>0</v>
      </c>
      <c r="BD281" s="55">
        <f t="shared" si="155"/>
        <v>0</v>
      </c>
      <c r="BE281" s="55">
        <v>0</v>
      </c>
      <c r="BF281" s="55">
        <f t="shared" si="156"/>
        <v>0</v>
      </c>
      <c r="BH281" s="63">
        <f t="shared" si="157"/>
        <v>0</v>
      </c>
      <c r="BI281" s="63">
        <f t="shared" si="158"/>
        <v>0</v>
      </c>
      <c r="BJ281" s="63">
        <f t="shared" si="159"/>
        <v>0</v>
      </c>
      <c r="BK281" s="63"/>
      <c r="BL281" s="55">
        <v>732</v>
      </c>
      <c r="BW281" s="55">
        <v>21</v>
      </c>
    </row>
    <row r="282" spans="1:47" ht="14.4">
      <c r="A282" s="50" t="s">
        <v>4</v>
      </c>
      <c r="B282" s="51" t="s">
        <v>2629</v>
      </c>
      <c r="C282" s="51" t="s">
        <v>1664</v>
      </c>
      <c r="D282" s="222" t="s">
        <v>1665</v>
      </c>
      <c r="E282" s="223"/>
      <c r="F282" s="52" t="s">
        <v>79</v>
      </c>
      <c r="G282" s="52" t="s">
        <v>79</v>
      </c>
      <c r="H282" s="52" t="s">
        <v>79</v>
      </c>
      <c r="I282" s="27">
        <f>SUM(I283:I304)</f>
        <v>0</v>
      </c>
      <c r="J282" s="34" t="s">
        <v>4</v>
      </c>
      <c r="K282" s="27">
        <f>SUM(K283:K304)</f>
        <v>35.4591324</v>
      </c>
      <c r="L282" s="54" t="s">
        <v>4</v>
      </c>
      <c r="AI282" s="34" t="s">
        <v>2629</v>
      </c>
      <c r="AS282" s="27">
        <f>SUM(AJ283:AJ304)</f>
        <v>0</v>
      </c>
      <c r="AT282" s="27">
        <f>SUM(AK283:AK304)</f>
        <v>0</v>
      </c>
      <c r="AU282" s="27">
        <f>SUM(AL283:AL304)</f>
        <v>0</v>
      </c>
    </row>
    <row r="283" spans="1:75" ht="13.5" customHeight="1">
      <c r="A283" s="1" t="s">
        <v>716</v>
      </c>
      <c r="B283" s="2" t="s">
        <v>2629</v>
      </c>
      <c r="C283" s="2" t="s">
        <v>3183</v>
      </c>
      <c r="D283" s="147" t="s">
        <v>3184</v>
      </c>
      <c r="E283" s="148"/>
      <c r="F283" s="2" t="s">
        <v>374</v>
      </c>
      <c r="G283" s="55">
        <f>'Stavební rozpočet-vyplnit'!G1661</f>
        <v>5</v>
      </c>
      <c r="H283" s="55">
        <f>'Stavební rozpočet-vyplnit'!H1661</f>
        <v>0</v>
      </c>
      <c r="I283" s="55">
        <f>G283*H283</f>
        <v>0</v>
      </c>
      <c r="J283" s="55">
        <f>'Stavební rozpočet-vyplnit'!J1661</f>
        <v>0.14369</v>
      </c>
      <c r="K283" s="55">
        <f>G283*J283</f>
        <v>0.71845</v>
      </c>
      <c r="L283" s="57" t="s">
        <v>785</v>
      </c>
      <c r="Z283" s="55">
        <f>IF(AQ283="5",BJ283,0)</f>
        <v>0</v>
      </c>
      <c r="AB283" s="55">
        <f>IF(AQ283="1",BH283,0)</f>
        <v>0</v>
      </c>
      <c r="AC283" s="55">
        <f>IF(AQ283="1",BI283,0)</f>
        <v>0</v>
      </c>
      <c r="AD283" s="55">
        <f>IF(AQ283="7",BH283,0)</f>
        <v>0</v>
      </c>
      <c r="AE283" s="55">
        <f>IF(AQ283="7",BI283,0)</f>
        <v>0</v>
      </c>
      <c r="AF283" s="55">
        <f>IF(AQ283="2",BH283,0)</f>
        <v>0</v>
      </c>
      <c r="AG283" s="55">
        <f>IF(AQ283="2",BI283,0)</f>
        <v>0</v>
      </c>
      <c r="AH283" s="55">
        <f>IF(AQ283="0",BJ283,0)</f>
        <v>0</v>
      </c>
      <c r="AI283" s="34" t="s">
        <v>2629</v>
      </c>
      <c r="AJ283" s="55">
        <f>IF(AN283=0,I283,0)</f>
        <v>0</v>
      </c>
      <c r="AK283" s="55">
        <f>IF(AN283=12,I283,0)</f>
        <v>0</v>
      </c>
      <c r="AL283" s="55">
        <f>IF(AN283=21,I283,0)</f>
        <v>0</v>
      </c>
      <c r="AN283" s="55">
        <v>21</v>
      </c>
      <c r="AO283" s="55">
        <f>H283*0.139967488</f>
        <v>0</v>
      </c>
      <c r="AP283" s="55">
        <f>H283*(1-0.139967488)</f>
        <v>0</v>
      </c>
      <c r="AQ283" s="58" t="s">
        <v>125</v>
      </c>
      <c r="AV283" s="55">
        <f>AW283+AX283</f>
        <v>0</v>
      </c>
      <c r="AW283" s="55">
        <f>G283*AO283</f>
        <v>0</v>
      </c>
      <c r="AX283" s="55">
        <f>G283*AP283</f>
        <v>0</v>
      </c>
      <c r="AY283" s="58" t="s">
        <v>1668</v>
      </c>
      <c r="AZ283" s="58" t="s">
        <v>3185</v>
      </c>
      <c r="BA283" s="34" t="s">
        <v>2634</v>
      </c>
      <c r="BB283" s="67">
        <v>100014</v>
      </c>
      <c r="BC283" s="55">
        <f>AW283+AX283</f>
        <v>0</v>
      </c>
      <c r="BD283" s="55">
        <f>H283/(100-BE283)*100</f>
        <v>0</v>
      </c>
      <c r="BE283" s="55">
        <v>0</v>
      </c>
      <c r="BF283" s="55">
        <f>K283</f>
        <v>0.71845</v>
      </c>
      <c r="BH283" s="55">
        <f>G283*AO283</f>
        <v>0</v>
      </c>
      <c r="BI283" s="55">
        <f>G283*AP283</f>
        <v>0</v>
      </c>
      <c r="BJ283" s="55">
        <f>G283*H283</f>
        <v>0</v>
      </c>
      <c r="BK283" s="55"/>
      <c r="BL283" s="55">
        <v>762</v>
      </c>
      <c r="BW283" s="55">
        <v>21</v>
      </c>
    </row>
    <row r="284" spans="1:12" ht="14.4">
      <c r="A284" s="59"/>
      <c r="D284" s="60" t="s">
        <v>139</v>
      </c>
      <c r="E284" s="60" t="s">
        <v>4</v>
      </c>
      <c r="G284" s="68">
        <v>5</v>
      </c>
      <c r="L284" s="69"/>
    </row>
    <row r="285" spans="1:75" ht="13.5" customHeight="1">
      <c r="A285" s="1" t="s">
        <v>720</v>
      </c>
      <c r="B285" s="2" t="s">
        <v>2629</v>
      </c>
      <c r="C285" s="2" t="s">
        <v>3187</v>
      </c>
      <c r="D285" s="147" t="s">
        <v>3188</v>
      </c>
      <c r="E285" s="148"/>
      <c r="F285" s="2" t="s">
        <v>729</v>
      </c>
      <c r="G285" s="55">
        <f>'Stavební rozpočet-vyplnit'!G1663</f>
        <v>1594.15</v>
      </c>
      <c r="H285" s="55">
        <f>'Stavební rozpočet-vyplnit'!H1663</f>
        <v>0</v>
      </c>
      <c r="I285" s="55">
        <f>G285*H285</f>
        <v>0</v>
      </c>
      <c r="J285" s="55">
        <f>'Stavební rozpočet-vyplnit'!J1663</f>
        <v>0.01452</v>
      </c>
      <c r="K285" s="55">
        <f>G285*J285</f>
        <v>23.147058</v>
      </c>
      <c r="L285" s="57" t="s">
        <v>785</v>
      </c>
      <c r="Z285" s="55">
        <f>IF(AQ285="5",BJ285,0)</f>
        <v>0</v>
      </c>
      <c r="AB285" s="55">
        <f>IF(AQ285="1",BH285,0)</f>
        <v>0</v>
      </c>
      <c r="AC285" s="55">
        <f>IF(AQ285="1",BI285,0)</f>
        <v>0</v>
      </c>
      <c r="AD285" s="55">
        <f>IF(AQ285="7",BH285,0)</f>
        <v>0</v>
      </c>
      <c r="AE285" s="55">
        <f>IF(AQ285="7",BI285,0)</f>
        <v>0</v>
      </c>
      <c r="AF285" s="55">
        <f>IF(AQ285="2",BH285,0)</f>
        <v>0</v>
      </c>
      <c r="AG285" s="55">
        <f>IF(AQ285="2",BI285,0)</f>
        <v>0</v>
      </c>
      <c r="AH285" s="55">
        <f>IF(AQ285="0",BJ285,0)</f>
        <v>0</v>
      </c>
      <c r="AI285" s="34" t="s">
        <v>2629</v>
      </c>
      <c r="AJ285" s="55">
        <f>IF(AN285=0,I285,0)</f>
        <v>0</v>
      </c>
      <c r="AK285" s="55">
        <f>IF(AN285=12,I285,0)</f>
        <v>0</v>
      </c>
      <c r="AL285" s="55">
        <f>IF(AN285=21,I285,0)</f>
        <v>0</v>
      </c>
      <c r="AN285" s="55">
        <v>21</v>
      </c>
      <c r="AO285" s="55">
        <f>H285*0.575407867</f>
        <v>0</v>
      </c>
      <c r="AP285" s="55">
        <f>H285*(1-0.575407867)</f>
        <v>0</v>
      </c>
      <c r="AQ285" s="58" t="s">
        <v>125</v>
      </c>
      <c r="AV285" s="55">
        <f>AW285+AX285</f>
        <v>0</v>
      </c>
      <c r="AW285" s="55">
        <f>G285*AO285</f>
        <v>0</v>
      </c>
      <c r="AX285" s="55">
        <f>G285*AP285</f>
        <v>0</v>
      </c>
      <c r="AY285" s="58" t="s">
        <v>1668</v>
      </c>
      <c r="AZ285" s="58" t="s">
        <v>3185</v>
      </c>
      <c r="BA285" s="34" t="s">
        <v>2634</v>
      </c>
      <c r="BB285" s="67">
        <v>100014</v>
      </c>
      <c r="BC285" s="55">
        <f>AW285+AX285</f>
        <v>0</v>
      </c>
      <c r="BD285" s="55">
        <f>H285/(100-BE285)*100</f>
        <v>0</v>
      </c>
      <c r="BE285" s="55">
        <v>0</v>
      </c>
      <c r="BF285" s="55">
        <f>K285</f>
        <v>23.147058</v>
      </c>
      <c r="BH285" s="55">
        <f>G285*AO285</f>
        <v>0</v>
      </c>
      <c r="BI285" s="55">
        <f>G285*AP285</f>
        <v>0</v>
      </c>
      <c r="BJ285" s="55">
        <f>G285*H285</f>
        <v>0</v>
      </c>
      <c r="BK285" s="55"/>
      <c r="BL285" s="55">
        <v>762</v>
      </c>
      <c r="BW285" s="55">
        <v>21</v>
      </c>
    </row>
    <row r="286" spans="1:12" ht="13.5" customHeight="1">
      <c r="A286" s="59"/>
      <c r="D286" s="218" t="s">
        <v>3189</v>
      </c>
      <c r="E286" s="219"/>
      <c r="F286" s="219"/>
      <c r="G286" s="219"/>
      <c r="H286" s="219"/>
      <c r="I286" s="219"/>
      <c r="J286" s="219"/>
      <c r="K286" s="219"/>
      <c r="L286" s="221"/>
    </row>
    <row r="287" spans="1:12" ht="14.4">
      <c r="A287" s="59"/>
      <c r="D287" s="60" t="s">
        <v>3190</v>
      </c>
      <c r="E287" s="60" t="s">
        <v>3191</v>
      </c>
      <c r="G287" s="68">
        <v>331.25</v>
      </c>
      <c r="L287" s="69"/>
    </row>
    <row r="288" spans="1:12" ht="14.4">
      <c r="A288" s="59"/>
      <c r="D288" s="60" t="s">
        <v>3192</v>
      </c>
      <c r="E288" s="60" t="s">
        <v>3193</v>
      </c>
      <c r="G288" s="68">
        <v>1262.9</v>
      </c>
      <c r="L288" s="69"/>
    </row>
    <row r="289" spans="1:75" ht="13.5" customHeight="1">
      <c r="A289" s="1" t="s">
        <v>723</v>
      </c>
      <c r="B289" s="2" t="s">
        <v>2629</v>
      </c>
      <c r="C289" s="2" t="s">
        <v>3195</v>
      </c>
      <c r="D289" s="147" t="s">
        <v>3196</v>
      </c>
      <c r="E289" s="148"/>
      <c r="F289" s="2" t="s">
        <v>729</v>
      </c>
      <c r="G289" s="55">
        <f>'Stavební rozpočet-vyplnit'!G1667</f>
        <v>1170.3</v>
      </c>
      <c r="H289" s="55">
        <f>'Stavební rozpočet-vyplnit'!H1667</f>
        <v>0</v>
      </c>
      <c r="I289" s="55">
        <f>G289*H289</f>
        <v>0</v>
      </c>
      <c r="J289" s="55">
        <f>'Stavební rozpočet-vyplnit'!J1667</f>
        <v>0.00147</v>
      </c>
      <c r="K289" s="55">
        <f>G289*J289</f>
        <v>1.720341</v>
      </c>
      <c r="L289" s="57" t="s">
        <v>124</v>
      </c>
      <c r="Z289" s="55">
        <f>IF(AQ289="5",BJ289,0)</f>
        <v>0</v>
      </c>
      <c r="AB289" s="55">
        <f>IF(AQ289="1",BH289,0)</f>
        <v>0</v>
      </c>
      <c r="AC289" s="55">
        <f>IF(AQ289="1",BI289,0)</f>
        <v>0</v>
      </c>
      <c r="AD289" s="55">
        <f>IF(AQ289="7",BH289,0)</f>
        <v>0</v>
      </c>
      <c r="AE289" s="55">
        <f>IF(AQ289="7",BI289,0)</f>
        <v>0</v>
      </c>
      <c r="AF289" s="55">
        <f>IF(AQ289="2",BH289,0)</f>
        <v>0</v>
      </c>
      <c r="AG289" s="55">
        <f>IF(AQ289="2",BI289,0)</f>
        <v>0</v>
      </c>
      <c r="AH289" s="55">
        <f>IF(AQ289="0",BJ289,0)</f>
        <v>0</v>
      </c>
      <c r="AI289" s="34" t="s">
        <v>2629</v>
      </c>
      <c r="AJ289" s="55">
        <f>IF(AN289=0,I289,0)</f>
        <v>0</v>
      </c>
      <c r="AK289" s="55">
        <f>IF(AN289=12,I289,0)</f>
        <v>0</v>
      </c>
      <c r="AL289" s="55">
        <f>IF(AN289=21,I289,0)</f>
        <v>0</v>
      </c>
      <c r="AN289" s="55">
        <v>21</v>
      </c>
      <c r="AO289" s="55">
        <f>H289*0.675766238</f>
        <v>0</v>
      </c>
      <c r="AP289" s="55">
        <f>H289*(1-0.675766238)</f>
        <v>0</v>
      </c>
      <c r="AQ289" s="58" t="s">
        <v>125</v>
      </c>
      <c r="AV289" s="55">
        <f>AW289+AX289</f>
        <v>0</v>
      </c>
      <c r="AW289" s="55">
        <f>G289*AO289</f>
        <v>0</v>
      </c>
      <c r="AX289" s="55">
        <f>G289*AP289</f>
        <v>0</v>
      </c>
      <c r="AY289" s="58" t="s">
        <v>1668</v>
      </c>
      <c r="AZ289" s="58" t="s">
        <v>3185</v>
      </c>
      <c r="BA289" s="34" t="s">
        <v>2634</v>
      </c>
      <c r="BB289" s="67">
        <v>100014</v>
      </c>
      <c r="BC289" s="55">
        <f>AW289+AX289</f>
        <v>0</v>
      </c>
      <c r="BD289" s="55">
        <f>H289/(100-BE289)*100</f>
        <v>0</v>
      </c>
      <c r="BE289" s="55">
        <v>0</v>
      </c>
      <c r="BF289" s="55">
        <f>K289</f>
        <v>1.720341</v>
      </c>
      <c r="BH289" s="55">
        <f>G289*AO289</f>
        <v>0</v>
      </c>
      <c r="BI289" s="55">
        <f>G289*AP289</f>
        <v>0</v>
      </c>
      <c r="BJ289" s="55">
        <f>G289*H289</f>
        <v>0</v>
      </c>
      <c r="BK289" s="55"/>
      <c r="BL289" s="55">
        <v>762</v>
      </c>
      <c r="BW289" s="55">
        <v>21</v>
      </c>
    </row>
    <row r="290" spans="1:12" ht="13.5" customHeight="1">
      <c r="A290" s="59"/>
      <c r="D290" s="218" t="s">
        <v>3197</v>
      </c>
      <c r="E290" s="219"/>
      <c r="F290" s="219"/>
      <c r="G290" s="219"/>
      <c r="H290" s="219"/>
      <c r="I290" s="219"/>
      <c r="J290" s="219"/>
      <c r="K290" s="219"/>
      <c r="L290" s="221"/>
    </row>
    <row r="291" spans="1:12" ht="14.4">
      <c r="A291" s="59"/>
      <c r="D291" s="60" t="s">
        <v>3198</v>
      </c>
      <c r="E291" s="60" t="s">
        <v>3199</v>
      </c>
      <c r="G291" s="68">
        <v>1037.09</v>
      </c>
      <c r="L291" s="69"/>
    </row>
    <row r="292" spans="1:12" ht="14.4">
      <c r="A292" s="59"/>
      <c r="D292" s="60" t="s">
        <v>3115</v>
      </c>
      <c r="E292" s="60" t="s">
        <v>3200</v>
      </c>
      <c r="G292" s="68">
        <v>71.61</v>
      </c>
      <c r="L292" s="69"/>
    </row>
    <row r="293" spans="1:12" ht="14.4">
      <c r="A293" s="76"/>
      <c r="D293" s="77" t="s">
        <v>3104</v>
      </c>
      <c r="E293" s="77" t="s">
        <v>1208</v>
      </c>
      <c r="G293" s="78">
        <v>61.6</v>
      </c>
      <c r="L293" s="79"/>
    </row>
    <row r="294" spans="1:75" ht="13.5" customHeight="1">
      <c r="A294" s="80" t="s">
        <v>726</v>
      </c>
      <c r="B294" s="81" t="s">
        <v>2629</v>
      </c>
      <c r="C294" s="81" t="s">
        <v>3202</v>
      </c>
      <c r="D294" s="226" t="s">
        <v>3203</v>
      </c>
      <c r="E294" s="227"/>
      <c r="F294" s="81" t="s">
        <v>174</v>
      </c>
      <c r="G294" s="82">
        <f>'Stavební rozpočet-vyplnit'!G1672</f>
        <v>108.3</v>
      </c>
      <c r="H294" s="82">
        <f>'Stavební rozpočet-vyplnit'!H1672</f>
        <v>0</v>
      </c>
      <c r="I294" s="82">
        <f>G294*H294</f>
        <v>0</v>
      </c>
      <c r="J294" s="82">
        <f>'Stavební rozpočet-vyplnit'!J1672</f>
        <v>0.015</v>
      </c>
      <c r="K294" s="82">
        <f>G294*J294</f>
        <v>1.6244999999999998</v>
      </c>
      <c r="L294" s="84" t="s">
        <v>124</v>
      </c>
      <c r="Z294" s="55">
        <f>IF(AQ294="5",BJ294,0)</f>
        <v>0</v>
      </c>
      <c r="AB294" s="55">
        <f>IF(AQ294="1",BH294,0)</f>
        <v>0</v>
      </c>
      <c r="AC294" s="55">
        <f>IF(AQ294="1",BI294,0)</f>
        <v>0</v>
      </c>
      <c r="AD294" s="55">
        <f>IF(AQ294="7",BH294,0)</f>
        <v>0</v>
      </c>
      <c r="AE294" s="55">
        <f>IF(AQ294="7",BI294,0)</f>
        <v>0</v>
      </c>
      <c r="AF294" s="55">
        <f>IF(AQ294="2",BH294,0)</f>
        <v>0</v>
      </c>
      <c r="AG294" s="55">
        <f>IF(AQ294="2",BI294,0)</f>
        <v>0</v>
      </c>
      <c r="AH294" s="55">
        <f>IF(AQ294="0",BJ294,0)</f>
        <v>0</v>
      </c>
      <c r="AI294" s="34" t="s">
        <v>2629</v>
      </c>
      <c r="AJ294" s="55">
        <f>IF(AN294=0,I294,0)</f>
        <v>0</v>
      </c>
      <c r="AK294" s="55">
        <f>IF(AN294=12,I294,0)</f>
        <v>0</v>
      </c>
      <c r="AL294" s="55">
        <f>IF(AN294=21,I294,0)</f>
        <v>0</v>
      </c>
      <c r="AN294" s="55">
        <v>21</v>
      </c>
      <c r="AO294" s="55">
        <f>H294*0.367088608</f>
        <v>0</v>
      </c>
      <c r="AP294" s="55">
        <f>H294*(1-0.367088608)</f>
        <v>0</v>
      </c>
      <c r="AQ294" s="58" t="s">
        <v>125</v>
      </c>
      <c r="AV294" s="55">
        <f>AW294+AX294</f>
        <v>0</v>
      </c>
      <c r="AW294" s="55">
        <f>G294*AO294</f>
        <v>0</v>
      </c>
      <c r="AX294" s="55">
        <f>G294*AP294</f>
        <v>0</v>
      </c>
      <c r="AY294" s="58" t="s">
        <v>1668</v>
      </c>
      <c r="AZ294" s="58" t="s">
        <v>3185</v>
      </c>
      <c r="BA294" s="34" t="s">
        <v>2634</v>
      </c>
      <c r="BB294" s="67">
        <v>100014</v>
      </c>
      <c r="BC294" s="55">
        <f>AW294+AX294</f>
        <v>0</v>
      </c>
      <c r="BD294" s="55">
        <f>H294/(100-BE294)*100</f>
        <v>0</v>
      </c>
      <c r="BE294" s="55">
        <v>0</v>
      </c>
      <c r="BF294" s="55">
        <f>K294</f>
        <v>1.6244999999999998</v>
      </c>
      <c r="BH294" s="55">
        <f>G294*AO294</f>
        <v>0</v>
      </c>
      <c r="BI294" s="55">
        <f>G294*AP294</f>
        <v>0</v>
      </c>
      <c r="BJ294" s="55">
        <f>G294*H294</f>
        <v>0</v>
      </c>
      <c r="BK294" s="55"/>
      <c r="BL294" s="55">
        <v>762</v>
      </c>
      <c r="BW294" s="55">
        <v>21</v>
      </c>
    </row>
    <row r="295" spans="1:12" ht="13.5" customHeight="1">
      <c r="A295" s="85"/>
      <c r="D295" s="228" t="s">
        <v>3204</v>
      </c>
      <c r="E295" s="229"/>
      <c r="F295" s="229"/>
      <c r="G295" s="229"/>
      <c r="H295" s="229"/>
      <c r="I295" s="229"/>
      <c r="J295" s="229"/>
      <c r="K295" s="229"/>
      <c r="L295" s="231"/>
    </row>
    <row r="296" spans="1:12" ht="14.4">
      <c r="A296" s="86"/>
      <c r="B296" s="87"/>
      <c r="C296" s="87"/>
      <c r="D296" s="88" t="s">
        <v>3205</v>
      </c>
      <c r="E296" s="88" t="s">
        <v>816</v>
      </c>
      <c r="F296" s="87"/>
      <c r="G296" s="89">
        <v>108.3</v>
      </c>
      <c r="H296" s="87"/>
      <c r="I296" s="87"/>
      <c r="J296" s="87"/>
      <c r="K296" s="87"/>
      <c r="L296" s="91"/>
    </row>
    <row r="297" spans="1:75" ht="13.5" customHeight="1">
      <c r="A297" s="92" t="s">
        <v>730</v>
      </c>
      <c r="B297" s="93" t="s">
        <v>2629</v>
      </c>
      <c r="C297" s="93" t="s">
        <v>3207</v>
      </c>
      <c r="D297" s="232" t="s">
        <v>3208</v>
      </c>
      <c r="E297" s="233"/>
      <c r="F297" s="93" t="s">
        <v>729</v>
      </c>
      <c r="G297" s="94">
        <f>'Stavební rozpočet-vyplnit'!G1675</f>
        <v>484.52</v>
      </c>
      <c r="H297" s="94">
        <f>'Stavební rozpočet-vyplnit'!H1675</f>
        <v>0</v>
      </c>
      <c r="I297" s="94">
        <f>G297*H297</f>
        <v>0</v>
      </c>
      <c r="J297" s="94">
        <f>'Stavební rozpočet-vyplnit'!J1675</f>
        <v>0.015</v>
      </c>
      <c r="K297" s="94">
        <f>G297*J297</f>
        <v>7.267799999999999</v>
      </c>
      <c r="L297" s="96" t="s">
        <v>785</v>
      </c>
      <c r="Z297" s="55">
        <f>IF(AQ297="5",BJ297,0)</f>
        <v>0</v>
      </c>
      <c r="AB297" s="55">
        <f>IF(AQ297="1",BH297,0)</f>
        <v>0</v>
      </c>
      <c r="AC297" s="55">
        <f>IF(AQ297="1",BI297,0)</f>
        <v>0</v>
      </c>
      <c r="AD297" s="55">
        <f>IF(AQ297="7",BH297,0)</f>
        <v>0</v>
      </c>
      <c r="AE297" s="55">
        <f>IF(AQ297="7",BI297,0)</f>
        <v>0</v>
      </c>
      <c r="AF297" s="55">
        <f>IF(AQ297="2",BH297,0)</f>
        <v>0</v>
      </c>
      <c r="AG297" s="55">
        <f>IF(AQ297="2",BI297,0)</f>
        <v>0</v>
      </c>
      <c r="AH297" s="55">
        <f>IF(AQ297="0",BJ297,0)</f>
        <v>0</v>
      </c>
      <c r="AI297" s="34" t="s">
        <v>2629</v>
      </c>
      <c r="AJ297" s="55">
        <f>IF(AN297=0,I297,0)</f>
        <v>0</v>
      </c>
      <c r="AK297" s="55">
        <f>IF(AN297=12,I297,0)</f>
        <v>0</v>
      </c>
      <c r="AL297" s="55">
        <f>IF(AN297=21,I297,0)</f>
        <v>0</v>
      </c>
      <c r="AN297" s="55">
        <v>21</v>
      </c>
      <c r="AO297" s="55">
        <f>H297*0</f>
        <v>0</v>
      </c>
      <c r="AP297" s="55">
        <f>H297*(1-0)</f>
        <v>0</v>
      </c>
      <c r="AQ297" s="58" t="s">
        <v>125</v>
      </c>
      <c r="AV297" s="55">
        <f>AW297+AX297</f>
        <v>0</v>
      </c>
      <c r="AW297" s="55">
        <f>G297*AO297</f>
        <v>0</v>
      </c>
      <c r="AX297" s="55">
        <f>G297*AP297</f>
        <v>0</v>
      </c>
      <c r="AY297" s="58" t="s">
        <v>1668</v>
      </c>
      <c r="AZ297" s="58" t="s">
        <v>3185</v>
      </c>
      <c r="BA297" s="34" t="s">
        <v>2634</v>
      </c>
      <c r="BB297" s="67">
        <v>100014</v>
      </c>
      <c r="BC297" s="55">
        <f>AW297+AX297</f>
        <v>0</v>
      </c>
      <c r="BD297" s="55">
        <f>H297/(100-BE297)*100</f>
        <v>0</v>
      </c>
      <c r="BE297" s="55">
        <v>0</v>
      </c>
      <c r="BF297" s="55">
        <f>K297</f>
        <v>7.267799999999999</v>
      </c>
      <c r="BH297" s="55">
        <f>G297*AO297</f>
        <v>0</v>
      </c>
      <c r="BI297" s="55">
        <f>G297*AP297</f>
        <v>0</v>
      </c>
      <c r="BJ297" s="55">
        <f>G297*H297</f>
        <v>0</v>
      </c>
      <c r="BK297" s="55"/>
      <c r="BL297" s="55">
        <v>762</v>
      </c>
      <c r="BW297" s="55">
        <v>21</v>
      </c>
    </row>
    <row r="298" spans="1:12" ht="14.4">
      <c r="A298" s="59"/>
      <c r="D298" s="60" t="s">
        <v>3190</v>
      </c>
      <c r="E298" s="60" t="s">
        <v>3191</v>
      </c>
      <c r="G298" s="68">
        <v>331.25</v>
      </c>
      <c r="L298" s="69"/>
    </row>
    <row r="299" spans="1:12" ht="14.4">
      <c r="A299" s="59"/>
      <c r="D299" s="60" t="s">
        <v>3209</v>
      </c>
      <c r="E299" s="60" t="s">
        <v>3210</v>
      </c>
      <c r="G299" s="68">
        <v>95.04</v>
      </c>
      <c r="L299" s="69"/>
    </row>
    <row r="300" spans="1:12" ht="14.4">
      <c r="A300" s="59"/>
      <c r="D300" s="60" t="s">
        <v>3211</v>
      </c>
      <c r="E300" s="60" t="s">
        <v>3212</v>
      </c>
      <c r="G300" s="68">
        <v>48.53</v>
      </c>
      <c r="L300" s="69"/>
    </row>
    <row r="301" spans="1:12" ht="14.4">
      <c r="A301" s="59"/>
      <c r="D301" s="60" t="s">
        <v>3213</v>
      </c>
      <c r="E301" s="60" t="s">
        <v>3214</v>
      </c>
      <c r="G301" s="68">
        <v>9.7</v>
      </c>
      <c r="L301" s="69"/>
    </row>
    <row r="302" spans="1:75" ht="13.5" customHeight="1">
      <c r="A302" s="1" t="s">
        <v>733</v>
      </c>
      <c r="B302" s="2" t="s">
        <v>2629</v>
      </c>
      <c r="C302" s="2" t="s">
        <v>1794</v>
      </c>
      <c r="D302" s="147" t="s">
        <v>1795</v>
      </c>
      <c r="E302" s="148"/>
      <c r="F302" s="2" t="s">
        <v>792</v>
      </c>
      <c r="G302" s="55">
        <f>'Stavební rozpočet-vyplnit'!G1680</f>
        <v>41.62</v>
      </c>
      <c r="H302" s="55">
        <f>'Stavební rozpočet-vyplnit'!H1680</f>
        <v>0</v>
      </c>
      <c r="I302" s="55">
        <f>G302*H302</f>
        <v>0</v>
      </c>
      <c r="J302" s="55">
        <f>'Stavební rozpočet-vyplnit'!J1680</f>
        <v>0.02357</v>
      </c>
      <c r="K302" s="55">
        <f>G302*J302</f>
        <v>0.9809834</v>
      </c>
      <c r="L302" s="57" t="s">
        <v>785</v>
      </c>
      <c r="Z302" s="55">
        <f>IF(AQ302="5",BJ302,0)</f>
        <v>0</v>
      </c>
      <c r="AB302" s="55">
        <f>IF(AQ302="1",BH302,0)</f>
        <v>0</v>
      </c>
      <c r="AC302" s="55">
        <f>IF(AQ302="1",BI302,0)</f>
        <v>0</v>
      </c>
      <c r="AD302" s="55">
        <f>IF(AQ302="7",BH302,0)</f>
        <v>0</v>
      </c>
      <c r="AE302" s="55">
        <f>IF(AQ302="7",BI302,0)</f>
        <v>0</v>
      </c>
      <c r="AF302" s="55">
        <f>IF(AQ302="2",BH302,0)</f>
        <v>0</v>
      </c>
      <c r="AG302" s="55">
        <f>IF(AQ302="2",BI302,0)</f>
        <v>0</v>
      </c>
      <c r="AH302" s="55">
        <f>IF(AQ302="0",BJ302,0)</f>
        <v>0</v>
      </c>
      <c r="AI302" s="34" t="s">
        <v>2629</v>
      </c>
      <c r="AJ302" s="55">
        <f>IF(AN302=0,I302,0)</f>
        <v>0</v>
      </c>
      <c r="AK302" s="55">
        <f>IF(AN302=12,I302,0)</f>
        <v>0</v>
      </c>
      <c r="AL302" s="55">
        <f>IF(AN302=21,I302,0)</f>
        <v>0</v>
      </c>
      <c r="AN302" s="55">
        <v>21</v>
      </c>
      <c r="AO302" s="55">
        <f>H302*1.000000491</f>
        <v>0</v>
      </c>
      <c r="AP302" s="55">
        <f>H302*(1-1.000000491)</f>
        <v>0</v>
      </c>
      <c r="AQ302" s="58" t="s">
        <v>125</v>
      </c>
      <c r="AV302" s="55">
        <f>AW302+AX302</f>
        <v>0</v>
      </c>
      <c r="AW302" s="55">
        <f>G302*AO302</f>
        <v>0</v>
      </c>
      <c r="AX302" s="55">
        <f>G302*AP302</f>
        <v>0</v>
      </c>
      <c r="AY302" s="58" t="s">
        <v>1668</v>
      </c>
      <c r="AZ302" s="58" t="s">
        <v>3185</v>
      </c>
      <c r="BA302" s="34" t="s">
        <v>2634</v>
      </c>
      <c r="BB302" s="67">
        <v>100014</v>
      </c>
      <c r="BC302" s="55">
        <f>AW302+AX302</f>
        <v>0</v>
      </c>
      <c r="BD302" s="55">
        <f>H302/(100-BE302)*100</f>
        <v>0</v>
      </c>
      <c r="BE302" s="55">
        <v>0</v>
      </c>
      <c r="BF302" s="55">
        <f>K302</f>
        <v>0.9809834</v>
      </c>
      <c r="BH302" s="55">
        <f>G302*AO302</f>
        <v>0</v>
      </c>
      <c r="BI302" s="55">
        <f>G302*AP302</f>
        <v>0</v>
      </c>
      <c r="BJ302" s="55">
        <f>G302*H302</f>
        <v>0</v>
      </c>
      <c r="BK302" s="55"/>
      <c r="BL302" s="55">
        <v>762</v>
      </c>
      <c r="BW302" s="55">
        <v>21</v>
      </c>
    </row>
    <row r="303" spans="1:12" ht="14.4">
      <c r="A303" s="59"/>
      <c r="D303" s="60" t="s">
        <v>3216</v>
      </c>
      <c r="E303" s="60" t="s">
        <v>3217</v>
      </c>
      <c r="G303" s="68">
        <v>41.62</v>
      </c>
      <c r="L303" s="69"/>
    </row>
    <row r="304" spans="1:75" ht="13.5" customHeight="1">
      <c r="A304" s="1" t="s">
        <v>736</v>
      </c>
      <c r="B304" s="2" t="s">
        <v>2629</v>
      </c>
      <c r="C304" s="2" t="s">
        <v>1807</v>
      </c>
      <c r="D304" s="147" t="s">
        <v>1808</v>
      </c>
      <c r="E304" s="148"/>
      <c r="F304" s="2" t="s">
        <v>939</v>
      </c>
      <c r="G304" s="55">
        <f>'Stavební rozpočet-vyplnit'!G1682</f>
        <v>28.19</v>
      </c>
      <c r="H304" s="55">
        <f>'Stavební rozpočet-vyplnit'!H1682</f>
        <v>0</v>
      </c>
      <c r="I304" s="55">
        <f>G304*H304</f>
        <v>0</v>
      </c>
      <c r="J304" s="55">
        <f>'Stavební rozpočet-vyplnit'!J1682</f>
        <v>0</v>
      </c>
      <c r="K304" s="55">
        <f>G304*J304</f>
        <v>0</v>
      </c>
      <c r="L304" s="57" t="s">
        <v>785</v>
      </c>
      <c r="Z304" s="55">
        <f>IF(AQ304="5",BJ304,0)</f>
        <v>0</v>
      </c>
      <c r="AB304" s="55">
        <f>IF(AQ304="1",BH304,0)</f>
        <v>0</v>
      </c>
      <c r="AC304" s="55">
        <f>IF(AQ304="1",BI304,0)</f>
        <v>0</v>
      </c>
      <c r="AD304" s="55">
        <f>IF(AQ304="7",BH304,0)</f>
        <v>0</v>
      </c>
      <c r="AE304" s="55">
        <f>IF(AQ304="7",BI304,0)</f>
        <v>0</v>
      </c>
      <c r="AF304" s="55">
        <f>IF(AQ304="2",BH304,0)</f>
        <v>0</v>
      </c>
      <c r="AG304" s="55">
        <f>IF(AQ304="2",BI304,0)</f>
        <v>0</v>
      </c>
      <c r="AH304" s="55">
        <f>IF(AQ304="0",BJ304,0)</f>
        <v>0</v>
      </c>
      <c r="AI304" s="34" t="s">
        <v>2629</v>
      </c>
      <c r="AJ304" s="55">
        <f>IF(AN304=0,I304,0)</f>
        <v>0</v>
      </c>
      <c r="AK304" s="55">
        <f>IF(AN304=12,I304,0)</f>
        <v>0</v>
      </c>
      <c r="AL304" s="55">
        <f>IF(AN304=21,I304,0)</f>
        <v>0</v>
      </c>
      <c r="AN304" s="55">
        <v>21</v>
      </c>
      <c r="AO304" s="55">
        <f>H304*0</f>
        <v>0</v>
      </c>
      <c r="AP304" s="55">
        <f>H304*(1-0)</f>
        <v>0</v>
      </c>
      <c r="AQ304" s="58" t="s">
        <v>139</v>
      </c>
      <c r="AV304" s="55">
        <f>AW304+AX304</f>
        <v>0</v>
      </c>
      <c r="AW304" s="55">
        <f>G304*AO304</f>
        <v>0</v>
      </c>
      <c r="AX304" s="55">
        <f>G304*AP304</f>
        <v>0</v>
      </c>
      <c r="AY304" s="58" t="s">
        <v>1668</v>
      </c>
      <c r="AZ304" s="58" t="s">
        <v>3185</v>
      </c>
      <c r="BA304" s="34" t="s">
        <v>2634</v>
      </c>
      <c r="BC304" s="55">
        <f>AW304+AX304</f>
        <v>0</v>
      </c>
      <c r="BD304" s="55">
        <f>H304/(100-BE304)*100</f>
        <v>0</v>
      </c>
      <c r="BE304" s="55">
        <v>0</v>
      </c>
      <c r="BF304" s="55">
        <f>K304</f>
        <v>0</v>
      </c>
      <c r="BH304" s="55">
        <f>G304*AO304</f>
        <v>0</v>
      </c>
      <c r="BI304" s="55">
        <f>G304*AP304</f>
        <v>0</v>
      </c>
      <c r="BJ304" s="55">
        <f>G304*H304</f>
        <v>0</v>
      </c>
      <c r="BK304" s="55"/>
      <c r="BL304" s="55">
        <v>762</v>
      </c>
      <c r="BW304" s="55">
        <v>21</v>
      </c>
    </row>
    <row r="305" spans="1:12" ht="14.4">
      <c r="A305" s="59"/>
      <c r="D305" s="60" t="s">
        <v>3219</v>
      </c>
      <c r="E305" s="60" t="s">
        <v>1306</v>
      </c>
      <c r="G305" s="68">
        <v>28.19</v>
      </c>
      <c r="L305" s="69"/>
    </row>
    <row r="306" spans="1:47" ht="14.4">
      <c r="A306" s="50" t="s">
        <v>4</v>
      </c>
      <c r="B306" s="51" t="s">
        <v>2629</v>
      </c>
      <c r="C306" s="51" t="s">
        <v>1870</v>
      </c>
      <c r="D306" s="222" t="s">
        <v>1871</v>
      </c>
      <c r="E306" s="223"/>
      <c r="F306" s="52" t="s">
        <v>79</v>
      </c>
      <c r="G306" s="52" t="s">
        <v>79</v>
      </c>
      <c r="H306" s="52" t="s">
        <v>79</v>
      </c>
      <c r="I306" s="27">
        <f>SUM(I307:I552)</f>
        <v>0</v>
      </c>
      <c r="J306" s="34" t="s">
        <v>4</v>
      </c>
      <c r="K306" s="27">
        <f>SUM(K307:K552)</f>
        <v>13.0635887</v>
      </c>
      <c r="L306" s="54" t="s">
        <v>4</v>
      </c>
      <c r="AI306" s="34" t="s">
        <v>2629</v>
      </c>
      <c r="AS306" s="27">
        <f>SUM(AJ307:AJ552)</f>
        <v>0</v>
      </c>
      <c r="AT306" s="27">
        <f>SUM(AK307:AK552)</f>
        <v>0</v>
      </c>
      <c r="AU306" s="27">
        <f>SUM(AL307:AL552)</f>
        <v>0</v>
      </c>
    </row>
    <row r="307" spans="1:75" ht="27" customHeight="1">
      <c r="A307" s="1" t="s">
        <v>738</v>
      </c>
      <c r="B307" s="2" t="s">
        <v>2629</v>
      </c>
      <c r="C307" s="2" t="s">
        <v>3221</v>
      </c>
      <c r="D307" s="147" t="s">
        <v>3222</v>
      </c>
      <c r="E307" s="148"/>
      <c r="F307" s="2" t="s">
        <v>729</v>
      </c>
      <c r="G307" s="55">
        <f>'Stavební rozpočet-vyplnit'!G1685</f>
        <v>1269</v>
      </c>
      <c r="H307" s="55">
        <f>'Stavební rozpočet-vyplnit'!H1685</f>
        <v>0</v>
      </c>
      <c r="I307" s="55">
        <f>G307*H307</f>
        <v>0</v>
      </c>
      <c r="J307" s="55">
        <f>'Stavební rozpočet-vyplnit'!J1685</f>
        <v>0.00226</v>
      </c>
      <c r="K307" s="55">
        <f>G307*J307</f>
        <v>2.86794</v>
      </c>
      <c r="L307" s="57" t="s">
        <v>785</v>
      </c>
      <c r="Z307" s="55">
        <f>IF(AQ307="5",BJ307,0)</f>
        <v>0</v>
      </c>
      <c r="AB307" s="55">
        <f>IF(AQ307="1",BH307,0)</f>
        <v>0</v>
      </c>
      <c r="AC307" s="55">
        <f>IF(AQ307="1",BI307,0)</f>
        <v>0</v>
      </c>
      <c r="AD307" s="55">
        <f>IF(AQ307="7",BH307,0)</f>
        <v>0</v>
      </c>
      <c r="AE307" s="55">
        <f>IF(AQ307="7",BI307,0)</f>
        <v>0</v>
      </c>
      <c r="AF307" s="55">
        <f>IF(AQ307="2",BH307,0)</f>
        <v>0</v>
      </c>
      <c r="AG307" s="55">
        <f>IF(AQ307="2",BI307,0)</f>
        <v>0</v>
      </c>
      <c r="AH307" s="55">
        <f>IF(AQ307="0",BJ307,0)</f>
        <v>0</v>
      </c>
      <c r="AI307" s="34" t="s">
        <v>2629</v>
      </c>
      <c r="AJ307" s="55">
        <f>IF(AN307=0,I307,0)</f>
        <v>0</v>
      </c>
      <c r="AK307" s="55">
        <f>IF(AN307=12,I307,0)</f>
        <v>0</v>
      </c>
      <c r="AL307" s="55">
        <f>IF(AN307=21,I307,0)</f>
        <v>0</v>
      </c>
      <c r="AN307" s="55">
        <v>21</v>
      </c>
      <c r="AO307" s="55">
        <f>H307*0.426169429</f>
        <v>0</v>
      </c>
      <c r="AP307" s="55">
        <f>H307*(1-0.426169429)</f>
        <v>0</v>
      </c>
      <c r="AQ307" s="58" t="s">
        <v>125</v>
      </c>
      <c r="AV307" s="55">
        <f>AW307+AX307</f>
        <v>0</v>
      </c>
      <c r="AW307" s="55">
        <f>G307*AO307</f>
        <v>0</v>
      </c>
      <c r="AX307" s="55">
        <f>G307*AP307</f>
        <v>0</v>
      </c>
      <c r="AY307" s="58" t="s">
        <v>1875</v>
      </c>
      <c r="AZ307" s="58" t="s">
        <v>3185</v>
      </c>
      <c r="BA307" s="34" t="s">
        <v>2634</v>
      </c>
      <c r="BB307" s="67">
        <v>100011</v>
      </c>
      <c r="BC307" s="55">
        <f>AW307+AX307</f>
        <v>0</v>
      </c>
      <c r="BD307" s="55">
        <f>H307/(100-BE307)*100</f>
        <v>0</v>
      </c>
      <c r="BE307" s="55">
        <v>0</v>
      </c>
      <c r="BF307" s="55">
        <f>K307</f>
        <v>2.86794</v>
      </c>
      <c r="BH307" s="55">
        <f>G307*AO307</f>
        <v>0</v>
      </c>
      <c r="BI307" s="55">
        <f>G307*AP307</f>
        <v>0</v>
      </c>
      <c r="BJ307" s="55">
        <f>G307*H307</f>
        <v>0</v>
      </c>
      <c r="BK307" s="55"/>
      <c r="BL307" s="55">
        <v>764</v>
      </c>
      <c r="BW307" s="55">
        <v>21</v>
      </c>
    </row>
    <row r="308" spans="1:12" ht="13.5" customHeight="1">
      <c r="A308" s="59"/>
      <c r="D308" s="218" t="s">
        <v>3223</v>
      </c>
      <c r="E308" s="219"/>
      <c r="F308" s="219"/>
      <c r="G308" s="219"/>
      <c r="H308" s="219"/>
      <c r="I308" s="219"/>
      <c r="J308" s="219"/>
      <c r="K308" s="219"/>
      <c r="L308" s="221"/>
    </row>
    <row r="309" spans="1:12" ht="14.4">
      <c r="A309" s="59"/>
      <c r="D309" s="60" t="s">
        <v>3224</v>
      </c>
      <c r="E309" s="60" t="s">
        <v>4</v>
      </c>
      <c r="G309" s="68">
        <v>1269</v>
      </c>
      <c r="L309" s="69"/>
    </row>
    <row r="310" spans="1:75" ht="13.5" customHeight="1">
      <c r="A310" s="1" t="s">
        <v>740</v>
      </c>
      <c r="B310" s="2" t="s">
        <v>2629</v>
      </c>
      <c r="C310" s="2" t="s">
        <v>3226</v>
      </c>
      <c r="D310" s="147" t="s">
        <v>3227</v>
      </c>
      <c r="E310" s="148"/>
      <c r="F310" s="2" t="s">
        <v>174</v>
      </c>
      <c r="G310" s="55">
        <f>'Stavební rozpočet-vyplnit'!G1688</f>
        <v>108.3</v>
      </c>
      <c r="H310" s="55">
        <f>'Stavební rozpočet-vyplnit'!H1688</f>
        <v>0</v>
      </c>
      <c r="I310" s="55">
        <f>G310*H310</f>
        <v>0</v>
      </c>
      <c r="J310" s="55">
        <f>'Stavební rozpočet-vyplnit'!J1688</f>
        <v>0.00147</v>
      </c>
      <c r="K310" s="55">
        <f>G310*J310</f>
        <v>0.15920099999999998</v>
      </c>
      <c r="L310" s="57" t="s">
        <v>785</v>
      </c>
      <c r="Z310" s="55">
        <f>IF(AQ310="5",BJ310,0)</f>
        <v>0</v>
      </c>
      <c r="AB310" s="55">
        <f>IF(AQ310="1",BH310,0)</f>
        <v>0</v>
      </c>
      <c r="AC310" s="55">
        <f>IF(AQ310="1",BI310,0)</f>
        <v>0</v>
      </c>
      <c r="AD310" s="55">
        <f>IF(AQ310="7",BH310,0)</f>
        <v>0</v>
      </c>
      <c r="AE310" s="55">
        <f>IF(AQ310="7",BI310,0)</f>
        <v>0</v>
      </c>
      <c r="AF310" s="55">
        <f>IF(AQ310="2",BH310,0)</f>
        <v>0</v>
      </c>
      <c r="AG310" s="55">
        <f>IF(AQ310="2",BI310,0)</f>
        <v>0</v>
      </c>
      <c r="AH310" s="55">
        <f>IF(AQ310="0",BJ310,0)</f>
        <v>0</v>
      </c>
      <c r="AI310" s="34" t="s">
        <v>2629</v>
      </c>
      <c r="AJ310" s="55">
        <f>IF(AN310=0,I310,0)</f>
        <v>0</v>
      </c>
      <c r="AK310" s="55">
        <f>IF(AN310=12,I310,0)</f>
        <v>0</v>
      </c>
      <c r="AL310" s="55">
        <f>IF(AN310=21,I310,0)</f>
        <v>0</v>
      </c>
      <c r="AN310" s="55">
        <v>21</v>
      </c>
      <c r="AO310" s="55">
        <f>H310*0.88665212</f>
        <v>0</v>
      </c>
      <c r="AP310" s="55">
        <f>H310*(1-0.88665212)</f>
        <v>0</v>
      </c>
      <c r="AQ310" s="58" t="s">
        <v>125</v>
      </c>
      <c r="AV310" s="55">
        <f>AW310+AX310</f>
        <v>0</v>
      </c>
      <c r="AW310" s="55">
        <f>G310*AO310</f>
        <v>0</v>
      </c>
      <c r="AX310" s="55">
        <f>G310*AP310</f>
        <v>0</v>
      </c>
      <c r="AY310" s="58" t="s">
        <v>1875</v>
      </c>
      <c r="AZ310" s="58" t="s">
        <v>3185</v>
      </c>
      <c r="BA310" s="34" t="s">
        <v>2634</v>
      </c>
      <c r="BB310" s="67">
        <v>100011</v>
      </c>
      <c r="BC310" s="55">
        <f>AW310+AX310</f>
        <v>0</v>
      </c>
      <c r="BD310" s="55">
        <f>H310/(100-BE310)*100</f>
        <v>0</v>
      </c>
      <c r="BE310" s="55">
        <v>0</v>
      </c>
      <c r="BF310" s="55">
        <f>K310</f>
        <v>0.15920099999999998</v>
      </c>
      <c r="BH310" s="55">
        <f>G310*AO310</f>
        <v>0</v>
      </c>
      <c r="BI310" s="55">
        <f>G310*AP310</f>
        <v>0</v>
      </c>
      <c r="BJ310" s="55">
        <f>G310*H310</f>
        <v>0</v>
      </c>
      <c r="BK310" s="55"/>
      <c r="BL310" s="55">
        <v>764</v>
      </c>
      <c r="BW310" s="55">
        <v>21</v>
      </c>
    </row>
    <row r="311" spans="1:12" ht="13.5" customHeight="1">
      <c r="A311" s="59"/>
      <c r="D311" s="218" t="s">
        <v>3228</v>
      </c>
      <c r="E311" s="219"/>
      <c r="F311" s="219"/>
      <c r="G311" s="219"/>
      <c r="H311" s="219"/>
      <c r="I311" s="219"/>
      <c r="J311" s="219"/>
      <c r="K311" s="219"/>
      <c r="L311" s="221"/>
    </row>
    <row r="312" spans="1:12" ht="14.4">
      <c r="A312" s="59"/>
      <c r="D312" s="60" t="s">
        <v>3205</v>
      </c>
      <c r="E312" s="60" t="s">
        <v>3229</v>
      </c>
      <c r="G312" s="68">
        <v>108.3</v>
      </c>
      <c r="L312" s="69"/>
    </row>
    <row r="313" spans="1:75" ht="27" customHeight="1">
      <c r="A313" s="1" t="s">
        <v>745</v>
      </c>
      <c r="B313" s="2" t="s">
        <v>2629</v>
      </c>
      <c r="C313" s="2" t="s">
        <v>3231</v>
      </c>
      <c r="D313" s="147" t="s">
        <v>3232</v>
      </c>
      <c r="E313" s="148"/>
      <c r="F313" s="2" t="s">
        <v>174</v>
      </c>
      <c r="G313" s="55">
        <f>'Stavební rozpočet-vyplnit'!G1691</f>
        <v>216.6</v>
      </c>
      <c r="H313" s="55">
        <f>'Stavební rozpočet-vyplnit'!H1691</f>
        <v>0</v>
      </c>
      <c r="I313" s="55">
        <f>G313*H313</f>
        <v>0</v>
      </c>
      <c r="J313" s="55">
        <f>'Stavební rozpočet-vyplnit'!J1691</f>
        <v>0.00052</v>
      </c>
      <c r="K313" s="55">
        <f>G313*J313</f>
        <v>0.11263199999999998</v>
      </c>
      <c r="L313" s="57" t="s">
        <v>124</v>
      </c>
      <c r="Z313" s="55">
        <f>IF(AQ313="5",BJ313,0)</f>
        <v>0</v>
      </c>
      <c r="AB313" s="55">
        <f>IF(AQ313="1",BH313,0)</f>
        <v>0</v>
      </c>
      <c r="AC313" s="55">
        <f>IF(AQ313="1",BI313,0)</f>
        <v>0</v>
      </c>
      <c r="AD313" s="55">
        <f>IF(AQ313="7",BH313,0)</f>
        <v>0</v>
      </c>
      <c r="AE313" s="55">
        <f>IF(AQ313="7",BI313,0)</f>
        <v>0</v>
      </c>
      <c r="AF313" s="55">
        <f>IF(AQ313="2",BH313,0)</f>
        <v>0</v>
      </c>
      <c r="AG313" s="55">
        <f>IF(AQ313="2",BI313,0)</f>
        <v>0</v>
      </c>
      <c r="AH313" s="55">
        <f>IF(AQ313="0",BJ313,0)</f>
        <v>0</v>
      </c>
      <c r="AI313" s="34" t="s">
        <v>2629</v>
      </c>
      <c r="AJ313" s="55">
        <f>IF(AN313=0,I313,0)</f>
        <v>0</v>
      </c>
      <c r="AK313" s="55">
        <f>IF(AN313=12,I313,0)</f>
        <v>0</v>
      </c>
      <c r="AL313" s="55">
        <f>IF(AN313=21,I313,0)</f>
        <v>0</v>
      </c>
      <c r="AN313" s="55">
        <v>21</v>
      </c>
      <c r="AO313" s="55">
        <f>H313*0.671038166</f>
        <v>0</v>
      </c>
      <c r="AP313" s="55">
        <f>H313*(1-0.671038166)</f>
        <v>0</v>
      </c>
      <c r="AQ313" s="58" t="s">
        <v>125</v>
      </c>
      <c r="AV313" s="55">
        <f>AW313+AX313</f>
        <v>0</v>
      </c>
      <c r="AW313" s="55">
        <f>G313*AO313</f>
        <v>0</v>
      </c>
      <c r="AX313" s="55">
        <f>G313*AP313</f>
        <v>0</v>
      </c>
      <c r="AY313" s="58" t="s">
        <v>1875</v>
      </c>
      <c r="AZ313" s="58" t="s">
        <v>3185</v>
      </c>
      <c r="BA313" s="34" t="s">
        <v>2634</v>
      </c>
      <c r="BB313" s="67">
        <v>100011</v>
      </c>
      <c r="BC313" s="55">
        <f>AW313+AX313</f>
        <v>0</v>
      </c>
      <c r="BD313" s="55">
        <f>H313/(100-BE313)*100</f>
        <v>0</v>
      </c>
      <c r="BE313" s="55">
        <v>0</v>
      </c>
      <c r="BF313" s="55">
        <f>K313</f>
        <v>0.11263199999999998</v>
      </c>
      <c r="BH313" s="55">
        <f>G313*AO313</f>
        <v>0</v>
      </c>
      <c r="BI313" s="55">
        <f>G313*AP313</f>
        <v>0</v>
      </c>
      <c r="BJ313" s="55">
        <f>G313*H313</f>
        <v>0</v>
      </c>
      <c r="BK313" s="55"/>
      <c r="BL313" s="55">
        <v>764</v>
      </c>
      <c r="BW313" s="55">
        <v>21</v>
      </c>
    </row>
    <row r="314" spans="1:12" ht="13.5" customHeight="1">
      <c r="A314" s="59"/>
      <c r="D314" s="218" t="s">
        <v>3228</v>
      </c>
      <c r="E314" s="219"/>
      <c r="F314" s="219"/>
      <c r="G314" s="219"/>
      <c r="H314" s="219"/>
      <c r="I314" s="219"/>
      <c r="J314" s="219"/>
      <c r="K314" s="219"/>
      <c r="L314" s="221"/>
    </row>
    <row r="315" spans="1:12" ht="14.4">
      <c r="A315" s="59"/>
      <c r="D315" s="60" t="s">
        <v>3233</v>
      </c>
      <c r="E315" s="60" t="s">
        <v>4</v>
      </c>
      <c r="G315" s="68">
        <v>216.6</v>
      </c>
      <c r="L315" s="69"/>
    </row>
    <row r="316" spans="1:75" ht="27" customHeight="1">
      <c r="A316" s="1" t="s">
        <v>749</v>
      </c>
      <c r="B316" s="2" t="s">
        <v>2629</v>
      </c>
      <c r="C316" s="2" t="s">
        <v>3235</v>
      </c>
      <c r="D316" s="147" t="s">
        <v>3236</v>
      </c>
      <c r="E316" s="148"/>
      <c r="F316" s="2" t="s">
        <v>174</v>
      </c>
      <c r="G316" s="55">
        <f>'Stavební rozpočet-vyplnit'!G1694</f>
        <v>58.9</v>
      </c>
      <c r="H316" s="55">
        <f>'Stavební rozpočet-vyplnit'!H1694</f>
        <v>0</v>
      </c>
      <c r="I316" s="55">
        <f>G316*H316</f>
        <v>0</v>
      </c>
      <c r="J316" s="55">
        <f>'Stavební rozpočet-vyplnit'!J1694</f>
        <v>0.00056</v>
      </c>
      <c r="K316" s="55">
        <f>G316*J316</f>
        <v>0.032984</v>
      </c>
      <c r="L316" s="57" t="s">
        <v>124</v>
      </c>
      <c r="Z316" s="55">
        <f>IF(AQ316="5",BJ316,0)</f>
        <v>0</v>
      </c>
      <c r="AB316" s="55">
        <f>IF(AQ316="1",BH316,0)</f>
        <v>0</v>
      </c>
      <c r="AC316" s="55">
        <f>IF(AQ316="1",BI316,0)</f>
        <v>0</v>
      </c>
      <c r="AD316" s="55">
        <f>IF(AQ316="7",BH316,0)</f>
        <v>0</v>
      </c>
      <c r="AE316" s="55">
        <f>IF(AQ316="7",BI316,0)</f>
        <v>0</v>
      </c>
      <c r="AF316" s="55">
        <f>IF(AQ316="2",BH316,0)</f>
        <v>0</v>
      </c>
      <c r="AG316" s="55">
        <f>IF(AQ316="2",BI316,0)</f>
        <v>0</v>
      </c>
      <c r="AH316" s="55">
        <f>IF(AQ316="0",BJ316,0)</f>
        <v>0</v>
      </c>
      <c r="AI316" s="34" t="s">
        <v>2629</v>
      </c>
      <c r="AJ316" s="55">
        <f>IF(AN316=0,I316,0)</f>
        <v>0</v>
      </c>
      <c r="AK316" s="55">
        <f>IF(AN316=12,I316,0)</f>
        <v>0</v>
      </c>
      <c r="AL316" s="55">
        <f>IF(AN316=21,I316,0)</f>
        <v>0</v>
      </c>
      <c r="AN316" s="55">
        <v>21</v>
      </c>
      <c r="AO316" s="55">
        <f>H316*0.124174629</f>
        <v>0</v>
      </c>
      <c r="AP316" s="55">
        <f>H316*(1-0.124174629)</f>
        <v>0</v>
      </c>
      <c r="AQ316" s="58" t="s">
        <v>125</v>
      </c>
      <c r="AV316" s="55">
        <f>AW316+AX316</f>
        <v>0</v>
      </c>
      <c r="AW316" s="55">
        <f>G316*AO316</f>
        <v>0</v>
      </c>
      <c r="AX316" s="55">
        <f>G316*AP316</f>
        <v>0</v>
      </c>
      <c r="AY316" s="58" t="s">
        <v>1875</v>
      </c>
      <c r="AZ316" s="58" t="s">
        <v>3185</v>
      </c>
      <c r="BA316" s="34" t="s">
        <v>2634</v>
      </c>
      <c r="BB316" s="67">
        <v>100011</v>
      </c>
      <c r="BC316" s="55">
        <f>AW316+AX316</f>
        <v>0</v>
      </c>
      <c r="BD316" s="55">
        <f>H316/(100-BE316)*100</f>
        <v>0</v>
      </c>
      <c r="BE316" s="55">
        <v>0</v>
      </c>
      <c r="BF316" s="55">
        <f>K316</f>
        <v>0.032984</v>
      </c>
      <c r="BH316" s="55">
        <f>G316*AO316</f>
        <v>0</v>
      </c>
      <c r="BI316" s="55">
        <f>G316*AP316</f>
        <v>0</v>
      </c>
      <c r="BJ316" s="55">
        <f>G316*H316</f>
        <v>0</v>
      </c>
      <c r="BK316" s="55"/>
      <c r="BL316" s="55">
        <v>764</v>
      </c>
      <c r="BW316" s="55">
        <v>21</v>
      </c>
    </row>
    <row r="317" spans="1:12" ht="13.5" customHeight="1">
      <c r="A317" s="59"/>
      <c r="D317" s="218" t="s">
        <v>3237</v>
      </c>
      <c r="E317" s="219"/>
      <c r="F317" s="219"/>
      <c r="G317" s="219"/>
      <c r="H317" s="219"/>
      <c r="I317" s="219"/>
      <c r="J317" s="219"/>
      <c r="K317" s="219"/>
      <c r="L317" s="221"/>
    </row>
    <row r="318" spans="1:12" ht="14.4">
      <c r="A318" s="59"/>
      <c r="D318" s="60" t="s">
        <v>3238</v>
      </c>
      <c r="E318" s="60" t="s">
        <v>3239</v>
      </c>
      <c r="G318" s="68">
        <v>14.2</v>
      </c>
      <c r="L318" s="69"/>
    </row>
    <row r="319" spans="1:12" ht="14.4">
      <c r="A319" s="59"/>
      <c r="D319" s="60" t="s">
        <v>3240</v>
      </c>
      <c r="E319" s="60" t="s">
        <v>3241</v>
      </c>
      <c r="G319" s="68">
        <v>44.7</v>
      </c>
      <c r="L319" s="69"/>
    </row>
    <row r="320" spans="1:75" ht="27" customHeight="1">
      <c r="A320" s="1" t="s">
        <v>752</v>
      </c>
      <c r="B320" s="2" t="s">
        <v>2629</v>
      </c>
      <c r="C320" s="2" t="s">
        <v>3243</v>
      </c>
      <c r="D320" s="147" t="s">
        <v>3244</v>
      </c>
      <c r="E320" s="148"/>
      <c r="F320" s="2" t="s">
        <v>174</v>
      </c>
      <c r="G320" s="55">
        <f>'Stavební rozpočet-vyplnit'!G1698</f>
        <v>12</v>
      </c>
      <c r="H320" s="55">
        <f>'Stavební rozpočet-vyplnit'!H1698</f>
        <v>0</v>
      </c>
      <c r="I320" s="55">
        <f>G320*H320</f>
        <v>0</v>
      </c>
      <c r="J320" s="55">
        <f>'Stavební rozpočet-vyplnit'!J1698</f>
        <v>0.00052</v>
      </c>
      <c r="K320" s="55">
        <f>G320*J320</f>
        <v>0.006239999999999999</v>
      </c>
      <c r="L320" s="57" t="s">
        <v>124</v>
      </c>
      <c r="Z320" s="55">
        <f>IF(AQ320="5",BJ320,0)</f>
        <v>0</v>
      </c>
      <c r="AB320" s="55">
        <f>IF(AQ320="1",BH320,0)</f>
        <v>0</v>
      </c>
      <c r="AC320" s="55">
        <f>IF(AQ320="1",BI320,0)</f>
        <v>0</v>
      </c>
      <c r="AD320" s="55">
        <f>IF(AQ320="7",BH320,0)</f>
        <v>0</v>
      </c>
      <c r="AE320" s="55">
        <f>IF(AQ320="7",BI320,0)</f>
        <v>0</v>
      </c>
      <c r="AF320" s="55">
        <f>IF(AQ320="2",BH320,0)</f>
        <v>0</v>
      </c>
      <c r="AG320" s="55">
        <f>IF(AQ320="2",BI320,0)</f>
        <v>0</v>
      </c>
      <c r="AH320" s="55">
        <f>IF(AQ320="0",BJ320,0)</f>
        <v>0</v>
      </c>
      <c r="AI320" s="34" t="s">
        <v>2629</v>
      </c>
      <c r="AJ320" s="55">
        <f>IF(AN320=0,I320,0)</f>
        <v>0</v>
      </c>
      <c r="AK320" s="55">
        <f>IF(AN320=12,I320,0)</f>
        <v>0</v>
      </c>
      <c r="AL320" s="55">
        <f>IF(AN320=21,I320,0)</f>
        <v>0</v>
      </c>
      <c r="AN320" s="55">
        <v>21</v>
      </c>
      <c r="AO320" s="55">
        <f>H320*0.715725528</f>
        <v>0</v>
      </c>
      <c r="AP320" s="55">
        <f>H320*(1-0.715725528)</f>
        <v>0</v>
      </c>
      <c r="AQ320" s="58" t="s">
        <v>125</v>
      </c>
      <c r="AV320" s="55">
        <f>AW320+AX320</f>
        <v>0</v>
      </c>
      <c r="AW320" s="55">
        <f>G320*AO320</f>
        <v>0</v>
      </c>
      <c r="AX320" s="55">
        <f>G320*AP320</f>
        <v>0</v>
      </c>
      <c r="AY320" s="58" t="s">
        <v>1875</v>
      </c>
      <c r="AZ320" s="58" t="s">
        <v>3185</v>
      </c>
      <c r="BA320" s="34" t="s">
        <v>2634</v>
      </c>
      <c r="BB320" s="67">
        <v>100011</v>
      </c>
      <c r="BC320" s="55">
        <f>AW320+AX320</f>
        <v>0</v>
      </c>
      <c r="BD320" s="55">
        <f>H320/(100-BE320)*100</f>
        <v>0</v>
      </c>
      <c r="BE320" s="55">
        <v>0</v>
      </c>
      <c r="BF320" s="55">
        <f>K320</f>
        <v>0.006239999999999999</v>
      </c>
      <c r="BH320" s="55">
        <f>G320*AO320</f>
        <v>0</v>
      </c>
      <c r="BI320" s="55">
        <f>G320*AP320</f>
        <v>0</v>
      </c>
      <c r="BJ320" s="55">
        <f>G320*H320</f>
        <v>0</v>
      </c>
      <c r="BK320" s="55"/>
      <c r="BL320" s="55">
        <v>764</v>
      </c>
      <c r="BW320" s="55">
        <v>21</v>
      </c>
    </row>
    <row r="321" spans="1:12" ht="13.5" customHeight="1">
      <c r="A321" s="59"/>
      <c r="D321" s="218" t="s">
        <v>3245</v>
      </c>
      <c r="E321" s="219"/>
      <c r="F321" s="219"/>
      <c r="G321" s="219"/>
      <c r="H321" s="219"/>
      <c r="I321" s="219"/>
      <c r="J321" s="219"/>
      <c r="K321" s="219"/>
      <c r="L321" s="221"/>
    </row>
    <row r="322" spans="1:12" ht="14.4">
      <c r="A322" s="59"/>
      <c r="D322" s="60" t="s">
        <v>159</v>
      </c>
      <c r="E322" s="60" t="s">
        <v>4</v>
      </c>
      <c r="G322" s="68">
        <v>12</v>
      </c>
      <c r="L322" s="69"/>
    </row>
    <row r="323" spans="1:75" ht="27" customHeight="1">
      <c r="A323" s="1" t="s">
        <v>756</v>
      </c>
      <c r="B323" s="2" t="s">
        <v>2629</v>
      </c>
      <c r="C323" s="2" t="s">
        <v>3247</v>
      </c>
      <c r="D323" s="147" t="s">
        <v>3248</v>
      </c>
      <c r="E323" s="148"/>
      <c r="F323" s="2" t="s">
        <v>174</v>
      </c>
      <c r="G323" s="55">
        <f>'Stavební rozpočet-vyplnit'!G1701</f>
        <v>53.9</v>
      </c>
      <c r="H323" s="55">
        <f>'Stavební rozpočet-vyplnit'!H1701</f>
        <v>0</v>
      </c>
      <c r="I323" s="55">
        <f>G323*H323</f>
        <v>0</v>
      </c>
      <c r="J323" s="55">
        <f>'Stavební rozpočet-vyplnit'!J1701</f>
        <v>0.00062</v>
      </c>
      <c r="K323" s="55">
        <f>G323*J323</f>
        <v>0.033417999999999996</v>
      </c>
      <c r="L323" s="57" t="s">
        <v>124</v>
      </c>
      <c r="Z323" s="55">
        <f>IF(AQ323="5",BJ323,0)</f>
        <v>0</v>
      </c>
      <c r="AB323" s="55">
        <f>IF(AQ323="1",BH323,0)</f>
        <v>0</v>
      </c>
      <c r="AC323" s="55">
        <f>IF(AQ323="1",BI323,0)</f>
        <v>0</v>
      </c>
      <c r="AD323" s="55">
        <f>IF(AQ323="7",BH323,0)</f>
        <v>0</v>
      </c>
      <c r="AE323" s="55">
        <f>IF(AQ323="7",BI323,0)</f>
        <v>0</v>
      </c>
      <c r="AF323" s="55">
        <f>IF(AQ323="2",BH323,0)</f>
        <v>0</v>
      </c>
      <c r="AG323" s="55">
        <f>IF(AQ323="2",BI323,0)</f>
        <v>0</v>
      </c>
      <c r="AH323" s="55">
        <f>IF(AQ323="0",BJ323,0)</f>
        <v>0</v>
      </c>
      <c r="AI323" s="34" t="s">
        <v>2629</v>
      </c>
      <c r="AJ323" s="55">
        <f>IF(AN323=0,I323,0)</f>
        <v>0</v>
      </c>
      <c r="AK323" s="55">
        <f>IF(AN323=12,I323,0)</f>
        <v>0</v>
      </c>
      <c r="AL323" s="55">
        <f>IF(AN323=21,I323,0)</f>
        <v>0</v>
      </c>
      <c r="AN323" s="55">
        <v>21</v>
      </c>
      <c r="AO323" s="55">
        <f>H323*0.665438486</f>
        <v>0</v>
      </c>
      <c r="AP323" s="55">
        <f>H323*(1-0.665438486)</f>
        <v>0</v>
      </c>
      <c r="AQ323" s="58" t="s">
        <v>125</v>
      </c>
      <c r="AV323" s="55">
        <f>AW323+AX323</f>
        <v>0</v>
      </c>
      <c r="AW323" s="55">
        <f>G323*AO323</f>
        <v>0</v>
      </c>
      <c r="AX323" s="55">
        <f>G323*AP323</f>
        <v>0</v>
      </c>
      <c r="AY323" s="58" t="s">
        <v>1875</v>
      </c>
      <c r="AZ323" s="58" t="s">
        <v>3185</v>
      </c>
      <c r="BA323" s="34" t="s">
        <v>2634</v>
      </c>
      <c r="BB323" s="67">
        <v>100011</v>
      </c>
      <c r="BC323" s="55">
        <f>AW323+AX323</f>
        <v>0</v>
      </c>
      <c r="BD323" s="55">
        <f>H323/(100-BE323)*100</f>
        <v>0</v>
      </c>
      <c r="BE323" s="55">
        <v>0</v>
      </c>
      <c r="BF323" s="55">
        <f>K323</f>
        <v>0.033417999999999996</v>
      </c>
      <c r="BH323" s="55">
        <f>G323*AO323</f>
        <v>0</v>
      </c>
      <c r="BI323" s="55">
        <f>G323*AP323</f>
        <v>0</v>
      </c>
      <c r="BJ323" s="55">
        <f>G323*H323</f>
        <v>0</v>
      </c>
      <c r="BK323" s="55"/>
      <c r="BL323" s="55">
        <v>764</v>
      </c>
      <c r="BW323" s="55">
        <v>21</v>
      </c>
    </row>
    <row r="324" spans="1:12" ht="13.5" customHeight="1">
      <c r="A324" s="59"/>
      <c r="D324" s="218" t="s">
        <v>3249</v>
      </c>
      <c r="E324" s="219"/>
      <c r="F324" s="219"/>
      <c r="G324" s="219"/>
      <c r="H324" s="219"/>
      <c r="I324" s="219"/>
      <c r="J324" s="219"/>
      <c r="K324" s="219"/>
      <c r="L324" s="221"/>
    </row>
    <row r="325" spans="1:12" ht="14.4">
      <c r="A325" s="59"/>
      <c r="D325" s="60" t="s">
        <v>3250</v>
      </c>
      <c r="E325" s="60" t="s">
        <v>4</v>
      </c>
      <c r="G325" s="68">
        <v>53.9</v>
      </c>
      <c r="L325" s="69"/>
    </row>
    <row r="326" spans="1:75" ht="13.5" customHeight="1">
      <c r="A326" s="1" t="s">
        <v>759</v>
      </c>
      <c r="B326" s="2" t="s">
        <v>2629</v>
      </c>
      <c r="C326" s="2" t="s">
        <v>3252</v>
      </c>
      <c r="D326" s="147" t="s">
        <v>3253</v>
      </c>
      <c r="E326" s="148"/>
      <c r="F326" s="2" t="s">
        <v>174</v>
      </c>
      <c r="G326" s="55">
        <f>'Stavební rozpočet-vyplnit'!G1704</f>
        <v>183.6</v>
      </c>
      <c r="H326" s="55">
        <f>'Stavební rozpočet-vyplnit'!H1704</f>
        <v>0</v>
      </c>
      <c r="I326" s="55">
        <f>G326*H326</f>
        <v>0</v>
      </c>
      <c r="J326" s="55">
        <f>'Stavební rozpočet-vyplnit'!J1704</f>
        <v>0.00052</v>
      </c>
      <c r="K326" s="55">
        <f>G326*J326</f>
        <v>0.09547199999999999</v>
      </c>
      <c r="L326" s="57" t="s">
        <v>124</v>
      </c>
      <c r="Z326" s="55">
        <f>IF(AQ326="5",BJ326,0)</f>
        <v>0</v>
      </c>
      <c r="AB326" s="55">
        <f>IF(AQ326="1",BH326,0)</f>
        <v>0</v>
      </c>
      <c r="AC326" s="55">
        <f>IF(AQ326="1",BI326,0)</f>
        <v>0</v>
      </c>
      <c r="AD326" s="55">
        <f>IF(AQ326="7",BH326,0)</f>
        <v>0</v>
      </c>
      <c r="AE326" s="55">
        <f>IF(AQ326="7",BI326,0)</f>
        <v>0</v>
      </c>
      <c r="AF326" s="55">
        <f>IF(AQ326="2",BH326,0)</f>
        <v>0</v>
      </c>
      <c r="AG326" s="55">
        <f>IF(AQ326="2",BI326,0)</f>
        <v>0</v>
      </c>
      <c r="AH326" s="55">
        <f>IF(AQ326="0",BJ326,0)</f>
        <v>0</v>
      </c>
      <c r="AI326" s="34" t="s">
        <v>2629</v>
      </c>
      <c r="AJ326" s="55">
        <f>IF(AN326=0,I326,0)</f>
        <v>0</v>
      </c>
      <c r="AK326" s="55">
        <f>IF(AN326=12,I326,0)</f>
        <v>0</v>
      </c>
      <c r="AL326" s="55">
        <f>IF(AN326=21,I326,0)</f>
        <v>0</v>
      </c>
      <c r="AN326" s="55">
        <v>21</v>
      </c>
      <c r="AO326" s="55">
        <f>H326*0.75127223</f>
        <v>0</v>
      </c>
      <c r="AP326" s="55">
        <f>H326*(1-0.75127223)</f>
        <v>0</v>
      </c>
      <c r="AQ326" s="58" t="s">
        <v>125</v>
      </c>
      <c r="AV326" s="55">
        <f>AW326+AX326</f>
        <v>0</v>
      </c>
      <c r="AW326" s="55">
        <f>G326*AO326</f>
        <v>0</v>
      </c>
      <c r="AX326" s="55">
        <f>G326*AP326</f>
        <v>0</v>
      </c>
      <c r="AY326" s="58" t="s">
        <v>1875</v>
      </c>
      <c r="AZ326" s="58" t="s">
        <v>3185</v>
      </c>
      <c r="BA326" s="34" t="s">
        <v>2634</v>
      </c>
      <c r="BB326" s="67">
        <v>100011</v>
      </c>
      <c r="BC326" s="55">
        <f>AW326+AX326</f>
        <v>0</v>
      </c>
      <c r="BD326" s="55">
        <f>H326/(100-BE326)*100</f>
        <v>0</v>
      </c>
      <c r="BE326" s="55">
        <v>0</v>
      </c>
      <c r="BF326" s="55">
        <f>K326</f>
        <v>0.09547199999999999</v>
      </c>
      <c r="BH326" s="55">
        <f>G326*AO326</f>
        <v>0</v>
      </c>
      <c r="BI326" s="55">
        <f>G326*AP326</f>
        <v>0</v>
      </c>
      <c r="BJ326" s="55">
        <f>G326*H326</f>
        <v>0</v>
      </c>
      <c r="BK326" s="55"/>
      <c r="BL326" s="55">
        <v>764</v>
      </c>
      <c r="BW326" s="55">
        <v>21</v>
      </c>
    </row>
    <row r="327" spans="1:12" ht="13.5" customHeight="1">
      <c r="A327" s="59"/>
      <c r="D327" s="218" t="s">
        <v>3254</v>
      </c>
      <c r="E327" s="219"/>
      <c r="F327" s="219"/>
      <c r="G327" s="219"/>
      <c r="H327" s="219"/>
      <c r="I327" s="219"/>
      <c r="J327" s="219"/>
      <c r="K327" s="219"/>
      <c r="L327" s="221"/>
    </row>
    <row r="328" spans="1:12" ht="14.4">
      <c r="A328" s="76"/>
      <c r="D328" s="77" t="s">
        <v>3255</v>
      </c>
      <c r="E328" s="77" t="s">
        <v>4</v>
      </c>
      <c r="G328" s="78">
        <v>183.6</v>
      </c>
      <c r="L328" s="79"/>
    </row>
    <row r="329" spans="1:75" ht="13.5" customHeight="1">
      <c r="A329" s="80" t="s">
        <v>763</v>
      </c>
      <c r="B329" s="81" t="s">
        <v>2629</v>
      </c>
      <c r="C329" s="81" t="s">
        <v>3257</v>
      </c>
      <c r="D329" s="226" t="s">
        <v>3258</v>
      </c>
      <c r="E329" s="227"/>
      <c r="F329" s="81" t="s">
        <v>174</v>
      </c>
      <c r="G329" s="82">
        <f>'Stavební rozpočet-vyplnit'!G1707</f>
        <v>183.6</v>
      </c>
      <c r="H329" s="82">
        <f>'Stavební rozpočet-vyplnit'!H1707</f>
        <v>0</v>
      </c>
      <c r="I329" s="82">
        <f>G329*H329</f>
        <v>0</v>
      </c>
      <c r="J329" s="82">
        <f>'Stavební rozpočet-vyplnit'!J1707</f>
        <v>0.00056</v>
      </c>
      <c r="K329" s="82">
        <f>G329*J329</f>
        <v>0.10281599999999999</v>
      </c>
      <c r="L329" s="84" t="s">
        <v>124</v>
      </c>
      <c r="Z329" s="55">
        <f>IF(AQ329="5",BJ329,0)</f>
        <v>0</v>
      </c>
      <c r="AB329" s="55">
        <f>IF(AQ329="1",BH329,0)</f>
        <v>0</v>
      </c>
      <c r="AC329" s="55">
        <f>IF(AQ329="1",BI329,0)</f>
        <v>0</v>
      </c>
      <c r="AD329" s="55">
        <f>IF(AQ329="7",BH329,0)</f>
        <v>0</v>
      </c>
      <c r="AE329" s="55">
        <f>IF(AQ329="7",BI329,0)</f>
        <v>0</v>
      </c>
      <c r="AF329" s="55">
        <f>IF(AQ329="2",BH329,0)</f>
        <v>0</v>
      </c>
      <c r="AG329" s="55">
        <f>IF(AQ329="2",BI329,0)</f>
        <v>0</v>
      </c>
      <c r="AH329" s="55">
        <f>IF(AQ329="0",BJ329,0)</f>
        <v>0</v>
      </c>
      <c r="AI329" s="34" t="s">
        <v>2629</v>
      </c>
      <c r="AJ329" s="55">
        <f>IF(AN329=0,I329,0)</f>
        <v>0</v>
      </c>
      <c r="AK329" s="55">
        <f>IF(AN329=12,I329,0)</f>
        <v>0</v>
      </c>
      <c r="AL329" s="55">
        <f>IF(AN329=21,I329,0)</f>
        <v>0</v>
      </c>
      <c r="AN329" s="55">
        <v>21</v>
      </c>
      <c r="AO329" s="55">
        <f>H329*0.86976432</f>
        <v>0</v>
      </c>
      <c r="AP329" s="55">
        <f>H329*(1-0.86976432)</f>
        <v>0</v>
      </c>
      <c r="AQ329" s="58" t="s">
        <v>125</v>
      </c>
      <c r="AV329" s="55">
        <f>AW329+AX329</f>
        <v>0</v>
      </c>
      <c r="AW329" s="55">
        <f>G329*AO329</f>
        <v>0</v>
      </c>
      <c r="AX329" s="55">
        <f>G329*AP329</f>
        <v>0</v>
      </c>
      <c r="AY329" s="58" t="s">
        <v>1875</v>
      </c>
      <c r="AZ329" s="58" t="s">
        <v>3185</v>
      </c>
      <c r="BA329" s="34" t="s">
        <v>2634</v>
      </c>
      <c r="BB329" s="67">
        <v>100011</v>
      </c>
      <c r="BC329" s="55">
        <f>AW329+AX329</f>
        <v>0</v>
      </c>
      <c r="BD329" s="55">
        <f>H329/(100-BE329)*100</f>
        <v>0</v>
      </c>
      <c r="BE329" s="55">
        <v>0</v>
      </c>
      <c r="BF329" s="55">
        <f>K329</f>
        <v>0.10281599999999999</v>
      </c>
      <c r="BH329" s="55">
        <f>G329*AO329</f>
        <v>0</v>
      </c>
      <c r="BI329" s="55">
        <f>G329*AP329</f>
        <v>0</v>
      </c>
      <c r="BJ329" s="55">
        <f>G329*H329</f>
        <v>0</v>
      </c>
      <c r="BK329" s="55"/>
      <c r="BL329" s="55">
        <v>764</v>
      </c>
      <c r="BW329" s="55">
        <v>21</v>
      </c>
    </row>
    <row r="330" spans="1:12" ht="13.5" customHeight="1">
      <c r="A330" s="85"/>
      <c r="D330" s="228" t="s">
        <v>3259</v>
      </c>
      <c r="E330" s="229"/>
      <c r="F330" s="229"/>
      <c r="G330" s="229"/>
      <c r="H330" s="229"/>
      <c r="I330" s="229"/>
      <c r="J330" s="229"/>
      <c r="K330" s="229"/>
      <c r="L330" s="231"/>
    </row>
    <row r="331" spans="1:12" ht="14.4">
      <c r="A331" s="86"/>
      <c r="B331" s="87"/>
      <c r="C331" s="87"/>
      <c r="D331" s="88" t="s">
        <v>3255</v>
      </c>
      <c r="E331" s="88" t="s">
        <v>4</v>
      </c>
      <c r="F331" s="87"/>
      <c r="G331" s="89">
        <v>183.6</v>
      </c>
      <c r="H331" s="87"/>
      <c r="I331" s="87"/>
      <c r="J331" s="87"/>
      <c r="K331" s="87"/>
      <c r="L331" s="91"/>
    </row>
    <row r="332" spans="1:75" ht="13.5" customHeight="1">
      <c r="A332" s="92" t="s">
        <v>765</v>
      </c>
      <c r="B332" s="93" t="s">
        <v>2629</v>
      </c>
      <c r="C332" s="93" t="s">
        <v>3261</v>
      </c>
      <c r="D332" s="232" t="s">
        <v>3262</v>
      </c>
      <c r="E332" s="233"/>
      <c r="F332" s="93" t="s">
        <v>174</v>
      </c>
      <c r="G332" s="94">
        <f>'Stavební rozpočet-vyplnit'!G1710</f>
        <v>183.6</v>
      </c>
      <c r="H332" s="94">
        <f>'Stavební rozpočet-vyplnit'!H1710</f>
        <v>0</v>
      </c>
      <c r="I332" s="94">
        <f>G332*H332</f>
        <v>0</v>
      </c>
      <c r="J332" s="94">
        <f>'Stavební rozpočet-vyplnit'!J1710</f>
        <v>0.00027</v>
      </c>
      <c r="K332" s="94">
        <f>G332*J332</f>
        <v>0.049572</v>
      </c>
      <c r="L332" s="96" t="s">
        <v>124</v>
      </c>
      <c r="Z332" s="55">
        <f>IF(AQ332="5",BJ332,0)</f>
        <v>0</v>
      </c>
      <c r="AB332" s="55">
        <f>IF(AQ332="1",BH332,0)</f>
        <v>0</v>
      </c>
      <c r="AC332" s="55">
        <f>IF(AQ332="1",BI332,0)</f>
        <v>0</v>
      </c>
      <c r="AD332" s="55">
        <f>IF(AQ332="7",BH332,0)</f>
        <v>0</v>
      </c>
      <c r="AE332" s="55">
        <f>IF(AQ332="7",BI332,0)</f>
        <v>0</v>
      </c>
      <c r="AF332" s="55">
        <f>IF(AQ332="2",BH332,0)</f>
        <v>0</v>
      </c>
      <c r="AG332" s="55">
        <f>IF(AQ332="2",BI332,0)</f>
        <v>0</v>
      </c>
      <c r="AH332" s="55">
        <f>IF(AQ332="0",BJ332,0)</f>
        <v>0</v>
      </c>
      <c r="AI332" s="34" t="s">
        <v>2629</v>
      </c>
      <c r="AJ332" s="55">
        <f>IF(AN332=0,I332,0)</f>
        <v>0</v>
      </c>
      <c r="AK332" s="55">
        <f>IF(AN332=12,I332,0)</f>
        <v>0</v>
      </c>
      <c r="AL332" s="55">
        <f>IF(AN332=21,I332,0)</f>
        <v>0</v>
      </c>
      <c r="AN332" s="55">
        <v>21</v>
      </c>
      <c r="AO332" s="55">
        <f>H332*0.837020015</f>
        <v>0</v>
      </c>
      <c r="AP332" s="55">
        <f>H332*(1-0.837020015)</f>
        <v>0</v>
      </c>
      <c r="AQ332" s="58" t="s">
        <v>125</v>
      </c>
      <c r="AV332" s="55">
        <f>AW332+AX332</f>
        <v>0</v>
      </c>
      <c r="AW332" s="55">
        <f>G332*AO332</f>
        <v>0</v>
      </c>
      <c r="AX332" s="55">
        <f>G332*AP332</f>
        <v>0</v>
      </c>
      <c r="AY332" s="58" t="s">
        <v>1875</v>
      </c>
      <c r="AZ332" s="58" t="s">
        <v>3185</v>
      </c>
      <c r="BA332" s="34" t="s">
        <v>2634</v>
      </c>
      <c r="BB332" s="67">
        <v>100011</v>
      </c>
      <c r="BC332" s="55">
        <f>AW332+AX332</f>
        <v>0</v>
      </c>
      <c r="BD332" s="55">
        <f>H332/(100-BE332)*100</f>
        <v>0</v>
      </c>
      <c r="BE332" s="55">
        <v>0</v>
      </c>
      <c r="BF332" s="55">
        <f>K332</f>
        <v>0.049572</v>
      </c>
      <c r="BH332" s="55">
        <f>G332*AO332</f>
        <v>0</v>
      </c>
      <c r="BI332" s="55">
        <f>G332*AP332</f>
        <v>0</v>
      </c>
      <c r="BJ332" s="55">
        <f>G332*H332</f>
        <v>0</v>
      </c>
      <c r="BK332" s="55"/>
      <c r="BL332" s="55">
        <v>764</v>
      </c>
      <c r="BW332" s="55">
        <v>21</v>
      </c>
    </row>
    <row r="333" spans="1:12" ht="13.5" customHeight="1">
      <c r="A333" s="59"/>
      <c r="D333" s="218" t="s">
        <v>3263</v>
      </c>
      <c r="E333" s="219"/>
      <c r="F333" s="219"/>
      <c r="G333" s="219"/>
      <c r="H333" s="219"/>
      <c r="I333" s="219"/>
      <c r="J333" s="219"/>
      <c r="K333" s="219"/>
      <c r="L333" s="221"/>
    </row>
    <row r="334" spans="1:12" ht="14.4">
      <c r="A334" s="59"/>
      <c r="D334" s="60" t="s">
        <v>3255</v>
      </c>
      <c r="E334" s="60" t="s">
        <v>4</v>
      </c>
      <c r="G334" s="68">
        <v>183.6</v>
      </c>
      <c r="L334" s="69"/>
    </row>
    <row r="335" spans="1:75" ht="13.5" customHeight="1">
      <c r="A335" s="1" t="s">
        <v>767</v>
      </c>
      <c r="B335" s="2" t="s">
        <v>2629</v>
      </c>
      <c r="C335" s="2" t="s">
        <v>3265</v>
      </c>
      <c r="D335" s="147" t="s">
        <v>3266</v>
      </c>
      <c r="E335" s="148"/>
      <c r="F335" s="2" t="s">
        <v>174</v>
      </c>
      <c r="G335" s="55">
        <f>'Stavební rozpočet-vyplnit'!G1713</f>
        <v>183.6</v>
      </c>
      <c r="H335" s="55">
        <f>'Stavební rozpočet-vyplnit'!H1713</f>
        <v>0</v>
      </c>
      <c r="I335" s="55">
        <f>G335*H335</f>
        <v>0</v>
      </c>
      <c r="J335" s="55">
        <f>'Stavební rozpočet-vyplnit'!J1713</f>
        <v>0.00056</v>
      </c>
      <c r="K335" s="55">
        <f>G335*J335</f>
        <v>0.10281599999999999</v>
      </c>
      <c r="L335" s="57" t="s">
        <v>124</v>
      </c>
      <c r="Z335" s="55">
        <f>IF(AQ335="5",BJ335,0)</f>
        <v>0</v>
      </c>
      <c r="AB335" s="55">
        <f>IF(AQ335="1",BH335,0)</f>
        <v>0</v>
      </c>
      <c r="AC335" s="55">
        <f>IF(AQ335="1",BI335,0)</f>
        <v>0</v>
      </c>
      <c r="AD335" s="55">
        <f>IF(AQ335="7",BH335,0)</f>
        <v>0</v>
      </c>
      <c r="AE335" s="55">
        <f>IF(AQ335="7",BI335,0)</f>
        <v>0</v>
      </c>
      <c r="AF335" s="55">
        <f>IF(AQ335="2",BH335,0)</f>
        <v>0</v>
      </c>
      <c r="AG335" s="55">
        <f>IF(AQ335="2",BI335,0)</f>
        <v>0</v>
      </c>
      <c r="AH335" s="55">
        <f>IF(AQ335="0",BJ335,0)</f>
        <v>0</v>
      </c>
      <c r="AI335" s="34" t="s">
        <v>2629</v>
      </c>
      <c r="AJ335" s="55">
        <f>IF(AN335=0,I335,0)</f>
        <v>0</v>
      </c>
      <c r="AK335" s="55">
        <f>IF(AN335=12,I335,0)</f>
        <v>0</v>
      </c>
      <c r="AL335" s="55">
        <f>IF(AN335=21,I335,0)</f>
        <v>0</v>
      </c>
      <c r="AN335" s="55">
        <v>21</v>
      </c>
      <c r="AO335" s="55">
        <f>H335*0.910661066</f>
        <v>0</v>
      </c>
      <c r="AP335" s="55">
        <f>H335*(1-0.910661066)</f>
        <v>0</v>
      </c>
      <c r="AQ335" s="58" t="s">
        <v>125</v>
      </c>
      <c r="AV335" s="55">
        <f>AW335+AX335</f>
        <v>0</v>
      </c>
      <c r="AW335" s="55">
        <f>G335*AO335</f>
        <v>0</v>
      </c>
      <c r="AX335" s="55">
        <f>G335*AP335</f>
        <v>0</v>
      </c>
      <c r="AY335" s="58" t="s">
        <v>1875</v>
      </c>
      <c r="AZ335" s="58" t="s">
        <v>3185</v>
      </c>
      <c r="BA335" s="34" t="s">
        <v>2634</v>
      </c>
      <c r="BB335" s="67">
        <v>100011</v>
      </c>
      <c r="BC335" s="55">
        <f>AW335+AX335</f>
        <v>0</v>
      </c>
      <c r="BD335" s="55">
        <f>H335/(100-BE335)*100</f>
        <v>0</v>
      </c>
      <c r="BE335" s="55">
        <v>0</v>
      </c>
      <c r="BF335" s="55">
        <f>K335</f>
        <v>0.10281599999999999</v>
      </c>
      <c r="BH335" s="55">
        <f>G335*AO335</f>
        <v>0</v>
      </c>
      <c r="BI335" s="55">
        <f>G335*AP335</f>
        <v>0</v>
      </c>
      <c r="BJ335" s="55">
        <f>G335*H335</f>
        <v>0</v>
      </c>
      <c r="BK335" s="55"/>
      <c r="BL335" s="55">
        <v>764</v>
      </c>
      <c r="BW335" s="55">
        <v>21</v>
      </c>
    </row>
    <row r="336" spans="1:12" ht="13.5" customHeight="1">
      <c r="A336" s="59"/>
      <c r="D336" s="218" t="s">
        <v>3267</v>
      </c>
      <c r="E336" s="219"/>
      <c r="F336" s="219"/>
      <c r="G336" s="219"/>
      <c r="H336" s="219"/>
      <c r="I336" s="219"/>
      <c r="J336" s="219"/>
      <c r="K336" s="219"/>
      <c r="L336" s="221"/>
    </row>
    <row r="337" spans="1:12" ht="14.4">
      <c r="A337" s="59"/>
      <c r="D337" s="60" t="s">
        <v>3255</v>
      </c>
      <c r="E337" s="60" t="s">
        <v>4</v>
      </c>
      <c r="G337" s="68">
        <v>183.6</v>
      </c>
      <c r="L337" s="69"/>
    </row>
    <row r="338" spans="1:75" ht="13.5" customHeight="1">
      <c r="A338" s="1" t="s">
        <v>771</v>
      </c>
      <c r="B338" s="2" t="s">
        <v>2629</v>
      </c>
      <c r="C338" s="2" t="s">
        <v>3269</v>
      </c>
      <c r="D338" s="147" t="s">
        <v>3270</v>
      </c>
      <c r="E338" s="148"/>
      <c r="F338" s="2" t="s">
        <v>174</v>
      </c>
      <c r="G338" s="55">
        <f>'Stavební rozpočet-vyplnit'!G1716</f>
        <v>183.6</v>
      </c>
      <c r="H338" s="55">
        <f>'Stavební rozpočet-vyplnit'!H1716</f>
        <v>0</v>
      </c>
      <c r="I338" s="55">
        <f>G338*H338</f>
        <v>0</v>
      </c>
      <c r="J338" s="55">
        <f>'Stavební rozpočet-vyplnit'!J1716</f>
        <v>0.00052</v>
      </c>
      <c r="K338" s="55">
        <f>G338*J338</f>
        <v>0.09547199999999999</v>
      </c>
      <c r="L338" s="57" t="s">
        <v>124</v>
      </c>
      <c r="Z338" s="55">
        <f>IF(AQ338="5",BJ338,0)</f>
        <v>0</v>
      </c>
      <c r="AB338" s="55">
        <f>IF(AQ338="1",BH338,0)</f>
        <v>0</v>
      </c>
      <c r="AC338" s="55">
        <f>IF(AQ338="1",BI338,0)</f>
        <v>0</v>
      </c>
      <c r="AD338" s="55">
        <f>IF(AQ338="7",BH338,0)</f>
        <v>0</v>
      </c>
      <c r="AE338" s="55">
        <f>IF(AQ338="7",BI338,0)</f>
        <v>0</v>
      </c>
      <c r="AF338" s="55">
        <f>IF(AQ338="2",BH338,0)</f>
        <v>0</v>
      </c>
      <c r="AG338" s="55">
        <f>IF(AQ338="2",BI338,0)</f>
        <v>0</v>
      </c>
      <c r="AH338" s="55">
        <f>IF(AQ338="0",BJ338,0)</f>
        <v>0</v>
      </c>
      <c r="AI338" s="34" t="s">
        <v>2629</v>
      </c>
      <c r="AJ338" s="55">
        <f>IF(AN338=0,I338,0)</f>
        <v>0</v>
      </c>
      <c r="AK338" s="55">
        <f>IF(AN338=12,I338,0)</f>
        <v>0</v>
      </c>
      <c r="AL338" s="55">
        <f>IF(AN338=21,I338,0)</f>
        <v>0</v>
      </c>
      <c r="AN338" s="55">
        <v>21</v>
      </c>
      <c r="AO338" s="55">
        <f>H338*0.863684586</f>
        <v>0</v>
      </c>
      <c r="AP338" s="55">
        <f>H338*(1-0.863684586)</f>
        <v>0</v>
      </c>
      <c r="AQ338" s="58" t="s">
        <v>125</v>
      </c>
      <c r="AV338" s="55">
        <f>AW338+AX338</f>
        <v>0</v>
      </c>
      <c r="AW338" s="55">
        <f>G338*AO338</f>
        <v>0</v>
      </c>
      <c r="AX338" s="55">
        <f>G338*AP338</f>
        <v>0</v>
      </c>
      <c r="AY338" s="58" t="s">
        <v>1875</v>
      </c>
      <c r="AZ338" s="58" t="s">
        <v>3185</v>
      </c>
      <c r="BA338" s="34" t="s">
        <v>2634</v>
      </c>
      <c r="BC338" s="55">
        <f>AW338+AX338</f>
        <v>0</v>
      </c>
      <c r="BD338" s="55">
        <f>H338/(100-BE338)*100</f>
        <v>0</v>
      </c>
      <c r="BE338" s="55">
        <v>0</v>
      </c>
      <c r="BF338" s="55">
        <f>K338</f>
        <v>0.09547199999999999</v>
      </c>
      <c r="BH338" s="55">
        <f>G338*AO338</f>
        <v>0</v>
      </c>
      <c r="BI338" s="55">
        <f>G338*AP338</f>
        <v>0</v>
      </c>
      <c r="BJ338" s="55">
        <f>G338*H338</f>
        <v>0</v>
      </c>
      <c r="BK338" s="55"/>
      <c r="BL338" s="55">
        <v>764</v>
      </c>
      <c r="BW338" s="55">
        <v>21</v>
      </c>
    </row>
    <row r="339" spans="1:12" ht="13.5" customHeight="1">
      <c r="A339" s="59"/>
      <c r="D339" s="218" t="s">
        <v>3271</v>
      </c>
      <c r="E339" s="219"/>
      <c r="F339" s="219"/>
      <c r="G339" s="219"/>
      <c r="H339" s="219"/>
      <c r="I339" s="219"/>
      <c r="J339" s="219"/>
      <c r="K339" s="219"/>
      <c r="L339" s="221"/>
    </row>
    <row r="340" spans="1:12" ht="14.4">
      <c r="A340" s="59"/>
      <c r="D340" s="60" t="s">
        <v>3255</v>
      </c>
      <c r="E340" s="60" t="s">
        <v>4</v>
      </c>
      <c r="G340" s="68">
        <v>183.6</v>
      </c>
      <c r="L340" s="69"/>
    </row>
    <row r="341" spans="1:75" ht="13.5" customHeight="1">
      <c r="A341" s="1" t="s">
        <v>774</v>
      </c>
      <c r="B341" s="2" t="s">
        <v>2629</v>
      </c>
      <c r="C341" s="2" t="s">
        <v>3273</v>
      </c>
      <c r="D341" s="147" t="s">
        <v>3274</v>
      </c>
      <c r="E341" s="148"/>
      <c r="F341" s="2" t="s">
        <v>174</v>
      </c>
      <c r="G341" s="55">
        <f>'Stavební rozpočet-vyplnit'!G1719</f>
        <v>42.5</v>
      </c>
      <c r="H341" s="55">
        <f>'Stavební rozpočet-vyplnit'!H1719</f>
        <v>0</v>
      </c>
      <c r="I341" s="55">
        <f>G341*H341</f>
        <v>0</v>
      </c>
      <c r="J341" s="55">
        <f>'Stavební rozpočet-vyplnit'!J1719</f>
        <v>0.00052</v>
      </c>
      <c r="K341" s="55">
        <f>G341*J341</f>
        <v>0.022099999999999998</v>
      </c>
      <c r="L341" s="57" t="s">
        <v>785</v>
      </c>
      <c r="Z341" s="55">
        <f>IF(AQ341="5",BJ341,0)</f>
        <v>0</v>
      </c>
      <c r="AB341" s="55">
        <f>IF(AQ341="1",BH341,0)</f>
        <v>0</v>
      </c>
      <c r="AC341" s="55">
        <f>IF(AQ341="1",BI341,0)</f>
        <v>0</v>
      </c>
      <c r="AD341" s="55">
        <f>IF(AQ341="7",BH341,0)</f>
        <v>0</v>
      </c>
      <c r="AE341" s="55">
        <f>IF(AQ341="7",BI341,0)</f>
        <v>0</v>
      </c>
      <c r="AF341" s="55">
        <f>IF(AQ341="2",BH341,0)</f>
        <v>0</v>
      </c>
      <c r="AG341" s="55">
        <f>IF(AQ341="2",BI341,0)</f>
        <v>0</v>
      </c>
      <c r="AH341" s="55">
        <f>IF(AQ341="0",BJ341,0)</f>
        <v>0</v>
      </c>
      <c r="AI341" s="34" t="s">
        <v>2629</v>
      </c>
      <c r="AJ341" s="55">
        <f>IF(AN341=0,I341,0)</f>
        <v>0</v>
      </c>
      <c r="AK341" s="55">
        <f>IF(AN341=12,I341,0)</f>
        <v>0</v>
      </c>
      <c r="AL341" s="55">
        <f>IF(AN341=21,I341,0)</f>
        <v>0</v>
      </c>
      <c r="AN341" s="55">
        <v>21</v>
      </c>
      <c r="AO341" s="55">
        <f>H341*0.761333523</f>
        <v>0</v>
      </c>
      <c r="AP341" s="55">
        <f>H341*(1-0.761333523)</f>
        <v>0</v>
      </c>
      <c r="AQ341" s="58" t="s">
        <v>125</v>
      </c>
      <c r="AV341" s="55">
        <f>AW341+AX341</f>
        <v>0</v>
      </c>
      <c r="AW341" s="55">
        <f>G341*AO341</f>
        <v>0</v>
      </c>
      <c r="AX341" s="55">
        <f>G341*AP341</f>
        <v>0</v>
      </c>
      <c r="AY341" s="58" t="s">
        <v>1875</v>
      </c>
      <c r="AZ341" s="58" t="s">
        <v>3185</v>
      </c>
      <c r="BA341" s="34" t="s">
        <v>2634</v>
      </c>
      <c r="BC341" s="55">
        <f>AW341+AX341</f>
        <v>0</v>
      </c>
      <c r="BD341" s="55">
        <f>H341/(100-BE341)*100</f>
        <v>0</v>
      </c>
      <c r="BE341" s="55">
        <v>0</v>
      </c>
      <c r="BF341" s="55">
        <f>K341</f>
        <v>0.022099999999999998</v>
      </c>
      <c r="BH341" s="55">
        <f>G341*AO341</f>
        <v>0</v>
      </c>
      <c r="BI341" s="55">
        <f>G341*AP341</f>
        <v>0</v>
      </c>
      <c r="BJ341" s="55">
        <f>G341*H341</f>
        <v>0</v>
      </c>
      <c r="BK341" s="55"/>
      <c r="BL341" s="55">
        <v>764</v>
      </c>
      <c r="BW341" s="55">
        <v>21</v>
      </c>
    </row>
    <row r="342" spans="1:12" ht="13.5" customHeight="1">
      <c r="A342" s="59"/>
      <c r="D342" s="218" t="s">
        <v>3275</v>
      </c>
      <c r="E342" s="219"/>
      <c r="F342" s="219"/>
      <c r="G342" s="219"/>
      <c r="H342" s="219"/>
      <c r="I342" s="219"/>
      <c r="J342" s="219"/>
      <c r="K342" s="219"/>
      <c r="L342" s="221"/>
    </row>
    <row r="343" spans="1:12" ht="14.4">
      <c r="A343" s="59"/>
      <c r="D343" s="60" t="s">
        <v>3276</v>
      </c>
      <c r="E343" s="60" t="s">
        <v>4</v>
      </c>
      <c r="G343" s="68">
        <v>42.5</v>
      </c>
      <c r="L343" s="69"/>
    </row>
    <row r="344" spans="1:75" ht="13.5" customHeight="1">
      <c r="A344" s="1" t="s">
        <v>776</v>
      </c>
      <c r="B344" s="2" t="s">
        <v>2629</v>
      </c>
      <c r="C344" s="2" t="s">
        <v>3278</v>
      </c>
      <c r="D344" s="147" t="s">
        <v>3279</v>
      </c>
      <c r="E344" s="148"/>
      <c r="F344" s="2" t="s">
        <v>174</v>
      </c>
      <c r="G344" s="55">
        <f>'Stavební rozpočet-vyplnit'!G1722</f>
        <v>42.5</v>
      </c>
      <c r="H344" s="55">
        <f>'Stavební rozpočet-vyplnit'!H1722</f>
        <v>0</v>
      </c>
      <c r="I344" s="55">
        <f>G344*H344</f>
        <v>0</v>
      </c>
      <c r="J344" s="55">
        <f>'Stavební rozpočet-vyplnit'!J1722</f>
        <v>0.00027</v>
      </c>
      <c r="K344" s="55">
        <f>G344*J344</f>
        <v>0.011475</v>
      </c>
      <c r="L344" s="57" t="s">
        <v>124</v>
      </c>
      <c r="Z344" s="55">
        <f>IF(AQ344="5",BJ344,0)</f>
        <v>0</v>
      </c>
      <c r="AB344" s="55">
        <f>IF(AQ344="1",BH344,0)</f>
        <v>0</v>
      </c>
      <c r="AC344" s="55">
        <f>IF(AQ344="1",BI344,0)</f>
        <v>0</v>
      </c>
      <c r="AD344" s="55">
        <f>IF(AQ344="7",BH344,0)</f>
        <v>0</v>
      </c>
      <c r="AE344" s="55">
        <f>IF(AQ344="7",BI344,0)</f>
        <v>0</v>
      </c>
      <c r="AF344" s="55">
        <f>IF(AQ344="2",BH344,0)</f>
        <v>0</v>
      </c>
      <c r="AG344" s="55">
        <f>IF(AQ344="2",BI344,0)</f>
        <v>0</v>
      </c>
      <c r="AH344" s="55">
        <f>IF(AQ344="0",BJ344,0)</f>
        <v>0</v>
      </c>
      <c r="AI344" s="34" t="s">
        <v>2629</v>
      </c>
      <c r="AJ344" s="55">
        <f>IF(AN344=0,I344,0)</f>
        <v>0</v>
      </c>
      <c r="AK344" s="55">
        <f>IF(AN344=12,I344,0)</f>
        <v>0</v>
      </c>
      <c r="AL344" s="55">
        <f>IF(AN344=21,I344,0)</f>
        <v>0</v>
      </c>
      <c r="AN344" s="55">
        <v>21</v>
      </c>
      <c r="AO344" s="55">
        <f>H344*0.844680958</f>
        <v>0</v>
      </c>
      <c r="AP344" s="55">
        <f>H344*(1-0.844680958)</f>
        <v>0</v>
      </c>
      <c r="AQ344" s="58" t="s">
        <v>125</v>
      </c>
      <c r="AV344" s="55">
        <f>AW344+AX344</f>
        <v>0</v>
      </c>
      <c r="AW344" s="55">
        <f>G344*AO344</f>
        <v>0</v>
      </c>
      <c r="AX344" s="55">
        <f>G344*AP344</f>
        <v>0</v>
      </c>
      <c r="AY344" s="58" t="s">
        <v>1875</v>
      </c>
      <c r="AZ344" s="58" t="s">
        <v>3185</v>
      </c>
      <c r="BA344" s="34" t="s">
        <v>2634</v>
      </c>
      <c r="BC344" s="55">
        <f>AW344+AX344</f>
        <v>0</v>
      </c>
      <c r="BD344" s="55">
        <f>H344/(100-BE344)*100</f>
        <v>0</v>
      </c>
      <c r="BE344" s="55">
        <v>0</v>
      </c>
      <c r="BF344" s="55">
        <f>K344</f>
        <v>0.011475</v>
      </c>
      <c r="BH344" s="55">
        <f>G344*AO344</f>
        <v>0</v>
      </c>
      <c r="BI344" s="55">
        <f>G344*AP344</f>
        <v>0</v>
      </c>
      <c r="BJ344" s="55">
        <f>G344*H344</f>
        <v>0</v>
      </c>
      <c r="BK344" s="55"/>
      <c r="BL344" s="55">
        <v>764</v>
      </c>
      <c r="BW344" s="55">
        <v>21</v>
      </c>
    </row>
    <row r="345" spans="1:12" ht="13.5" customHeight="1">
      <c r="A345" s="59"/>
      <c r="D345" s="218" t="s">
        <v>3280</v>
      </c>
      <c r="E345" s="219"/>
      <c r="F345" s="219"/>
      <c r="G345" s="219"/>
      <c r="H345" s="219"/>
      <c r="I345" s="219"/>
      <c r="J345" s="219"/>
      <c r="K345" s="219"/>
      <c r="L345" s="221"/>
    </row>
    <row r="346" spans="1:12" ht="14.4">
      <c r="A346" s="59"/>
      <c r="D346" s="60" t="s">
        <v>3276</v>
      </c>
      <c r="E346" s="60" t="s">
        <v>4</v>
      </c>
      <c r="G346" s="68">
        <v>42.5</v>
      </c>
      <c r="L346" s="69"/>
    </row>
    <row r="347" spans="1:75" ht="13.5" customHeight="1">
      <c r="A347" s="1" t="s">
        <v>778</v>
      </c>
      <c r="B347" s="2" t="s">
        <v>2629</v>
      </c>
      <c r="C347" s="2" t="s">
        <v>3282</v>
      </c>
      <c r="D347" s="147" t="s">
        <v>3283</v>
      </c>
      <c r="E347" s="148"/>
      <c r="F347" s="2" t="s">
        <v>174</v>
      </c>
      <c r="G347" s="55">
        <f>'Stavební rozpočet-vyplnit'!G1725</f>
        <v>42.5</v>
      </c>
      <c r="H347" s="55">
        <f>'Stavební rozpočet-vyplnit'!H1725</f>
        <v>0</v>
      </c>
      <c r="I347" s="55">
        <f>G347*H347</f>
        <v>0</v>
      </c>
      <c r="J347" s="55">
        <f>'Stavební rozpočet-vyplnit'!J1725</f>
        <v>0.00052</v>
      </c>
      <c r="K347" s="55">
        <f>G347*J347</f>
        <v>0.022099999999999998</v>
      </c>
      <c r="L347" s="57" t="s">
        <v>124</v>
      </c>
      <c r="Z347" s="55">
        <f>IF(AQ347="5",BJ347,0)</f>
        <v>0</v>
      </c>
      <c r="AB347" s="55">
        <f>IF(AQ347="1",BH347,0)</f>
        <v>0</v>
      </c>
      <c r="AC347" s="55">
        <f>IF(AQ347="1",BI347,0)</f>
        <v>0</v>
      </c>
      <c r="AD347" s="55">
        <f>IF(AQ347="7",BH347,0)</f>
        <v>0</v>
      </c>
      <c r="AE347" s="55">
        <f>IF(AQ347="7",BI347,0)</f>
        <v>0</v>
      </c>
      <c r="AF347" s="55">
        <f>IF(AQ347="2",BH347,0)</f>
        <v>0</v>
      </c>
      <c r="AG347" s="55">
        <f>IF(AQ347="2",BI347,0)</f>
        <v>0</v>
      </c>
      <c r="AH347" s="55">
        <f>IF(AQ347="0",BJ347,0)</f>
        <v>0</v>
      </c>
      <c r="AI347" s="34" t="s">
        <v>2629</v>
      </c>
      <c r="AJ347" s="55">
        <f>IF(AN347=0,I347,0)</f>
        <v>0</v>
      </c>
      <c r="AK347" s="55">
        <f>IF(AN347=12,I347,0)</f>
        <v>0</v>
      </c>
      <c r="AL347" s="55">
        <f>IF(AN347=21,I347,0)</f>
        <v>0</v>
      </c>
      <c r="AN347" s="55">
        <v>21</v>
      </c>
      <c r="AO347" s="55">
        <f>H347*0.714933929</f>
        <v>0</v>
      </c>
      <c r="AP347" s="55">
        <f>H347*(1-0.714933929)</f>
        <v>0</v>
      </c>
      <c r="AQ347" s="58" t="s">
        <v>125</v>
      </c>
      <c r="AV347" s="55">
        <f>AW347+AX347</f>
        <v>0</v>
      </c>
      <c r="AW347" s="55">
        <f>G347*AO347</f>
        <v>0</v>
      </c>
      <c r="AX347" s="55">
        <f>G347*AP347</f>
        <v>0</v>
      </c>
      <c r="AY347" s="58" t="s">
        <v>1875</v>
      </c>
      <c r="AZ347" s="58" t="s">
        <v>3185</v>
      </c>
      <c r="BA347" s="34" t="s">
        <v>2634</v>
      </c>
      <c r="BC347" s="55">
        <f>AW347+AX347</f>
        <v>0</v>
      </c>
      <c r="BD347" s="55">
        <f>H347/(100-BE347)*100</f>
        <v>0</v>
      </c>
      <c r="BE347" s="55">
        <v>0</v>
      </c>
      <c r="BF347" s="55">
        <f>K347</f>
        <v>0.022099999999999998</v>
      </c>
      <c r="BH347" s="55">
        <f>G347*AO347</f>
        <v>0</v>
      </c>
      <c r="BI347" s="55">
        <f>G347*AP347</f>
        <v>0</v>
      </c>
      <c r="BJ347" s="55">
        <f>G347*H347</f>
        <v>0</v>
      </c>
      <c r="BK347" s="55"/>
      <c r="BL347" s="55">
        <v>764</v>
      </c>
      <c r="BW347" s="55">
        <v>21</v>
      </c>
    </row>
    <row r="348" spans="1:12" ht="13.5" customHeight="1">
      <c r="A348" s="59"/>
      <c r="D348" s="218" t="s">
        <v>3284</v>
      </c>
      <c r="E348" s="219"/>
      <c r="F348" s="219"/>
      <c r="G348" s="219"/>
      <c r="H348" s="219"/>
      <c r="I348" s="219"/>
      <c r="J348" s="219"/>
      <c r="K348" s="219"/>
      <c r="L348" s="221"/>
    </row>
    <row r="349" spans="1:12" ht="14.4">
      <c r="A349" s="59"/>
      <c r="D349" s="60" t="s">
        <v>3276</v>
      </c>
      <c r="E349" s="60" t="s">
        <v>4</v>
      </c>
      <c r="G349" s="68">
        <v>42.5</v>
      </c>
      <c r="L349" s="69"/>
    </row>
    <row r="350" spans="1:75" ht="13.5" customHeight="1">
      <c r="A350" s="1" t="s">
        <v>782</v>
      </c>
      <c r="B350" s="2" t="s">
        <v>2629</v>
      </c>
      <c r="C350" s="2" t="s">
        <v>3286</v>
      </c>
      <c r="D350" s="147" t="s">
        <v>3287</v>
      </c>
      <c r="E350" s="148"/>
      <c r="F350" s="2" t="s">
        <v>174</v>
      </c>
      <c r="G350" s="55">
        <f>'Stavební rozpočet-vyplnit'!G1728</f>
        <v>42.5</v>
      </c>
      <c r="H350" s="55">
        <f>'Stavební rozpočet-vyplnit'!H1728</f>
        <v>0</v>
      </c>
      <c r="I350" s="55">
        <f>G350*H350</f>
        <v>0</v>
      </c>
      <c r="J350" s="55">
        <f>'Stavební rozpočet-vyplnit'!J1728</f>
        <v>0.00052</v>
      </c>
      <c r="K350" s="55">
        <f>G350*J350</f>
        <v>0.022099999999999998</v>
      </c>
      <c r="L350" s="57" t="s">
        <v>124</v>
      </c>
      <c r="Z350" s="55">
        <f>IF(AQ350="5",BJ350,0)</f>
        <v>0</v>
      </c>
      <c r="AB350" s="55">
        <f>IF(AQ350="1",BH350,0)</f>
        <v>0</v>
      </c>
      <c r="AC350" s="55">
        <f>IF(AQ350="1",BI350,0)</f>
        <v>0</v>
      </c>
      <c r="AD350" s="55">
        <f>IF(AQ350="7",BH350,0)</f>
        <v>0</v>
      </c>
      <c r="AE350" s="55">
        <f>IF(AQ350="7",BI350,0)</f>
        <v>0</v>
      </c>
      <c r="AF350" s="55">
        <f>IF(AQ350="2",BH350,0)</f>
        <v>0</v>
      </c>
      <c r="AG350" s="55">
        <f>IF(AQ350="2",BI350,0)</f>
        <v>0</v>
      </c>
      <c r="AH350" s="55">
        <f>IF(AQ350="0",BJ350,0)</f>
        <v>0</v>
      </c>
      <c r="AI350" s="34" t="s">
        <v>2629</v>
      </c>
      <c r="AJ350" s="55">
        <f>IF(AN350=0,I350,0)</f>
        <v>0</v>
      </c>
      <c r="AK350" s="55">
        <f>IF(AN350=12,I350,0)</f>
        <v>0</v>
      </c>
      <c r="AL350" s="55">
        <f>IF(AN350=21,I350,0)</f>
        <v>0</v>
      </c>
      <c r="AN350" s="55">
        <v>21</v>
      </c>
      <c r="AO350" s="55">
        <f>H350*0.518763934</f>
        <v>0</v>
      </c>
      <c r="AP350" s="55">
        <f>H350*(1-0.518763934)</f>
        <v>0</v>
      </c>
      <c r="AQ350" s="58" t="s">
        <v>125</v>
      </c>
      <c r="AV350" s="55">
        <f>AW350+AX350</f>
        <v>0</v>
      </c>
      <c r="AW350" s="55">
        <f>G350*AO350</f>
        <v>0</v>
      </c>
      <c r="AX350" s="55">
        <f>G350*AP350</f>
        <v>0</v>
      </c>
      <c r="AY350" s="58" t="s">
        <v>1875</v>
      </c>
      <c r="AZ350" s="58" t="s">
        <v>3185</v>
      </c>
      <c r="BA350" s="34" t="s">
        <v>2634</v>
      </c>
      <c r="BC350" s="55">
        <f>AW350+AX350</f>
        <v>0</v>
      </c>
      <c r="BD350" s="55">
        <f>H350/(100-BE350)*100</f>
        <v>0</v>
      </c>
      <c r="BE350" s="55">
        <v>0</v>
      </c>
      <c r="BF350" s="55">
        <f>K350</f>
        <v>0.022099999999999998</v>
      </c>
      <c r="BH350" s="55">
        <f>G350*AO350</f>
        <v>0</v>
      </c>
      <c r="BI350" s="55">
        <f>G350*AP350</f>
        <v>0</v>
      </c>
      <c r="BJ350" s="55">
        <f>G350*H350</f>
        <v>0</v>
      </c>
      <c r="BK350" s="55"/>
      <c r="BL350" s="55">
        <v>764</v>
      </c>
      <c r="BW350" s="55">
        <v>21</v>
      </c>
    </row>
    <row r="351" spans="1:12" ht="13.5" customHeight="1">
      <c r="A351" s="59"/>
      <c r="D351" s="218" t="s">
        <v>3288</v>
      </c>
      <c r="E351" s="219"/>
      <c r="F351" s="219"/>
      <c r="G351" s="219"/>
      <c r="H351" s="219"/>
      <c r="I351" s="219"/>
      <c r="J351" s="219"/>
      <c r="K351" s="219"/>
      <c r="L351" s="221"/>
    </row>
    <row r="352" spans="1:12" ht="14.4">
      <c r="A352" s="59"/>
      <c r="D352" s="60" t="s">
        <v>3276</v>
      </c>
      <c r="E352" s="60" t="s">
        <v>4</v>
      </c>
      <c r="G352" s="68">
        <v>42.5</v>
      </c>
      <c r="L352" s="69"/>
    </row>
    <row r="353" spans="1:75" ht="13.5" customHeight="1">
      <c r="A353" s="1" t="s">
        <v>789</v>
      </c>
      <c r="B353" s="2" t="s">
        <v>2629</v>
      </c>
      <c r="C353" s="2" t="s">
        <v>3290</v>
      </c>
      <c r="D353" s="147" t="s">
        <v>3291</v>
      </c>
      <c r="E353" s="148"/>
      <c r="F353" s="2" t="s">
        <v>174</v>
      </c>
      <c r="G353" s="55">
        <f>'Stavební rozpočet-vyplnit'!G1731</f>
        <v>9.3</v>
      </c>
      <c r="H353" s="55">
        <f>'Stavební rozpočet-vyplnit'!H1731</f>
        <v>0</v>
      </c>
      <c r="I353" s="55">
        <f>G353*H353</f>
        <v>0</v>
      </c>
      <c r="J353" s="55">
        <f>'Stavební rozpočet-vyplnit'!J1731</f>
        <v>0.00052</v>
      </c>
      <c r="K353" s="55">
        <f>G353*J353</f>
        <v>0.004836</v>
      </c>
      <c r="L353" s="57" t="s">
        <v>124</v>
      </c>
      <c r="Z353" s="55">
        <f>IF(AQ353="5",BJ353,0)</f>
        <v>0</v>
      </c>
      <c r="AB353" s="55">
        <f>IF(AQ353="1",BH353,0)</f>
        <v>0</v>
      </c>
      <c r="AC353" s="55">
        <f>IF(AQ353="1",BI353,0)</f>
        <v>0</v>
      </c>
      <c r="AD353" s="55">
        <f>IF(AQ353="7",BH353,0)</f>
        <v>0</v>
      </c>
      <c r="AE353" s="55">
        <f>IF(AQ353="7",BI353,0)</f>
        <v>0</v>
      </c>
      <c r="AF353" s="55">
        <f>IF(AQ353="2",BH353,0)</f>
        <v>0</v>
      </c>
      <c r="AG353" s="55">
        <f>IF(AQ353="2",BI353,0)</f>
        <v>0</v>
      </c>
      <c r="AH353" s="55">
        <f>IF(AQ353="0",BJ353,0)</f>
        <v>0</v>
      </c>
      <c r="AI353" s="34" t="s">
        <v>2629</v>
      </c>
      <c r="AJ353" s="55">
        <f>IF(AN353=0,I353,0)</f>
        <v>0</v>
      </c>
      <c r="AK353" s="55">
        <f>IF(AN353=12,I353,0)</f>
        <v>0</v>
      </c>
      <c r="AL353" s="55">
        <f>IF(AN353=21,I353,0)</f>
        <v>0</v>
      </c>
      <c r="AN353" s="55">
        <v>21</v>
      </c>
      <c r="AO353" s="55">
        <f>H353*0.812901084</f>
        <v>0</v>
      </c>
      <c r="AP353" s="55">
        <f>H353*(1-0.812901084)</f>
        <v>0</v>
      </c>
      <c r="AQ353" s="58" t="s">
        <v>125</v>
      </c>
      <c r="AV353" s="55">
        <f>AW353+AX353</f>
        <v>0</v>
      </c>
      <c r="AW353" s="55">
        <f>G353*AO353</f>
        <v>0</v>
      </c>
      <c r="AX353" s="55">
        <f>G353*AP353</f>
        <v>0</v>
      </c>
      <c r="AY353" s="58" t="s">
        <v>1875</v>
      </c>
      <c r="AZ353" s="58" t="s">
        <v>3185</v>
      </c>
      <c r="BA353" s="34" t="s">
        <v>2634</v>
      </c>
      <c r="BC353" s="55">
        <f>AW353+AX353</f>
        <v>0</v>
      </c>
      <c r="BD353" s="55">
        <f>H353/(100-BE353)*100</f>
        <v>0</v>
      </c>
      <c r="BE353" s="55">
        <v>0</v>
      </c>
      <c r="BF353" s="55">
        <f>K353</f>
        <v>0.004836</v>
      </c>
      <c r="BH353" s="55">
        <f>G353*AO353</f>
        <v>0</v>
      </c>
      <c r="BI353" s="55">
        <f>G353*AP353</f>
        <v>0</v>
      </c>
      <c r="BJ353" s="55">
        <f>G353*H353</f>
        <v>0</v>
      </c>
      <c r="BK353" s="55"/>
      <c r="BL353" s="55">
        <v>764</v>
      </c>
      <c r="BW353" s="55">
        <v>21</v>
      </c>
    </row>
    <row r="354" spans="1:12" ht="13.5" customHeight="1">
      <c r="A354" s="59"/>
      <c r="D354" s="218" t="s">
        <v>3292</v>
      </c>
      <c r="E354" s="219"/>
      <c r="F354" s="219"/>
      <c r="G354" s="219"/>
      <c r="H354" s="219"/>
      <c r="I354" s="219"/>
      <c r="J354" s="219"/>
      <c r="K354" s="219"/>
      <c r="L354" s="221"/>
    </row>
    <row r="355" spans="1:12" ht="14.4">
      <c r="A355" s="59"/>
      <c r="D355" s="60" t="s">
        <v>3293</v>
      </c>
      <c r="E355" s="60" t="s">
        <v>4</v>
      </c>
      <c r="G355" s="68">
        <v>9.3</v>
      </c>
      <c r="L355" s="69"/>
    </row>
    <row r="356" spans="1:75" ht="27" customHeight="1">
      <c r="A356" s="1" t="s">
        <v>795</v>
      </c>
      <c r="B356" s="2" t="s">
        <v>2629</v>
      </c>
      <c r="C356" s="2" t="s">
        <v>3295</v>
      </c>
      <c r="D356" s="147" t="s">
        <v>3296</v>
      </c>
      <c r="E356" s="148"/>
      <c r="F356" s="2" t="s">
        <v>174</v>
      </c>
      <c r="G356" s="55">
        <f>'Stavební rozpočet-vyplnit'!G1734</f>
        <v>9.3</v>
      </c>
      <c r="H356" s="55">
        <f>'Stavební rozpočet-vyplnit'!H1734</f>
        <v>0</v>
      </c>
      <c r="I356" s="55">
        <f>G356*H356</f>
        <v>0</v>
      </c>
      <c r="J356" s="55">
        <f>'Stavební rozpočet-vyplnit'!J1734</f>
        <v>0.00027</v>
      </c>
      <c r="K356" s="55">
        <f>G356*J356</f>
        <v>0.002511</v>
      </c>
      <c r="L356" s="57" t="s">
        <v>124</v>
      </c>
      <c r="Z356" s="55">
        <f>IF(AQ356="5",BJ356,0)</f>
        <v>0</v>
      </c>
      <c r="AB356" s="55">
        <f>IF(AQ356="1",BH356,0)</f>
        <v>0</v>
      </c>
      <c r="AC356" s="55">
        <f>IF(AQ356="1",BI356,0)</f>
        <v>0</v>
      </c>
      <c r="AD356" s="55">
        <f>IF(AQ356="7",BH356,0)</f>
        <v>0</v>
      </c>
      <c r="AE356" s="55">
        <f>IF(AQ356="7",BI356,0)</f>
        <v>0</v>
      </c>
      <c r="AF356" s="55">
        <f>IF(AQ356="2",BH356,0)</f>
        <v>0</v>
      </c>
      <c r="AG356" s="55">
        <f>IF(AQ356="2",BI356,0)</f>
        <v>0</v>
      </c>
      <c r="AH356" s="55">
        <f>IF(AQ356="0",BJ356,0)</f>
        <v>0</v>
      </c>
      <c r="AI356" s="34" t="s">
        <v>2629</v>
      </c>
      <c r="AJ356" s="55">
        <f>IF(AN356=0,I356,0)</f>
        <v>0</v>
      </c>
      <c r="AK356" s="55">
        <f>IF(AN356=12,I356,0)</f>
        <v>0</v>
      </c>
      <c r="AL356" s="55">
        <f>IF(AN356=21,I356,0)</f>
        <v>0</v>
      </c>
      <c r="AN356" s="55">
        <v>21</v>
      </c>
      <c r="AO356" s="55">
        <f>H356*0.747749278</f>
        <v>0</v>
      </c>
      <c r="AP356" s="55">
        <f>H356*(1-0.747749278)</f>
        <v>0</v>
      </c>
      <c r="AQ356" s="58" t="s">
        <v>125</v>
      </c>
      <c r="AV356" s="55">
        <f>AW356+AX356</f>
        <v>0</v>
      </c>
      <c r="AW356" s="55">
        <f>G356*AO356</f>
        <v>0</v>
      </c>
      <c r="AX356" s="55">
        <f>G356*AP356</f>
        <v>0</v>
      </c>
      <c r="AY356" s="58" t="s">
        <v>1875</v>
      </c>
      <c r="AZ356" s="58" t="s">
        <v>3185</v>
      </c>
      <c r="BA356" s="34" t="s">
        <v>2634</v>
      </c>
      <c r="BC356" s="55">
        <f>AW356+AX356</f>
        <v>0</v>
      </c>
      <c r="BD356" s="55">
        <f>H356/(100-BE356)*100</f>
        <v>0</v>
      </c>
      <c r="BE356" s="55">
        <v>0</v>
      </c>
      <c r="BF356" s="55">
        <f>K356</f>
        <v>0.002511</v>
      </c>
      <c r="BH356" s="55">
        <f>G356*AO356</f>
        <v>0</v>
      </c>
      <c r="BI356" s="55">
        <f>G356*AP356</f>
        <v>0</v>
      </c>
      <c r="BJ356" s="55">
        <f>G356*H356</f>
        <v>0</v>
      </c>
      <c r="BK356" s="55"/>
      <c r="BL356" s="55">
        <v>764</v>
      </c>
      <c r="BW356" s="55">
        <v>21</v>
      </c>
    </row>
    <row r="357" spans="1:12" ht="13.5" customHeight="1">
      <c r="A357" s="59"/>
      <c r="D357" s="218" t="s">
        <v>3297</v>
      </c>
      <c r="E357" s="219"/>
      <c r="F357" s="219"/>
      <c r="G357" s="219"/>
      <c r="H357" s="219"/>
      <c r="I357" s="219"/>
      <c r="J357" s="219"/>
      <c r="K357" s="219"/>
      <c r="L357" s="221"/>
    </row>
    <row r="358" spans="1:12" ht="14.4">
      <c r="A358" s="59"/>
      <c r="D358" s="60" t="s">
        <v>3293</v>
      </c>
      <c r="E358" s="60" t="s">
        <v>4</v>
      </c>
      <c r="G358" s="68">
        <v>9.3</v>
      </c>
      <c r="L358" s="69"/>
    </row>
    <row r="359" spans="1:75" ht="13.5" customHeight="1">
      <c r="A359" s="1" t="s">
        <v>801</v>
      </c>
      <c r="B359" s="2" t="s">
        <v>2629</v>
      </c>
      <c r="C359" s="2" t="s">
        <v>3299</v>
      </c>
      <c r="D359" s="147" t="s">
        <v>3300</v>
      </c>
      <c r="E359" s="148"/>
      <c r="F359" s="2" t="s">
        <v>174</v>
      </c>
      <c r="G359" s="55">
        <f>'Stavební rozpočet-vyplnit'!G1737</f>
        <v>9.3</v>
      </c>
      <c r="H359" s="55">
        <f>'Stavební rozpočet-vyplnit'!H1737</f>
        <v>0</v>
      </c>
      <c r="I359" s="55">
        <f>G359*H359</f>
        <v>0</v>
      </c>
      <c r="J359" s="55">
        <f>'Stavební rozpočet-vyplnit'!J1737</f>
        <v>0.00056</v>
      </c>
      <c r="K359" s="55">
        <f>G359*J359</f>
        <v>0.005208</v>
      </c>
      <c r="L359" s="57" t="s">
        <v>124</v>
      </c>
      <c r="Z359" s="55">
        <f>IF(AQ359="5",BJ359,0)</f>
        <v>0</v>
      </c>
      <c r="AB359" s="55">
        <f>IF(AQ359="1",BH359,0)</f>
        <v>0</v>
      </c>
      <c r="AC359" s="55">
        <f>IF(AQ359="1",BI359,0)</f>
        <v>0</v>
      </c>
      <c r="AD359" s="55">
        <f>IF(AQ359="7",BH359,0)</f>
        <v>0</v>
      </c>
      <c r="AE359" s="55">
        <f>IF(AQ359="7",BI359,0)</f>
        <v>0</v>
      </c>
      <c r="AF359" s="55">
        <f>IF(AQ359="2",BH359,0)</f>
        <v>0</v>
      </c>
      <c r="AG359" s="55">
        <f>IF(AQ359="2",BI359,0)</f>
        <v>0</v>
      </c>
      <c r="AH359" s="55">
        <f>IF(AQ359="0",BJ359,0)</f>
        <v>0</v>
      </c>
      <c r="AI359" s="34" t="s">
        <v>2629</v>
      </c>
      <c r="AJ359" s="55">
        <f>IF(AN359=0,I359,0)</f>
        <v>0</v>
      </c>
      <c r="AK359" s="55">
        <f>IF(AN359=12,I359,0)</f>
        <v>0</v>
      </c>
      <c r="AL359" s="55">
        <f>IF(AN359=21,I359,0)</f>
        <v>0</v>
      </c>
      <c r="AN359" s="55">
        <v>21</v>
      </c>
      <c r="AO359" s="55">
        <f>H359*0.792007861</f>
        <v>0</v>
      </c>
      <c r="AP359" s="55">
        <f>H359*(1-0.792007861)</f>
        <v>0</v>
      </c>
      <c r="AQ359" s="58" t="s">
        <v>125</v>
      </c>
      <c r="AV359" s="55">
        <f>AW359+AX359</f>
        <v>0</v>
      </c>
      <c r="AW359" s="55">
        <f>G359*AO359</f>
        <v>0</v>
      </c>
      <c r="AX359" s="55">
        <f>G359*AP359</f>
        <v>0</v>
      </c>
      <c r="AY359" s="58" t="s">
        <v>1875</v>
      </c>
      <c r="AZ359" s="58" t="s">
        <v>3185</v>
      </c>
      <c r="BA359" s="34" t="s">
        <v>2634</v>
      </c>
      <c r="BC359" s="55">
        <f>AW359+AX359</f>
        <v>0</v>
      </c>
      <c r="BD359" s="55">
        <f>H359/(100-BE359)*100</f>
        <v>0</v>
      </c>
      <c r="BE359" s="55">
        <v>0</v>
      </c>
      <c r="BF359" s="55">
        <f>K359</f>
        <v>0.005208</v>
      </c>
      <c r="BH359" s="55">
        <f>G359*AO359</f>
        <v>0</v>
      </c>
      <c r="BI359" s="55">
        <f>G359*AP359</f>
        <v>0</v>
      </c>
      <c r="BJ359" s="55">
        <f>G359*H359</f>
        <v>0</v>
      </c>
      <c r="BK359" s="55"/>
      <c r="BL359" s="55">
        <v>764</v>
      </c>
      <c r="BW359" s="55">
        <v>21</v>
      </c>
    </row>
    <row r="360" spans="1:12" ht="13.5" customHeight="1">
      <c r="A360" s="59"/>
      <c r="D360" s="218" t="s">
        <v>3301</v>
      </c>
      <c r="E360" s="219"/>
      <c r="F360" s="219"/>
      <c r="G360" s="219"/>
      <c r="H360" s="219"/>
      <c r="I360" s="219"/>
      <c r="J360" s="219"/>
      <c r="K360" s="219"/>
      <c r="L360" s="221"/>
    </row>
    <row r="361" spans="1:12" ht="14.4">
      <c r="A361" s="59"/>
      <c r="D361" s="60" t="s">
        <v>3293</v>
      </c>
      <c r="E361" s="60" t="s">
        <v>4</v>
      </c>
      <c r="G361" s="68">
        <v>9.3</v>
      </c>
      <c r="L361" s="69"/>
    </row>
    <row r="362" spans="1:75" ht="13.5" customHeight="1">
      <c r="A362" s="1" t="s">
        <v>810</v>
      </c>
      <c r="B362" s="2" t="s">
        <v>2629</v>
      </c>
      <c r="C362" s="2" t="s">
        <v>3303</v>
      </c>
      <c r="D362" s="147" t="s">
        <v>3304</v>
      </c>
      <c r="E362" s="148"/>
      <c r="F362" s="2" t="s">
        <v>174</v>
      </c>
      <c r="G362" s="55">
        <f>'Stavební rozpočet-vyplnit'!G1740</f>
        <v>9.3</v>
      </c>
      <c r="H362" s="55">
        <f>'Stavební rozpočet-vyplnit'!H1740</f>
        <v>0</v>
      </c>
      <c r="I362" s="55">
        <f>G362*H362</f>
        <v>0</v>
      </c>
      <c r="J362" s="55">
        <f>'Stavební rozpočet-vyplnit'!J1740</f>
        <v>0.00056</v>
      </c>
      <c r="K362" s="55">
        <f>G362*J362</f>
        <v>0.005208</v>
      </c>
      <c r="L362" s="57" t="s">
        <v>124</v>
      </c>
      <c r="Z362" s="55">
        <f>IF(AQ362="5",BJ362,0)</f>
        <v>0</v>
      </c>
      <c r="AB362" s="55">
        <f>IF(AQ362="1",BH362,0)</f>
        <v>0</v>
      </c>
      <c r="AC362" s="55">
        <f>IF(AQ362="1",BI362,0)</f>
        <v>0</v>
      </c>
      <c r="AD362" s="55">
        <f>IF(AQ362="7",BH362,0)</f>
        <v>0</v>
      </c>
      <c r="AE362" s="55">
        <f>IF(AQ362="7",BI362,0)</f>
        <v>0</v>
      </c>
      <c r="AF362" s="55">
        <f>IF(AQ362="2",BH362,0)</f>
        <v>0</v>
      </c>
      <c r="AG362" s="55">
        <f>IF(AQ362="2",BI362,0)</f>
        <v>0</v>
      </c>
      <c r="AH362" s="55">
        <f>IF(AQ362="0",BJ362,0)</f>
        <v>0</v>
      </c>
      <c r="AI362" s="34" t="s">
        <v>2629</v>
      </c>
      <c r="AJ362" s="55">
        <f>IF(AN362=0,I362,0)</f>
        <v>0</v>
      </c>
      <c r="AK362" s="55">
        <f>IF(AN362=12,I362,0)</f>
        <v>0</v>
      </c>
      <c r="AL362" s="55">
        <f>IF(AN362=21,I362,0)</f>
        <v>0</v>
      </c>
      <c r="AN362" s="55">
        <v>21</v>
      </c>
      <c r="AO362" s="55">
        <f>H362*0.887006655</f>
        <v>0</v>
      </c>
      <c r="AP362" s="55">
        <f>H362*(1-0.887006655)</f>
        <v>0</v>
      </c>
      <c r="AQ362" s="58" t="s">
        <v>125</v>
      </c>
      <c r="AV362" s="55">
        <f>AW362+AX362</f>
        <v>0</v>
      </c>
      <c r="AW362" s="55">
        <f>G362*AO362</f>
        <v>0</v>
      </c>
      <c r="AX362" s="55">
        <f>G362*AP362</f>
        <v>0</v>
      </c>
      <c r="AY362" s="58" t="s">
        <v>1875</v>
      </c>
      <c r="AZ362" s="58" t="s">
        <v>3185</v>
      </c>
      <c r="BA362" s="34" t="s">
        <v>2634</v>
      </c>
      <c r="BC362" s="55">
        <f>AW362+AX362</f>
        <v>0</v>
      </c>
      <c r="BD362" s="55">
        <f>H362/(100-BE362)*100</f>
        <v>0</v>
      </c>
      <c r="BE362" s="55">
        <v>0</v>
      </c>
      <c r="BF362" s="55">
        <f>K362</f>
        <v>0.005208</v>
      </c>
      <c r="BH362" s="55">
        <f>G362*AO362</f>
        <v>0</v>
      </c>
      <c r="BI362" s="55">
        <f>G362*AP362</f>
        <v>0</v>
      </c>
      <c r="BJ362" s="55">
        <f>G362*H362</f>
        <v>0</v>
      </c>
      <c r="BK362" s="55"/>
      <c r="BL362" s="55">
        <v>764</v>
      </c>
      <c r="BW362" s="55">
        <v>21</v>
      </c>
    </row>
    <row r="363" spans="1:12" ht="13.5" customHeight="1">
      <c r="A363" s="59"/>
      <c r="D363" s="218" t="s">
        <v>3305</v>
      </c>
      <c r="E363" s="219"/>
      <c r="F363" s="219"/>
      <c r="G363" s="219"/>
      <c r="H363" s="219"/>
      <c r="I363" s="219"/>
      <c r="J363" s="219"/>
      <c r="K363" s="219"/>
      <c r="L363" s="221"/>
    </row>
    <row r="364" spans="1:12" ht="14.4">
      <c r="A364" s="59"/>
      <c r="D364" s="60" t="s">
        <v>3293</v>
      </c>
      <c r="E364" s="60" t="s">
        <v>4</v>
      </c>
      <c r="G364" s="68">
        <v>9.3</v>
      </c>
      <c r="L364" s="69"/>
    </row>
    <row r="365" spans="1:75" ht="27" customHeight="1">
      <c r="A365" s="1" t="s">
        <v>817</v>
      </c>
      <c r="B365" s="2" t="s">
        <v>2629</v>
      </c>
      <c r="C365" s="2" t="s">
        <v>3307</v>
      </c>
      <c r="D365" s="147" t="s">
        <v>3308</v>
      </c>
      <c r="E365" s="148"/>
      <c r="F365" s="2" t="s">
        <v>174</v>
      </c>
      <c r="G365" s="55">
        <f>'Stavební rozpočet-vyplnit'!G1743</f>
        <v>22.8</v>
      </c>
      <c r="H365" s="55">
        <f>'Stavební rozpočet-vyplnit'!H1743</f>
        <v>0</v>
      </c>
      <c r="I365" s="55">
        <f>G365*H365</f>
        <v>0</v>
      </c>
      <c r="J365" s="55">
        <f>'Stavební rozpočet-vyplnit'!J1743</f>
        <v>0.00027</v>
      </c>
      <c r="K365" s="55">
        <f>G365*J365</f>
        <v>0.006156</v>
      </c>
      <c r="L365" s="57" t="s">
        <v>124</v>
      </c>
      <c r="Z365" s="55">
        <f>IF(AQ365="5",BJ365,0)</f>
        <v>0</v>
      </c>
      <c r="AB365" s="55">
        <f>IF(AQ365="1",BH365,0)</f>
        <v>0</v>
      </c>
      <c r="AC365" s="55">
        <f>IF(AQ365="1",BI365,0)</f>
        <v>0</v>
      </c>
      <c r="AD365" s="55">
        <f>IF(AQ365="7",BH365,0)</f>
        <v>0</v>
      </c>
      <c r="AE365" s="55">
        <f>IF(AQ365="7",BI365,0)</f>
        <v>0</v>
      </c>
      <c r="AF365" s="55">
        <f>IF(AQ365="2",BH365,0)</f>
        <v>0</v>
      </c>
      <c r="AG365" s="55">
        <f>IF(AQ365="2",BI365,0)</f>
        <v>0</v>
      </c>
      <c r="AH365" s="55">
        <f>IF(AQ365="0",BJ365,0)</f>
        <v>0</v>
      </c>
      <c r="AI365" s="34" t="s">
        <v>2629</v>
      </c>
      <c r="AJ365" s="55">
        <f>IF(AN365=0,I365,0)</f>
        <v>0</v>
      </c>
      <c r="AK365" s="55">
        <f>IF(AN365=12,I365,0)</f>
        <v>0</v>
      </c>
      <c r="AL365" s="55">
        <f>IF(AN365=21,I365,0)</f>
        <v>0</v>
      </c>
      <c r="AN365" s="55">
        <v>21</v>
      </c>
      <c r="AO365" s="55">
        <f>H365*0.757961925</f>
        <v>0</v>
      </c>
      <c r="AP365" s="55">
        <f>H365*(1-0.757961925)</f>
        <v>0</v>
      </c>
      <c r="AQ365" s="58" t="s">
        <v>125</v>
      </c>
      <c r="AV365" s="55">
        <f>AW365+AX365</f>
        <v>0</v>
      </c>
      <c r="AW365" s="55">
        <f>G365*AO365</f>
        <v>0</v>
      </c>
      <c r="AX365" s="55">
        <f>G365*AP365</f>
        <v>0</v>
      </c>
      <c r="AY365" s="58" t="s">
        <v>1875</v>
      </c>
      <c r="AZ365" s="58" t="s">
        <v>3185</v>
      </c>
      <c r="BA365" s="34" t="s">
        <v>2634</v>
      </c>
      <c r="BC365" s="55">
        <f>AW365+AX365</f>
        <v>0</v>
      </c>
      <c r="BD365" s="55">
        <f>H365/(100-BE365)*100</f>
        <v>0</v>
      </c>
      <c r="BE365" s="55">
        <v>0</v>
      </c>
      <c r="BF365" s="55">
        <f>K365</f>
        <v>0.006156</v>
      </c>
      <c r="BH365" s="55">
        <f>G365*AO365</f>
        <v>0</v>
      </c>
      <c r="BI365" s="55">
        <f>G365*AP365</f>
        <v>0</v>
      </c>
      <c r="BJ365" s="55">
        <f>G365*H365</f>
        <v>0</v>
      </c>
      <c r="BK365" s="55"/>
      <c r="BL365" s="55">
        <v>764</v>
      </c>
      <c r="BW365" s="55">
        <v>21</v>
      </c>
    </row>
    <row r="366" spans="1:12" ht="13.5" customHeight="1">
      <c r="A366" s="59"/>
      <c r="D366" s="218" t="s">
        <v>3309</v>
      </c>
      <c r="E366" s="219"/>
      <c r="F366" s="219"/>
      <c r="G366" s="219"/>
      <c r="H366" s="219"/>
      <c r="I366" s="219"/>
      <c r="J366" s="219"/>
      <c r="K366" s="219"/>
      <c r="L366" s="221"/>
    </row>
    <row r="367" spans="1:12" ht="14.4">
      <c r="A367" s="59"/>
      <c r="D367" s="60" t="s">
        <v>3310</v>
      </c>
      <c r="E367" s="60" t="s">
        <v>4</v>
      </c>
      <c r="G367" s="68">
        <v>22.8</v>
      </c>
      <c r="L367" s="69"/>
    </row>
    <row r="368" spans="1:75" ht="13.5" customHeight="1">
      <c r="A368" s="1" t="s">
        <v>822</v>
      </c>
      <c r="B368" s="2" t="s">
        <v>2629</v>
      </c>
      <c r="C368" s="2" t="s">
        <v>3231</v>
      </c>
      <c r="D368" s="147" t="s">
        <v>3312</v>
      </c>
      <c r="E368" s="148"/>
      <c r="F368" s="2" t="s">
        <v>174</v>
      </c>
      <c r="G368" s="55">
        <f>'Stavební rozpočet-vyplnit'!G1746</f>
        <v>22.8</v>
      </c>
      <c r="H368" s="55">
        <f>'Stavební rozpočet-vyplnit'!H1746</f>
        <v>0</v>
      </c>
      <c r="I368" s="55">
        <f>G368*H368</f>
        <v>0</v>
      </c>
      <c r="J368" s="55">
        <f>'Stavební rozpočet-vyplnit'!J1746</f>
        <v>0.00052</v>
      </c>
      <c r="K368" s="55">
        <f>G368*J368</f>
        <v>0.011855999999999998</v>
      </c>
      <c r="L368" s="57" t="s">
        <v>124</v>
      </c>
      <c r="Z368" s="55">
        <f>IF(AQ368="5",BJ368,0)</f>
        <v>0</v>
      </c>
      <c r="AB368" s="55">
        <f>IF(AQ368="1",BH368,0)</f>
        <v>0</v>
      </c>
      <c r="AC368" s="55">
        <f>IF(AQ368="1",BI368,0)</f>
        <v>0</v>
      </c>
      <c r="AD368" s="55">
        <f>IF(AQ368="7",BH368,0)</f>
        <v>0</v>
      </c>
      <c r="AE368" s="55">
        <f>IF(AQ368="7",BI368,0)</f>
        <v>0</v>
      </c>
      <c r="AF368" s="55">
        <f>IF(AQ368="2",BH368,0)</f>
        <v>0</v>
      </c>
      <c r="AG368" s="55">
        <f>IF(AQ368="2",BI368,0)</f>
        <v>0</v>
      </c>
      <c r="AH368" s="55">
        <f>IF(AQ368="0",BJ368,0)</f>
        <v>0</v>
      </c>
      <c r="AI368" s="34" t="s">
        <v>2629</v>
      </c>
      <c r="AJ368" s="55">
        <f>IF(AN368=0,I368,0)</f>
        <v>0</v>
      </c>
      <c r="AK368" s="55">
        <f>IF(AN368=12,I368,0)</f>
        <v>0</v>
      </c>
      <c r="AL368" s="55">
        <f>IF(AN368=21,I368,0)</f>
        <v>0</v>
      </c>
      <c r="AN368" s="55">
        <v>21</v>
      </c>
      <c r="AO368" s="55">
        <f>H368*0.518771331</f>
        <v>0</v>
      </c>
      <c r="AP368" s="55">
        <f>H368*(1-0.518771331)</f>
        <v>0</v>
      </c>
      <c r="AQ368" s="58" t="s">
        <v>125</v>
      </c>
      <c r="AV368" s="55">
        <f>AW368+AX368</f>
        <v>0</v>
      </c>
      <c r="AW368" s="55">
        <f>G368*AO368</f>
        <v>0</v>
      </c>
      <c r="AX368" s="55">
        <f>G368*AP368</f>
        <v>0</v>
      </c>
      <c r="AY368" s="58" t="s">
        <v>1875</v>
      </c>
      <c r="AZ368" s="58" t="s">
        <v>3185</v>
      </c>
      <c r="BA368" s="34" t="s">
        <v>2634</v>
      </c>
      <c r="BC368" s="55">
        <f>AW368+AX368</f>
        <v>0</v>
      </c>
      <c r="BD368" s="55">
        <f>H368/(100-BE368)*100</f>
        <v>0</v>
      </c>
      <c r="BE368" s="55">
        <v>0</v>
      </c>
      <c r="BF368" s="55">
        <f>K368</f>
        <v>0.011855999999999998</v>
      </c>
      <c r="BH368" s="55">
        <f>G368*AO368</f>
        <v>0</v>
      </c>
      <c r="BI368" s="55">
        <f>G368*AP368</f>
        <v>0</v>
      </c>
      <c r="BJ368" s="55">
        <f>G368*H368</f>
        <v>0</v>
      </c>
      <c r="BK368" s="55"/>
      <c r="BL368" s="55">
        <v>764</v>
      </c>
      <c r="BW368" s="55">
        <v>21</v>
      </c>
    </row>
    <row r="369" spans="1:12" ht="13.5" customHeight="1">
      <c r="A369" s="59"/>
      <c r="D369" s="218" t="s">
        <v>3313</v>
      </c>
      <c r="E369" s="219"/>
      <c r="F369" s="219"/>
      <c r="G369" s="219"/>
      <c r="H369" s="219"/>
      <c r="I369" s="219"/>
      <c r="J369" s="219"/>
      <c r="K369" s="219"/>
      <c r="L369" s="221"/>
    </row>
    <row r="370" spans="1:12" ht="14.4">
      <c r="A370" s="59"/>
      <c r="D370" s="60" t="s">
        <v>3314</v>
      </c>
      <c r="E370" s="60" t="s">
        <v>4</v>
      </c>
      <c r="G370" s="68">
        <v>22.8</v>
      </c>
      <c r="L370" s="69"/>
    </row>
    <row r="371" spans="1:75" ht="27" customHeight="1">
      <c r="A371" s="1" t="s">
        <v>825</v>
      </c>
      <c r="B371" s="2" t="s">
        <v>2629</v>
      </c>
      <c r="C371" s="2" t="s">
        <v>3316</v>
      </c>
      <c r="D371" s="147" t="s">
        <v>3317</v>
      </c>
      <c r="E371" s="148"/>
      <c r="F371" s="2" t="s">
        <v>174</v>
      </c>
      <c r="G371" s="55">
        <f>'Stavební rozpočet-vyplnit'!G1749</f>
        <v>13.75</v>
      </c>
      <c r="H371" s="55">
        <f>'Stavební rozpočet-vyplnit'!H1749</f>
        <v>0</v>
      </c>
      <c r="I371" s="55">
        <f>G371*H371</f>
        <v>0</v>
      </c>
      <c r="J371" s="55">
        <f>'Stavební rozpočet-vyplnit'!J1749</f>
        <v>0.00265</v>
      </c>
      <c r="K371" s="55">
        <f>G371*J371</f>
        <v>0.0364375</v>
      </c>
      <c r="L371" s="57" t="s">
        <v>124</v>
      </c>
      <c r="Z371" s="55">
        <f>IF(AQ371="5",BJ371,0)</f>
        <v>0</v>
      </c>
      <c r="AB371" s="55">
        <f>IF(AQ371="1",BH371,0)</f>
        <v>0</v>
      </c>
      <c r="AC371" s="55">
        <f>IF(AQ371="1",BI371,0)</f>
        <v>0</v>
      </c>
      <c r="AD371" s="55">
        <f>IF(AQ371="7",BH371,0)</f>
        <v>0</v>
      </c>
      <c r="AE371" s="55">
        <f>IF(AQ371="7",BI371,0)</f>
        <v>0</v>
      </c>
      <c r="AF371" s="55">
        <f>IF(AQ371="2",BH371,0)</f>
        <v>0</v>
      </c>
      <c r="AG371" s="55">
        <f>IF(AQ371="2",BI371,0)</f>
        <v>0</v>
      </c>
      <c r="AH371" s="55">
        <f>IF(AQ371="0",BJ371,0)</f>
        <v>0</v>
      </c>
      <c r="AI371" s="34" t="s">
        <v>2629</v>
      </c>
      <c r="AJ371" s="55">
        <f>IF(AN371=0,I371,0)</f>
        <v>0</v>
      </c>
      <c r="AK371" s="55">
        <f>IF(AN371=12,I371,0)</f>
        <v>0</v>
      </c>
      <c r="AL371" s="55">
        <f>IF(AN371=21,I371,0)</f>
        <v>0</v>
      </c>
      <c r="AN371" s="55">
        <v>21</v>
      </c>
      <c r="AO371" s="55">
        <f>H371*0.453849937</f>
        <v>0</v>
      </c>
      <c r="AP371" s="55">
        <f>H371*(1-0.453849937)</f>
        <v>0</v>
      </c>
      <c r="AQ371" s="58" t="s">
        <v>125</v>
      </c>
      <c r="AV371" s="55">
        <f>AW371+AX371</f>
        <v>0</v>
      </c>
      <c r="AW371" s="55">
        <f>G371*AO371</f>
        <v>0</v>
      </c>
      <c r="AX371" s="55">
        <f>G371*AP371</f>
        <v>0</v>
      </c>
      <c r="AY371" s="58" t="s">
        <v>1875</v>
      </c>
      <c r="AZ371" s="58" t="s">
        <v>3185</v>
      </c>
      <c r="BA371" s="34" t="s">
        <v>2634</v>
      </c>
      <c r="BC371" s="55">
        <f>AW371+AX371</f>
        <v>0</v>
      </c>
      <c r="BD371" s="55">
        <f>H371/(100-BE371)*100</f>
        <v>0</v>
      </c>
      <c r="BE371" s="55">
        <v>0</v>
      </c>
      <c r="BF371" s="55">
        <f>K371</f>
        <v>0.0364375</v>
      </c>
      <c r="BH371" s="55">
        <f>G371*AO371</f>
        <v>0</v>
      </c>
      <c r="BI371" s="55">
        <f>G371*AP371</f>
        <v>0</v>
      </c>
      <c r="BJ371" s="55">
        <f>G371*H371</f>
        <v>0</v>
      </c>
      <c r="BK371" s="55"/>
      <c r="BL371" s="55">
        <v>764</v>
      </c>
      <c r="BW371" s="55">
        <v>21</v>
      </c>
    </row>
    <row r="372" spans="1:12" ht="13.5" customHeight="1">
      <c r="A372" s="59"/>
      <c r="D372" s="218" t="s">
        <v>3318</v>
      </c>
      <c r="E372" s="219"/>
      <c r="F372" s="219"/>
      <c r="G372" s="219"/>
      <c r="H372" s="219"/>
      <c r="I372" s="219"/>
      <c r="J372" s="219"/>
      <c r="K372" s="219"/>
      <c r="L372" s="221"/>
    </row>
    <row r="373" spans="1:12" ht="14.4">
      <c r="A373" s="59"/>
      <c r="D373" s="60" t="s">
        <v>3319</v>
      </c>
      <c r="E373" s="60" t="s">
        <v>4</v>
      </c>
      <c r="G373" s="68">
        <v>13.75</v>
      </c>
      <c r="L373" s="69"/>
    </row>
    <row r="374" spans="1:12" ht="14.4">
      <c r="A374" s="59"/>
      <c r="D374" s="60" t="s">
        <v>3320</v>
      </c>
      <c r="E374" s="60" t="s">
        <v>4</v>
      </c>
      <c r="G374" s="68">
        <v>0</v>
      </c>
      <c r="L374" s="69"/>
    </row>
    <row r="375" spans="1:75" ht="13.5" customHeight="1">
      <c r="A375" s="1" t="s">
        <v>828</v>
      </c>
      <c r="B375" s="2" t="s">
        <v>2629</v>
      </c>
      <c r="C375" s="2" t="s">
        <v>3243</v>
      </c>
      <c r="D375" s="147" t="s">
        <v>3322</v>
      </c>
      <c r="E375" s="148"/>
      <c r="F375" s="2" t="s">
        <v>174</v>
      </c>
      <c r="G375" s="55">
        <f>'Stavební rozpočet-vyplnit'!G1753</f>
        <v>13.75</v>
      </c>
      <c r="H375" s="55">
        <f>'Stavební rozpočet-vyplnit'!H1753</f>
        <v>0</v>
      </c>
      <c r="I375" s="55">
        <f>G375*H375</f>
        <v>0</v>
      </c>
      <c r="J375" s="55">
        <f>'Stavební rozpočet-vyplnit'!J1753</f>
        <v>0.00052</v>
      </c>
      <c r="K375" s="55">
        <f>G375*J375</f>
        <v>0.007149999999999999</v>
      </c>
      <c r="L375" s="57" t="s">
        <v>124</v>
      </c>
      <c r="Z375" s="55">
        <f>IF(AQ375="5",BJ375,0)</f>
        <v>0</v>
      </c>
      <c r="AB375" s="55">
        <f>IF(AQ375="1",BH375,0)</f>
        <v>0</v>
      </c>
      <c r="AC375" s="55">
        <f>IF(AQ375="1",BI375,0)</f>
        <v>0</v>
      </c>
      <c r="AD375" s="55">
        <f>IF(AQ375="7",BH375,0)</f>
        <v>0</v>
      </c>
      <c r="AE375" s="55">
        <f>IF(AQ375="7",BI375,0)</f>
        <v>0</v>
      </c>
      <c r="AF375" s="55">
        <f>IF(AQ375="2",BH375,0)</f>
        <v>0</v>
      </c>
      <c r="AG375" s="55">
        <f>IF(AQ375="2",BI375,0)</f>
        <v>0</v>
      </c>
      <c r="AH375" s="55">
        <f>IF(AQ375="0",BJ375,0)</f>
        <v>0</v>
      </c>
      <c r="AI375" s="34" t="s">
        <v>2629</v>
      </c>
      <c r="AJ375" s="55">
        <f>IF(AN375=0,I375,0)</f>
        <v>0</v>
      </c>
      <c r="AK375" s="55">
        <f>IF(AN375=12,I375,0)</f>
        <v>0</v>
      </c>
      <c r="AL375" s="55">
        <f>IF(AN375=21,I375,0)</f>
        <v>0</v>
      </c>
      <c r="AN375" s="55">
        <v>21</v>
      </c>
      <c r="AO375" s="55">
        <f>H375*0.513618677</f>
        <v>0</v>
      </c>
      <c r="AP375" s="55">
        <f>H375*(1-0.513618677)</f>
        <v>0</v>
      </c>
      <c r="AQ375" s="58" t="s">
        <v>125</v>
      </c>
      <c r="AV375" s="55">
        <f>AW375+AX375</f>
        <v>0</v>
      </c>
      <c r="AW375" s="55">
        <f>G375*AO375</f>
        <v>0</v>
      </c>
      <c r="AX375" s="55">
        <f>G375*AP375</f>
        <v>0</v>
      </c>
      <c r="AY375" s="58" t="s">
        <v>1875</v>
      </c>
      <c r="AZ375" s="58" t="s">
        <v>3185</v>
      </c>
      <c r="BA375" s="34" t="s">
        <v>2634</v>
      </c>
      <c r="BC375" s="55">
        <f>AW375+AX375</f>
        <v>0</v>
      </c>
      <c r="BD375" s="55">
        <f>H375/(100-BE375)*100</f>
        <v>0</v>
      </c>
      <c r="BE375" s="55">
        <v>0</v>
      </c>
      <c r="BF375" s="55">
        <f>K375</f>
        <v>0.007149999999999999</v>
      </c>
      <c r="BH375" s="55">
        <f>G375*AO375</f>
        <v>0</v>
      </c>
      <c r="BI375" s="55">
        <f>G375*AP375</f>
        <v>0</v>
      </c>
      <c r="BJ375" s="55">
        <f>G375*H375</f>
        <v>0</v>
      </c>
      <c r="BK375" s="55"/>
      <c r="BL375" s="55">
        <v>764</v>
      </c>
      <c r="BW375" s="55">
        <v>21</v>
      </c>
    </row>
    <row r="376" spans="1:12" ht="13.5" customHeight="1">
      <c r="A376" s="59"/>
      <c r="D376" s="218" t="s">
        <v>3323</v>
      </c>
      <c r="E376" s="219"/>
      <c r="F376" s="219"/>
      <c r="G376" s="219"/>
      <c r="H376" s="219"/>
      <c r="I376" s="219"/>
      <c r="J376" s="219"/>
      <c r="K376" s="219"/>
      <c r="L376" s="221"/>
    </row>
    <row r="377" spans="1:12" ht="14.4">
      <c r="A377" s="59"/>
      <c r="D377" s="60" t="s">
        <v>3319</v>
      </c>
      <c r="E377" s="60" t="s">
        <v>4</v>
      </c>
      <c r="G377" s="68">
        <v>13.75</v>
      </c>
      <c r="L377" s="69"/>
    </row>
    <row r="378" spans="1:75" ht="13.5" customHeight="1">
      <c r="A378" s="1" t="s">
        <v>831</v>
      </c>
      <c r="B378" s="2" t="s">
        <v>2629</v>
      </c>
      <c r="C378" s="2" t="s">
        <v>3325</v>
      </c>
      <c r="D378" s="147" t="s">
        <v>3326</v>
      </c>
      <c r="E378" s="148"/>
      <c r="F378" s="2" t="s">
        <v>174</v>
      </c>
      <c r="G378" s="55">
        <f>'Stavební rozpočet-vyplnit'!G1756</f>
        <v>13.75</v>
      </c>
      <c r="H378" s="55">
        <f>'Stavební rozpočet-vyplnit'!H1756</f>
        <v>0</v>
      </c>
      <c r="I378" s="55">
        <f>G378*H378</f>
        <v>0</v>
      </c>
      <c r="J378" s="55">
        <f>'Stavební rozpočet-vyplnit'!J1756</f>
        <v>0.00052</v>
      </c>
      <c r="K378" s="55">
        <f>G378*J378</f>
        <v>0.007149999999999999</v>
      </c>
      <c r="L378" s="57" t="s">
        <v>124</v>
      </c>
      <c r="Z378" s="55">
        <f>IF(AQ378="5",BJ378,0)</f>
        <v>0</v>
      </c>
      <c r="AB378" s="55">
        <f>IF(AQ378="1",BH378,0)</f>
        <v>0</v>
      </c>
      <c r="AC378" s="55">
        <f>IF(AQ378="1",BI378,0)</f>
        <v>0</v>
      </c>
      <c r="AD378" s="55">
        <f>IF(AQ378="7",BH378,0)</f>
        <v>0</v>
      </c>
      <c r="AE378" s="55">
        <f>IF(AQ378="7",BI378,0)</f>
        <v>0</v>
      </c>
      <c r="AF378" s="55">
        <f>IF(AQ378="2",BH378,0)</f>
        <v>0</v>
      </c>
      <c r="AG378" s="55">
        <f>IF(AQ378="2",BI378,0)</f>
        <v>0</v>
      </c>
      <c r="AH378" s="55">
        <f>IF(AQ378="0",BJ378,0)</f>
        <v>0</v>
      </c>
      <c r="AI378" s="34" t="s">
        <v>2629</v>
      </c>
      <c r="AJ378" s="55">
        <f>IF(AN378=0,I378,0)</f>
        <v>0</v>
      </c>
      <c r="AK378" s="55">
        <f>IF(AN378=12,I378,0)</f>
        <v>0</v>
      </c>
      <c r="AL378" s="55">
        <f>IF(AN378=21,I378,0)</f>
        <v>0</v>
      </c>
      <c r="AN378" s="55">
        <v>21</v>
      </c>
      <c r="AO378" s="55">
        <f>H378*0.513618677</f>
        <v>0</v>
      </c>
      <c r="AP378" s="55">
        <f>H378*(1-0.513618677)</f>
        <v>0</v>
      </c>
      <c r="AQ378" s="58" t="s">
        <v>125</v>
      </c>
      <c r="AV378" s="55">
        <f>AW378+AX378</f>
        <v>0</v>
      </c>
      <c r="AW378" s="55">
        <f>G378*AO378</f>
        <v>0</v>
      </c>
      <c r="AX378" s="55">
        <f>G378*AP378</f>
        <v>0</v>
      </c>
      <c r="AY378" s="58" t="s">
        <v>1875</v>
      </c>
      <c r="AZ378" s="58" t="s">
        <v>3185</v>
      </c>
      <c r="BA378" s="34" t="s">
        <v>2634</v>
      </c>
      <c r="BC378" s="55">
        <f>AW378+AX378</f>
        <v>0</v>
      </c>
      <c r="BD378" s="55">
        <f>H378/(100-BE378)*100</f>
        <v>0</v>
      </c>
      <c r="BE378" s="55">
        <v>0</v>
      </c>
      <c r="BF378" s="55">
        <f>K378</f>
        <v>0.007149999999999999</v>
      </c>
      <c r="BH378" s="55">
        <f>G378*AO378</f>
        <v>0</v>
      </c>
      <c r="BI378" s="55">
        <f>G378*AP378</f>
        <v>0</v>
      </c>
      <c r="BJ378" s="55">
        <f>G378*H378</f>
        <v>0</v>
      </c>
      <c r="BK378" s="55"/>
      <c r="BL378" s="55">
        <v>764</v>
      </c>
      <c r="BW378" s="55">
        <v>21</v>
      </c>
    </row>
    <row r="379" spans="1:12" ht="13.5" customHeight="1">
      <c r="A379" s="59"/>
      <c r="D379" s="218" t="s">
        <v>3327</v>
      </c>
      <c r="E379" s="219"/>
      <c r="F379" s="219"/>
      <c r="G379" s="219"/>
      <c r="H379" s="219"/>
      <c r="I379" s="219"/>
      <c r="J379" s="219"/>
      <c r="K379" s="219"/>
      <c r="L379" s="221"/>
    </row>
    <row r="380" spans="1:12" ht="14.4">
      <c r="A380" s="59"/>
      <c r="D380" s="60" t="s">
        <v>3319</v>
      </c>
      <c r="E380" s="60" t="s">
        <v>4</v>
      </c>
      <c r="G380" s="68">
        <v>13.75</v>
      </c>
      <c r="L380" s="69"/>
    </row>
    <row r="381" spans="1:75" ht="27" customHeight="1">
      <c r="A381" s="1" t="s">
        <v>836</v>
      </c>
      <c r="B381" s="2" t="s">
        <v>2629</v>
      </c>
      <c r="C381" s="2" t="s">
        <v>3329</v>
      </c>
      <c r="D381" s="147" t="s">
        <v>3330</v>
      </c>
      <c r="E381" s="148"/>
      <c r="F381" s="2" t="s">
        <v>174</v>
      </c>
      <c r="G381" s="55">
        <f>'Stavební rozpočet-vyplnit'!G1759</f>
        <v>13.75</v>
      </c>
      <c r="H381" s="55">
        <f>'Stavební rozpočet-vyplnit'!H1759</f>
        <v>0</v>
      </c>
      <c r="I381" s="55">
        <f>G381*H381</f>
        <v>0</v>
      </c>
      <c r="J381" s="55">
        <f>'Stavební rozpočet-vyplnit'!J1759</f>
        <v>0.00027</v>
      </c>
      <c r="K381" s="55">
        <f>G381*J381</f>
        <v>0.0037125</v>
      </c>
      <c r="L381" s="57" t="s">
        <v>124</v>
      </c>
      <c r="Z381" s="55">
        <f>IF(AQ381="5",BJ381,0)</f>
        <v>0</v>
      </c>
      <c r="AB381" s="55">
        <f>IF(AQ381="1",BH381,0)</f>
        <v>0</v>
      </c>
      <c r="AC381" s="55">
        <f>IF(AQ381="1",BI381,0)</f>
        <v>0</v>
      </c>
      <c r="AD381" s="55">
        <f>IF(AQ381="7",BH381,0)</f>
        <v>0</v>
      </c>
      <c r="AE381" s="55">
        <f>IF(AQ381="7",BI381,0)</f>
        <v>0</v>
      </c>
      <c r="AF381" s="55">
        <f>IF(AQ381="2",BH381,0)</f>
        <v>0</v>
      </c>
      <c r="AG381" s="55">
        <f>IF(AQ381="2",BI381,0)</f>
        <v>0</v>
      </c>
      <c r="AH381" s="55">
        <f>IF(AQ381="0",BJ381,0)</f>
        <v>0</v>
      </c>
      <c r="AI381" s="34" t="s">
        <v>2629</v>
      </c>
      <c r="AJ381" s="55">
        <f>IF(AN381=0,I381,0)</f>
        <v>0</v>
      </c>
      <c r="AK381" s="55">
        <f>IF(AN381=12,I381,0)</f>
        <v>0</v>
      </c>
      <c r="AL381" s="55">
        <f>IF(AN381=21,I381,0)</f>
        <v>0</v>
      </c>
      <c r="AN381" s="55">
        <v>21</v>
      </c>
      <c r="AO381" s="55">
        <f>H381*0.747769139</f>
        <v>0</v>
      </c>
      <c r="AP381" s="55">
        <f>H381*(1-0.747769139)</f>
        <v>0</v>
      </c>
      <c r="AQ381" s="58" t="s">
        <v>125</v>
      </c>
      <c r="AV381" s="55">
        <f>AW381+AX381</f>
        <v>0</v>
      </c>
      <c r="AW381" s="55">
        <f>G381*AO381</f>
        <v>0</v>
      </c>
      <c r="AX381" s="55">
        <f>G381*AP381</f>
        <v>0</v>
      </c>
      <c r="AY381" s="58" t="s">
        <v>1875</v>
      </c>
      <c r="AZ381" s="58" t="s">
        <v>3185</v>
      </c>
      <c r="BA381" s="34" t="s">
        <v>2634</v>
      </c>
      <c r="BC381" s="55">
        <f>AW381+AX381</f>
        <v>0</v>
      </c>
      <c r="BD381" s="55">
        <f>H381/(100-BE381)*100</f>
        <v>0</v>
      </c>
      <c r="BE381" s="55">
        <v>0</v>
      </c>
      <c r="BF381" s="55">
        <f>K381</f>
        <v>0.0037125</v>
      </c>
      <c r="BH381" s="55">
        <f>G381*AO381</f>
        <v>0</v>
      </c>
      <c r="BI381" s="55">
        <f>G381*AP381</f>
        <v>0</v>
      </c>
      <c r="BJ381" s="55">
        <f>G381*H381</f>
        <v>0</v>
      </c>
      <c r="BK381" s="55"/>
      <c r="BL381" s="55">
        <v>764</v>
      </c>
      <c r="BW381" s="55">
        <v>21</v>
      </c>
    </row>
    <row r="382" spans="1:12" ht="13.5" customHeight="1">
      <c r="A382" s="59"/>
      <c r="D382" s="218" t="s">
        <v>3331</v>
      </c>
      <c r="E382" s="219"/>
      <c r="F382" s="219"/>
      <c r="G382" s="219"/>
      <c r="H382" s="219"/>
      <c r="I382" s="219"/>
      <c r="J382" s="219"/>
      <c r="K382" s="219"/>
      <c r="L382" s="221"/>
    </row>
    <row r="383" spans="1:12" ht="14.4">
      <c r="A383" s="59"/>
      <c r="D383" s="60" t="s">
        <v>3319</v>
      </c>
      <c r="E383" s="60" t="s">
        <v>4</v>
      </c>
      <c r="G383" s="68">
        <v>13.75</v>
      </c>
      <c r="L383" s="69"/>
    </row>
    <row r="384" spans="1:75" ht="13.5" customHeight="1">
      <c r="A384" s="1" t="s">
        <v>841</v>
      </c>
      <c r="B384" s="2" t="s">
        <v>2629</v>
      </c>
      <c r="C384" s="2" t="s">
        <v>3333</v>
      </c>
      <c r="D384" s="147" t="s">
        <v>3334</v>
      </c>
      <c r="E384" s="148"/>
      <c r="F384" s="2" t="s">
        <v>174</v>
      </c>
      <c r="G384" s="55">
        <f>'Stavební rozpočet-vyplnit'!G1762</f>
        <v>13.75</v>
      </c>
      <c r="H384" s="55">
        <f>'Stavební rozpočet-vyplnit'!H1762</f>
        <v>0</v>
      </c>
      <c r="I384" s="55">
        <f>G384*H384</f>
        <v>0</v>
      </c>
      <c r="J384" s="55">
        <f>'Stavební rozpočet-vyplnit'!J1762</f>
        <v>0.00052</v>
      </c>
      <c r="K384" s="55">
        <f>G384*J384</f>
        <v>0.007149999999999999</v>
      </c>
      <c r="L384" s="57" t="s">
        <v>124</v>
      </c>
      <c r="Z384" s="55">
        <f>IF(AQ384="5",BJ384,0)</f>
        <v>0</v>
      </c>
      <c r="AB384" s="55">
        <f>IF(AQ384="1",BH384,0)</f>
        <v>0</v>
      </c>
      <c r="AC384" s="55">
        <f>IF(AQ384="1",BI384,0)</f>
        <v>0</v>
      </c>
      <c r="AD384" s="55">
        <f>IF(AQ384="7",BH384,0)</f>
        <v>0</v>
      </c>
      <c r="AE384" s="55">
        <f>IF(AQ384="7",BI384,0)</f>
        <v>0</v>
      </c>
      <c r="AF384" s="55">
        <f>IF(AQ384="2",BH384,0)</f>
        <v>0</v>
      </c>
      <c r="AG384" s="55">
        <f>IF(AQ384="2",BI384,0)</f>
        <v>0</v>
      </c>
      <c r="AH384" s="55">
        <f>IF(AQ384="0",BJ384,0)</f>
        <v>0</v>
      </c>
      <c r="AI384" s="34" t="s">
        <v>2629</v>
      </c>
      <c r="AJ384" s="55">
        <f>IF(AN384=0,I384,0)</f>
        <v>0</v>
      </c>
      <c r="AK384" s="55">
        <f>IF(AN384=12,I384,0)</f>
        <v>0</v>
      </c>
      <c r="AL384" s="55">
        <f>IF(AN384=21,I384,0)</f>
        <v>0</v>
      </c>
      <c r="AN384" s="55">
        <v>21</v>
      </c>
      <c r="AO384" s="55">
        <f>H384*0.830680664</f>
        <v>0</v>
      </c>
      <c r="AP384" s="55">
        <f>H384*(1-0.830680664)</f>
        <v>0</v>
      </c>
      <c r="AQ384" s="58" t="s">
        <v>125</v>
      </c>
      <c r="AV384" s="55">
        <f>AW384+AX384</f>
        <v>0</v>
      </c>
      <c r="AW384" s="55">
        <f>G384*AO384</f>
        <v>0</v>
      </c>
      <c r="AX384" s="55">
        <f>G384*AP384</f>
        <v>0</v>
      </c>
      <c r="AY384" s="58" t="s">
        <v>1875</v>
      </c>
      <c r="AZ384" s="58" t="s">
        <v>3185</v>
      </c>
      <c r="BA384" s="34" t="s">
        <v>2634</v>
      </c>
      <c r="BC384" s="55">
        <f>AW384+AX384</f>
        <v>0</v>
      </c>
      <c r="BD384" s="55">
        <f>H384/(100-BE384)*100</f>
        <v>0</v>
      </c>
      <c r="BE384" s="55">
        <v>0</v>
      </c>
      <c r="BF384" s="55">
        <f>K384</f>
        <v>0.007149999999999999</v>
      </c>
      <c r="BH384" s="55">
        <f>G384*AO384</f>
        <v>0</v>
      </c>
      <c r="BI384" s="55">
        <f>G384*AP384</f>
        <v>0</v>
      </c>
      <c r="BJ384" s="55">
        <f>G384*H384</f>
        <v>0</v>
      </c>
      <c r="BK384" s="55"/>
      <c r="BL384" s="55">
        <v>764</v>
      </c>
      <c r="BW384" s="55">
        <v>21</v>
      </c>
    </row>
    <row r="385" spans="1:12" ht="13.5" customHeight="1">
      <c r="A385" s="59"/>
      <c r="D385" s="218" t="s">
        <v>3335</v>
      </c>
      <c r="E385" s="219"/>
      <c r="F385" s="219"/>
      <c r="G385" s="219"/>
      <c r="H385" s="219"/>
      <c r="I385" s="219"/>
      <c r="J385" s="219"/>
      <c r="K385" s="219"/>
      <c r="L385" s="221"/>
    </row>
    <row r="386" spans="1:12" ht="14.4">
      <c r="A386" s="59"/>
      <c r="D386" s="60" t="s">
        <v>3319</v>
      </c>
      <c r="E386" s="60" t="s">
        <v>4</v>
      </c>
      <c r="G386" s="68">
        <v>13.75</v>
      </c>
      <c r="L386" s="69"/>
    </row>
    <row r="387" spans="1:75" ht="13.5" customHeight="1">
      <c r="A387" s="1" t="s">
        <v>845</v>
      </c>
      <c r="B387" s="2" t="s">
        <v>2629</v>
      </c>
      <c r="C387" s="2" t="s">
        <v>3337</v>
      </c>
      <c r="D387" s="147" t="s">
        <v>3338</v>
      </c>
      <c r="E387" s="148"/>
      <c r="F387" s="2" t="s">
        <v>174</v>
      </c>
      <c r="G387" s="55">
        <f>'Stavební rozpočet-vyplnit'!G1765</f>
        <v>17.2</v>
      </c>
      <c r="H387" s="55">
        <f>'Stavební rozpočet-vyplnit'!H1765</f>
        <v>0</v>
      </c>
      <c r="I387" s="55">
        <f>G387*H387</f>
        <v>0</v>
      </c>
      <c r="J387" s="55">
        <f>'Stavební rozpočet-vyplnit'!J1765</f>
        <v>0.00052</v>
      </c>
      <c r="K387" s="55">
        <f>G387*J387</f>
        <v>0.008943999999999999</v>
      </c>
      <c r="L387" s="57" t="s">
        <v>124</v>
      </c>
      <c r="Z387" s="55">
        <f>IF(AQ387="5",BJ387,0)</f>
        <v>0</v>
      </c>
      <c r="AB387" s="55">
        <f>IF(AQ387="1",BH387,0)</f>
        <v>0</v>
      </c>
      <c r="AC387" s="55">
        <f>IF(AQ387="1",BI387,0)</f>
        <v>0</v>
      </c>
      <c r="AD387" s="55">
        <f>IF(AQ387="7",BH387,0)</f>
        <v>0</v>
      </c>
      <c r="AE387" s="55">
        <f>IF(AQ387="7",BI387,0)</f>
        <v>0</v>
      </c>
      <c r="AF387" s="55">
        <f>IF(AQ387="2",BH387,0)</f>
        <v>0</v>
      </c>
      <c r="AG387" s="55">
        <f>IF(AQ387="2",BI387,0)</f>
        <v>0</v>
      </c>
      <c r="AH387" s="55">
        <f>IF(AQ387="0",BJ387,0)</f>
        <v>0</v>
      </c>
      <c r="AI387" s="34" t="s">
        <v>2629</v>
      </c>
      <c r="AJ387" s="55">
        <f>IF(AN387=0,I387,0)</f>
        <v>0</v>
      </c>
      <c r="AK387" s="55">
        <f>IF(AN387=12,I387,0)</f>
        <v>0</v>
      </c>
      <c r="AL387" s="55">
        <f>IF(AN387=21,I387,0)</f>
        <v>0</v>
      </c>
      <c r="AN387" s="55">
        <v>21</v>
      </c>
      <c r="AO387" s="55">
        <f>H387*0.505674454</f>
        <v>0</v>
      </c>
      <c r="AP387" s="55">
        <f>H387*(1-0.505674454)</f>
        <v>0</v>
      </c>
      <c r="AQ387" s="58" t="s">
        <v>125</v>
      </c>
      <c r="AV387" s="55">
        <f>AW387+AX387</f>
        <v>0</v>
      </c>
      <c r="AW387" s="55">
        <f>G387*AO387</f>
        <v>0</v>
      </c>
      <c r="AX387" s="55">
        <f>G387*AP387</f>
        <v>0</v>
      </c>
      <c r="AY387" s="58" t="s">
        <v>1875</v>
      </c>
      <c r="AZ387" s="58" t="s">
        <v>3185</v>
      </c>
      <c r="BA387" s="34" t="s">
        <v>2634</v>
      </c>
      <c r="BC387" s="55">
        <f>AW387+AX387</f>
        <v>0</v>
      </c>
      <c r="BD387" s="55">
        <f>H387/(100-BE387)*100</f>
        <v>0</v>
      </c>
      <c r="BE387" s="55">
        <v>0</v>
      </c>
      <c r="BF387" s="55">
        <f>K387</f>
        <v>0.008943999999999999</v>
      </c>
      <c r="BH387" s="55">
        <f>G387*AO387</f>
        <v>0</v>
      </c>
      <c r="BI387" s="55">
        <f>G387*AP387</f>
        <v>0</v>
      </c>
      <c r="BJ387" s="55">
        <f>G387*H387</f>
        <v>0</v>
      </c>
      <c r="BK387" s="55"/>
      <c r="BL387" s="55">
        <v>764</v>
      </c>
      <c r="BW387" s="55">
        <v>21</v>
      </c>
    </row>
    <row r="388" spans="1:12" ht="13.5" customHeight="1">
      <c r="A388" s="59"/>
      <c r="D388" s="218" t="s">
        <v>3339</v>
      </c>
      <c r="E388" s="219"/>
      <c r="F388" s="219"/>
      <c r="G388" s="219"/>
      <c r="H388" s="219"/>
      <c r="I388" s="219"/>
      <c r="J388" s="219"/>
      <c r="K388" s="219"/>
      <c r="L388" s="221"/>
    </row>
    <row r="389" spans="1:12" ht="14.4">
      <c r="A389" s="59"/>
      <c r="D389" s="60" t="s">
        <v>3340</v>
      </c>
      <c r="E389" s="60" t="s">
        <v>4</v>
      </c>
      <c r="G389" s="68">
        <v>17.2</v>
      </c>
      <c r="L389" s="69"/>
    </row>
    <row r="390" spans="1:75" ht="13.5" customHeight="1">
      <c r="A390" s="1" t="s">
        <v>850</v>
      </c>
      <c r="B390" s="2" t="s">
        <v>2629</v>
      </c>
      <c r="C390" s="2" t="s">
        <v>3342</v>
      </c>
      <c r="D390" s="147" t="s">
        <v>3343</v>
      </c>
      <c r="E390" s="148"/>
      <c r="F390" s="2" t="s">
        <v>174</v>
      </c>
      <c r="G390" s="55">
        <f>'Stavební rozpočet-vyplnit'!G1768</f>
        <v>3.25</v>
      </c>
      <c r="H390" s="55">
        <f>'Stavební rozpočet-vyplnit'!H1768</f>
        <v>0</v>
      </c>
      <c r="I390" s="55">
        <f>G390*H390</f>
        <v>0</v>
      </c>
      <c r="J390" s="55">
        <f>'Stavební rozpočet-vyplnit'!J1768</f>
        <v>0.00052</v>
      </c>
      <c r="K390" s="55">
        <f>G390*J390</f>
        <v>0.0016899999999999999</v>
      </c>
      <c r="L390" s="57" t="s">
        <v>124</v>
      </c>
      <c r="Z390" s="55">
        <f>IF(AQ390="5",BJ390,0)</f>
        <v>0</v>
      </c>
      <c r="AB390" s="55">
        <f>IF(AQ390="1",BH390,0)</f>
        <v>0</v>
      </c>
      <c r="AC390" s="55">
        <f>IF(AQ390="1",BI390,0)</f>
        <v>0</v>
      </c>
      <c r="AD390" s="55">
        <f>IF(AQ390="7",BH390,0)</f>
        <v>0</v>
      </c>
      <c r="AE390" s="55">
        <f>IF(AQ390="7",BI390,0)</f>
        <v>0</v>
      </c>
      <c r="AF390" s="55">
        <f>IF(AQ390="2",BH390,0)</f>
        <v>0</v>
      </c>
      <c r="AG390" s="55">
        <f>IF(AQ390="2",BI390,0)</f>
        <v>0</v>
      </c>
      <c r="AH390" s="55">
        <f>IF(AQ390="0",BJ390,0)</f>
        <v>0</v>
      </c>
      <c r="AI390" s="34" t="s">
        <v>2629</v>
      </c>
      <c r="AJ390" s="55">
        <f>IF(AN390=0,I390,0)</f>
        <v>0</v>
      </c>
      <c r="AK390" s="55">
        <f>IF(AN390=12,I390,0)</f>
        <v>0</v>
      </c>
      <c r="AL390" s="55">
        <f>IF(AN390=21,I390,0)</f>
        <v>0</v>
      </c>
      <c r="AN390" s="55">
        <v>21</v>
      </c>
      <c r="AO390" s="55">
        <f>H390*0.625712476</f>
        <v>0</v>
      </c>
      <c r="AP390" s="55">
        <f>H390*(1-0.625712476)</f>
        <v>0</v>
      </c>
      <c r="AQ390" s="58" t="s">
        <v>125</v>
      </c>
      <c r="AV390" s="55">
        <f>AW390+AX390</f>
        <v>0</v>
      </c>
      <c r="AW390" s="55">
        <f>G390*AO390</f>
        <v>0</v>
      </c>
      <c r="AX390" s="55">
        <f>G390*AP390</f>
        <v>0</v>
      </c>
      <c r="AY390" s="58" t="s">
        <v>1875</v>
      </c>
      <c r="AZ390" s="58" t="s">
        <v>3185</v>
      </c>
      <c r="BA390" s="34" t="s">
        <v>2634</v>
      </c>
      <c r="BC390" s="55">
        <f>AW390+AX390</f>
        <v>0</v>
      </c>
      <c r="BD390" s="55">
        <f>H390/(100-BE390)*100</f>
        <v>0</v>
      </c>
      <c r="BE390" s="55">
        <v>0</v>
      </c>
      <c r="BF390" s="55">
        <f>K390</f>
        <v>0.0016899999999999999</v>
      </c>
      <c r="BH390" s="55">
        <f>G390*AO390</f>
        <v>0</v>
      </c>
      <c r="BI390" s="55">
        <f>G390*AP390</f>
        <v>0</v>
      </c>
      <c r="BJ390" s="55">
        <f>G390*H390</f>
        <v>0</v>
      </c>
      <c r="BK390" s="55"/>
      <c r="BL390" s="55">
        <v>764</v>
      </c>
      <c r="BW390" s="55">
        <v>21</v>
      </c>
    </row>
    <row r="391" spans="1:12" ht="13.5" customHeight="1">
      <c r="A391" s="59"/>
      <c r="D391" s="218" t="s">
        <v>3344</v>
      </c>
      <c r="E391" s="219"/>
      <c r="F391" s="219"/>
      <c r="G391" s="219"/>
      <c r="H391" s="219"/>
      <c r="I391" s="219"/>
      <c r="J391" s="219"/>
      <c r="K391" s="219"/>
      <c r="L391" s="221"/>
    </row>
    <row r="392" spans="1:12" ht="14.4">
      <c r="A392" s="59"/>
      <c r="D392" s="60" t="s">
        <v>3345</v>
      </c>
      <c r="E392" s="60" t="s">
        <v>4</v>
      </c>
      <c r="G392" s="68">
        <v>3.25</v>
      </c>
      <c r="L392" s="69"/>
    </row>
    <row r="393" spans="1:75" ht="27" customHeight="1">
      <c r="A393" s="1" t="s">
        <v>852</v>
      </c>
      <c r="B393" s="2" t="s">
        <v>2629</v>
      </c>
      <c r="C393" s="2" t="s">
        <v>3347</v>
      </c>
      <c r="D393" s="147" t="s">
        <v>3348</v>
      </c>
      <c r="E393" s="148"/>
      <c r="F393" s="2" t="s">
        <v>174</v>
      </c>
      <c r="G393" s="55">
        <f>'Stavební rozpočet-vyplnit'!G1771</f>
        <v>3.25</v>
      </c>
      <c r="H393" s="55">
        <f>'Stavební rozpočet-vyplnit'!H1771</f>
        <v>0</v>
      </c>
      <c r="I393" s="55">
        <f>G393*H393</f>
        <v>0</v>
      </c>
      <c r="J393" s="55">
        <f>'Stavební rozpočet-vyplnit'!J1771</f>
        <v>0.00027</v>
      </c>
      <c r="K393" s="55">
        <f>G393*J393</f>
        <v>0.0008775</v>
      </c>
      <c r="L393" s="57" t="s">
        <v>124</v>
      </c>
      <c r="Z393" s="55">
        <f>IF(AQ393="5",BJ393,0)</f>
        <v>0</v>
      </c>
      <c r="AB393" s="55">
        <f>IF(AQ393="1",BH393,0)</f>
        <v>0</v>
      </c>
      <c r="AC393" s="55">
        <f>IF(AQ393="1",BI393,0)</f>
        <v>0</v>
      </c>
      <c r="AD393" s="55">
        <f>IF(AQ393="7",BH393,0)</f>
        <v>0</v>
      </c>
      <c r="AE393" s="55">
        <f>IF(AQ393="7",BI393,0)</f>
        <v>0</v>
      </c>
      <c r="AF393" s="55">
        <f>IF(AQ393="2",BH393,0)</f>
        <v>0</v>
      </c>
      <c r="AG393" s="55">
        <f>IF(AQ393="2",BI393,0)</f>
        <v>0</v>
      </c>
      <c r="AH393" s="55">
        <f>IF(AQ393="0",BJ393,0)</f>
        <v>0</v>
      </c>
      <c r="AI393" s="34" t="s">
        <v>2629</v>
      </c>
      <c r="AJ393" s="55">
        <f>IF(AN393=0,I393,0)</f>
        <v>0</v>
      </c>
      <c r="AK393" s="55">
        <f>IF(AN393=12,I393,0)</f>
        <v>0</v>
      </c>
      <c r="AL393" s="55">
        <f>IF(AN393=21,I393,0)</f>
        <v>0</v>
      </c>
      <c r="AN393" s="55">
        <v>21</v>
      </c>
      <c r="AO393" s="55">
        <f>H393*0.747731692</f>
        <v>0</v>
      </c>
      <c r="AP393" s="55">
        <f>H393*(1-0.747731692)</f>
        <v>0</v>
      </c>
      <c r="AQ393" s="58" t="s">
        <v>125</v>
      </c>
      <c r="AV393" s="55">
        <f>AW393+AX393</f>
        <v>0</v>
      </c>
      <c r="AW393" s="55">
        <f>G393*AO393</f>
        <v>0</v>
      </c>
      <c r="AX393" s="55">
        <f>G393*AP393</f>
        <v>0</v>
      </c>
      <c r="AY393" s="58" t="s">
        <v>1875</v>
      </c>
      <c r="AZ393" s="58" t="s">
        <v>3185</v>
      </c>
      <c r="BA393" s="34" t="s">
        <v>2634</v>
      </c>
      <c r="BC393" s="55">
        <f>AW393+AX393</f>
        <v>0</v>
      </c>
      <c r="BD393" s="55">
        <f>H393/(100-BE393)*100</f>
        <v>0</v>
      </c>
      <c r="BE393" s="55">
        <v>0</v>
      </c>
      <c r="BF393" s="55">
        <f>K393</f>
        <v>0.0008775</v>
      </c>
      <c r="BH393" s="55">
        <f>G393*AO393</f>
        <v>0</v>
      </c>
      <c r="BI393" s="55">
        <f>G393*AP393</f>
        <v>0</v>
      </c>
      <c r="BJ393" s="55">
        <f>G393*H393</f>
        <v>0</v>
      </c>
      <c r="BK393" s="55"/>
      <c r="BL393" s="55">
        <v>764</v>
      </c>
      <c r="BW393" s="55">
        <v>21</v>
      </c>
    </row>
    <row r="394" spans="1:12" ht="13.5" customHeight="1">
      <c r="A394" s="59"/>
      <c r="D394" s="218" t="s">
        <v>3349</v>
      </c>
      <c r="E394" s="219"/>
      <c r="F394" s="219"/>
      <c r="G394" s="219"/>
      <c r="H394" s="219"/>
      <c r="I394" s="219"/>
      <c r="J394" s="219"/>
      <c r="K394" s="219"/>
      <c r="L394" s="221"/>
    </row>
    <row r="395" spans="1:12" ht="14.4">
      <c r="A395" s="59"/>
      <c r="D395" s="60" t="s">
        <v>3345</v>
      </c>
      <c r="E395" s="60" t="s">
        <v>4</v>
      </c>
      <c r="G395" s="68">
        <v>3.25</v>
      </c>
      <c r="L395" s="69"/>
    </row>
    <row r="396" spans="1:75" ht="27" customHeight="1">
      <c r="A396" s="1" t="s">
        <v>860</v>
      </c>
      <c r="B396" s="2" t="s">
        <v>2629</v>
      </c>
      <c r="C396" s="2" t="s">
        <v>3351</v>
      </c>
      <c r="D396" s="147" t="s">
        <v>3352</v>
      </c>
      <c r="E396" s="148"/>
      <c r="F396" s="2" t="s">
        <v>174</v>
      </c>
      <c r="G396" s="55">
        <f>'Stavební rozpočet-vyplnit'!G1774</f>
        <v>3.25</v>
      </c>
      <c r="H396" s="55">
        <f>'Stavební rozpočet-vyplnit'!H1774</f>
        <v>0</v>
      </c>
      <c r="I396" s="55">
        <f>G396*H396</f>
        <v>0</v>
      </c>
      <c r="J396" s="55">
        <f>'Stavební rozpočet-vyplnit'!J1774</f>
        <v>0.00052</v>
      </c>
      <c r="K396" s="55">
        <f>G396*J396</f>
        <v>0.0016899999999999999</v>
      </c>
      <c r="L396" s="57" t="s">
        <v>124</v>
      </c>
      <c r="Z396" s="55">
        <f>IF(AQ396="5",BJ396,0)</f>
        <v>0</v>
      </c>
      <c r="AB396" s="55">
        <f>IF(AQ396="1",BH396,0)</f>
        <v>0</v>
      </c>
      <c r="AC396" s="55">
        <f>IF(AQ396="1",BI396,0)</f>
        <v>0</v>
      </c>
      <c r="AD396" s="55">
        <f>IF(AQ396="7",BH396,0)</f>
        <v>0</v>
      </c>
      <c r="AE396" s="55">
        <f>IF(AQ396="7",BI396,0)</f>
        <v>0</v>
      </c>
      <c r="AF396" s="55">
        <f>IF(AQ396="2",BH396,0)</f>
        <v>0</v>
      </c>
      <c r="AG396" s="55">
        <f>IF(AQ396="2",BI396,0)</f>
        <v>0</v>
      </c>
      <c r="AH396" s="55">
        <f>IF(AQ396="0",BJ396,0)</f>
        <v>0</v>
      </c>
      <c r="AI396" s="34" t="s">
        <v>2629</v>
      </c>
      <c r="AJ396" s="55">
        <f>IF(AN396=0,I396,0)</f>
        <v>0</v>
      </c>
      <c r="AK396" s="55">
        <f>IF(AN396=12,I396,0)</f>
        <v>0</v>
      </c>
      <c r="AL396" s="55">
        <f>IF(AN396=21,I396,0)</f>
        <v>0</v>
      </c>
      <c r="AN396" s="55">
        <v>21</v>
      </c>
      <c r="AO396" s="55">
        <f>H396*0.766218354</f>
        <v>0</v>
      </c>
      <c r="AP396" s="55">
        <f>H396*(1-0.766218354)</f>
        <v>0</v>
      </c>
      <c r="AQ396" s="58" t="s">
        <v>125</v>
      </c>
      <c r="AV396" s="55">
        <f>AW396+AX396</f>
        <v>0</v>
      </c>
      <c r="AW396" s="55">
        <f>G396*AO396</f>
        <v>0</v>
      </c>
      <c r="AX396" s="55">
        <f>G396*AP396</f>
        <v>0</v>
      </c>
      <c r="AY396" s="58" t="s">
        <v>1875</v>
      </c>
      <c r="AZ396" s="58" t="s">
        <v>3185</v>
      </c>
      <c r="BA396" s="34" t="s">
        <v>2634</v>
      </c>
      <c r="BC396" s="55">
        <f>AW396+AX396</f>
        <v>0</v>
      </c>
      <c r="BD396" s="55">
        <f>H396/(100-BE396)*100</f>
        <v>0</v>
      </c>
      <c r="BE396" s="55">
        <v>0</v>
      </c>
      <c r="BF396" s="55">
        <f>K396</f>
        <v>0.0016899999999999999</v>
      </c>
      <c r="BH396" s="55">
        <f>G396*AO396</f>
        <v>0</v>
      </c>
      <c r="BI396" s="55">
        <f>G396*AP396</f>
        <v>0</v>
      </c>
      <c r="BJ396" s="55">
        <f>G396*H396</f>
        <v>0</v>
      </c>
      <c r="BK396" s="55"/>
      <c r="BL396" s="55">
        <v>764</v>
      </c>
      <c r="BW396" s="55">
        <v>21</v>
      </c>
    </row>
    <row r="397" spans="1:12" ht="13.5" customHeight="1">
      <c r="A397" s="59"/>
      <c r="D397" s="218" t="s">
        <v>3353</v>
      </c>
      <c r="E397" s="219"/>
      <c r="F397" s="219"/>
      <c r="G397" s="219"/>
      <c r="H397" s="219"/>
      <c r="I397" s="219"/>
      <c r="J397" s="219"/>
      <c r="K397" s="219"/>
      <c r="L397" s="221"/>
    </row>
    <row r="398" spans="1:12" ht="14.4">
      <c r="A398" s="59"/>
      <c r="D398" s="60" t="s">
        <v>3345</v>
      </c>
      <c r="E398" s="60" t="s">
        <v>4</v>
      </c>
      <c r="G398" s="68">
        <v>3.25</v>
      </c>
      <c r="L398" s="69"/>
    </row>
    <row r="399" spans="1:75" ht="13.5" customHeight="1">
      <c r="A399" s="1" t="s">
        <v>864</v>
      </c>
      <c r="B399" s="2" t="s">
        <v>2629</v>
      </c>
      <c r="C399" s="2" t="s">
        <v>3355</v>
      </c>
      <c r="D399" s="147" t="s">
        <v>3356</v>
      </c>
      <c r="E399" s="148"/>
      <c r="F399" s="2" t="s">
        <v>174</v>
      </c>
      <c r="G399" s="55">
        <f>'Stavební rozpočet-vyplnit'!G1777</f>
        <v>13.95</v>
      </c>
      <c r="H399" s="55">
        <f>'Stavební rozpočet-vyplnit'!H1777</f>
        <v>0</v>
      </c>
      <c r="I399" s="55">
        <f>G399*H399</f>
        <v>0</v>
      </c>
      <c r="J399" s="55">
        <f>'Stavební rozpočet-vyplnit'!J1777</f>
        <v>0.00052</v>
      </c>
      <c r="K399" s="55">
        <f>G399*J399</f>
        <v>0.007253999999999999</v>
      </c>
      <c r="L399" s="57" t="s">
        <v>124</v>
      </c>
      <c r="Z399" s="55">
        <f>IF(AQ399="5",BJ399,0)</f>
        <v>0</v>
      </c>
      <c r="AB399" s="55">
        <f>IF(AQ399="1",BH399,0)</f>
        <v>0</v>
      </c>
      <c r="AC399" s="55">
        <f>IF(AQ399="1",BI399,0)</f>
        <v>0</v>
      </c>
      <c r="AD399" s="55">
        <f>IF(AQ399="7",BH399,0)</f>
        <v>0</v>
      </c>
      <c r="AE399" s="55">
        <f>IF(AQ399="7",BI399,0)</f>
        <v>0</v>
      </c>
      <c r="AF399" s="55">
        <f>IF(AQ399="2",BH399,0)</f>
        <v>0</v>
      </c>
      <c r="AG399" s="55">
        <f>IF(AQ399="2",BI399,0)</f>
        <v>0</v>
      </c>
      <c r="AH399" s="55">
        <f>IF(AQ399="0",BJ399,0)</f>
        <v>0</v>
      </c>
      <c r="AI399" s="34" t="s">
        <v>2629</v>
      </c>
      <c r="AJ399" s="55">
        <f>IF(AN399=0,I399,0)</f>
        <v>0</v>
      </c>
      <c r="AK399" s="55">
        <f>IF(AN399=12,I399,0)</f>
        <v>0</v>
      </c>
      <c r="AL399" s="55">
        <f>IF(AN399=21,I399,0)</f>
        <v>0</v>
      </c>
      <c r="AN399" s="55">
        <v>21</v>
      </c>
      <c r="AO399" s="55">
        <f>H399*0.815747991</f>
        <v>0</v>
      </c>
      <c r="AP399" s="55">
        <f>H399*(1-0.815747991)</f>
        <v>0</v>
      </c>
      <c r="AQ399" s="58" t="s">
        <v>125</v>
      </c>
      <c r="AV399" s="55">
        <f>AW399+AX399</f>
        <v>0</v>
      </c>
      <c r="AW399" s="55">
        <f>G399*AO399</f>
        <v>0</v>
      </c>
      <c r="AX399" s="55">
        <f>G399*AP399</f>
        <v>0</v>
      </c>
      <c r="AY399" s="58" t="s">
        <v>1875</v>
      </c>
      <c r="AZ399" s="58" t="s">
        <v>3185</v>
      </c>
      <c r="BA399" s="34" t="s">
        <v>2634</v>
      </c>
      <c r="BC399" s="55">
        <f>AW399+AX399</f>
        <v>0</v>
      </c>
      <c r="BD399" s="55">
        <f>H399/(100-BE399)*100</f>
        <v>0</v>
      </c>
      <c r="BE399" s="55">
        <v>0</v>
      </c>
      <c r="BF399" s="55">
        <f>K399</f>
        <v>0.007253999999999999</v>
      </c>
      <c r="BH399" s="55">
        <f>G399*AO399</f>
        <v>0</v>
      </c>
      <c r="BI399" s="55">
        <f>G399*AP399</f>
        <v>0</v>
      </c>
      <c r="BJ399" s="55">
        <f>G399*H399</f>
        <v>0</v>
      </c>
      <c r="BK399" s="55"/>
      <c r="BL399" s="55">
        <v>764</v>
      </c>
      <c r="BW399" s="55">
        <v>21</v>
      </c>
    </row>
    <row r="400" spans="1:12" ht="13.5" customHeight="1">
      <c r="A400" s="59"/>
      <c r="D400" s="218" t="s">
        <v>3357</v>
      </c>
      <c r="E400" s="219"/>
      <c r="F400" s="219"/>
      <c r="G400" s="219"/>
      <c r="H400" s="219"/>
      <c r="I400" s="219"/>
      <c r="J400" s="219"/>
      <c r="K400" s="219"/>
      <c r="L400" s="221"/>
    </row>
    <row r="401" spans="1:12" ht="14.4">
      <c r="A401" s="59"/>
      <c r="D401" s="60" t="s">
        <v>3358</v>
      </c>
      <c r="E401" s="60" t="s">
        <v>4</v>
      </c>
      <c r="G401" s="68">
        <v>13.95</v>
      </c>
      <c r="L401" s="69"/>
    </row>
    <row r="402" spans="1:75" ht="13.5" customHeight="1">
      <c r="A402" s="1" t="s">
        <v>870</v>
      </c>
      <c r="B402" s="2" t="s">
        <v>2629</v>
      </c>
      <c r="C402" s="2" t="s">
        <v>3360</v>
      </c>
      <c r="D402" s="147" t="s">
        <v>3361</v>
      </c>
      <c r="E402" s="148"/>
      <c r="F402" s="2" t="s">
        <v>174</v>
      </c>
      <c r="G402" s="55">
        <f>'Stavební rozpočet-vyplnit'!G1780</f>
        <v>1.8</v>
      </c>
      <c r="H402" s="55">
        <f>'Stavební rozpočet-vyplnit'!H1780</f>
        <v>0</v>
      </c>
      <c r="I402" s="55">
        <f>G402*H402</f>
        <v>0</v>
      </c>
      <c r="J402" s="55">
        <f>'Stavební rozpočet-vyplnit'!J1780</f>
        <v>0.00056</v>
      </c>
      <c r="K402" s="55">
        <f>G402*J402</f>
        <v>0.001008</v>
      </c>
      <c r="L402" s="57" t="s">
        <v>124</v>
      </c>
      <c r="Z402" s="55">
        <f>IF(AQ402="5",BJ402,0)</f>
        <v>0</v>
      </c>
      <c r="AB402" s="55">
        <f>IF(AQ402="1",BH402,0)</f>
        <v>0</v>
      </c>
      <c r="AC402" s="55">
        <f>IF(AQ402="1",BI402,0)</f>
        <v>0</v>
      </c>
      <c r="AD402" s="55">
        <f>IF(AQ402="7",BH402,0)</f>
        <v>0</v>
      </c>
      <c r="AE402" s="55">
        <f>IF(AQ402="7",BI402,0)</f>
        <v>0</v>
      </c>
      <c r="AF402" s="55">
        <f>IF(AQ402="2",BH402,0)</f>
        <v>0</v>
      </c>
      <c r="AG402" s="55">
        <f>IF(AQ402="2",BI402,0)</f>
        <v>0</v>
      </c>
      <c r="AH402" s="55">
        <f>IF(AQ402="0",BJ402,0)</f>
        <v>0</v>
      </c>
      <c r="AI402" s="34" t="s">
        <v>2629</v>
      </c>
      <c r="AJ402" s="55">
        <f>IF(AN402=0,I402,0)</f>
        <v>0</v>
      </c>
      <c r="AK402" s="55">
        <f>IF(AN402=12,I402,0)</f>
        <v>0</v>
      </c>
      <c r="AL402" s="55">
        <f>IF(AN402=21,I402,0)</f>
        <v>0</v>
      </c>
      <c r="AN402" s="55">
        <v>21</v>
      </c>
      <c r="AO402" s="55">
        <f>H402*0.911062907</f>
        <v>0</v>
      </c>
      <c r="AP402" s="55">
        <f>H402*(1-0.911062907)</f>
        <v>0</v>
      </c>
      <c r="AQ402" s="58" t="s">
        <v>125</v>
      </c>
      <c r="AV402" s="55">
        <f>AW402+AX402</f>
        <v>0</v>
      </c>
      <c r="AW402" s="55">
        <f>G402*AO402</f>
        <v>0</v>
      </c>
      <c r="AX402" s="55">
        <f>G402*AP402</f>
        <v>0</v>
      </c>
      <c r="AY402" s="58" t="s">
        <v>1875</v>
      </c>
      <c r="AZ402" s="58" t="s">
        <v>3185</v>
      </c>
      <c r="BA402" s="34" t="s">
        <v>2634</v>
      </c>
      <c r="BC402" s="55">
        <f>AW402+AX402</f>
        <v>0</v>
      </c>
      <c r="BD402" s="55">
        <f>H402/(100-BE402)*100</f>
        <v>0</v>
      </c>
      <c r="BE402" s="55">
        <v>0</v>
      </c>
      <c r="BF402" s="55">
        <f>K402</f>
        <v>0.001008</v>
      </c>
      <c r="BH402" s="55">
        <f>G402*AO402</f>
        <v>0</v>
      </c>
      <c r="BI402" s="55">
        <f>G402*AP402</f>
        <v>0</v>
      </c>
      <c r="BJ402" s="55">
        <f>G402*H402</f>
        <v>0</v>
      </c>
      <c r="BK402" s="55"/>
      <c r="BL402" s="55">
        <v>764</v>
      </c>
      <c r="BW402" s="55">
        <v>21</v>
      </c>
    </row>
    <row r="403" spans="1:12" ht="13.5" customHeight="1">
      <c r="A403" s="59"/>
      <c r="D403" s="218" t="s">
        <v>3362</v>
      </c>
      <c r="E403" s="219"/>
      <c r="F403" s="219"/>
      <c r="G403" s="219"/>
      <c r="H403" s="219"/>
      <c r="I403" s="219"/>
      <c r="J403" s="219"/>
      <c r="K403" s="219"/>
      <c r="L403" s="221"/>
    </row>
    <row r="404" spans="1:12" ht="14.4">
      <c r="A404" s="59"/>
      <c r="D404" s="60" t="s">
        <v>3363</v>
      </c>
      <c r="E404" s="60" t="s">
        <v>4</v>
      </c>
      <c r="G404" s="68">
        <v>1.8</v>
      </c>
      <c r="L404" s="69"/>
    </row>
    <row r="405" spans="1:75" ht="27" customHeight="1">
      <c r="A405" s="1" t="s">
        <v>874</v>
      </c>
      <c r="B405" s="2" t="s">
        <v>2629</v>
      </c>
      <c r="C405" s="2" t="s">
        <v>3365</v>
      </c>
      <c r="D405" s="147" t="s">
        <v>3366</v>
      </c>
      <c r="E405" s="148"/>
      <c r="F405" s="2" t="s">
        <v>174</v>
      </c>
      <c r="G405" s="55">
        <f>'Stavební rozpočet-vyplnit'!G1783</f>
        <v>1.8</v>
      </c>
      <c r="H405" s="55">
        <f>'Stavební rozpočet-vyplnit'!H1783</f>
        <v>0</v>
      </c>
      <c r="I405" s="55">
        <f>G405*H405</f>
        <v>0</v>
      </c>
      <c r="J405" s="55">
        <f>'Stavební rozpočet-vyplnit'!J1783</f>
        <v>0.00243</v>
      </c>
      <c r="K405" s="55">
        <f>G405*J405</f>
        <v>0.004374</v>
      </c>
      <c r="L405" s="57" t="s">
        <v>124</v>
      </c>
      <c r="Z405" s="55">
        <f>IF(AQ405="5",BJ405,0)</f>
        <v>0</v>
      </c>
      <c r="AB405" s="55">
        <f>IF(AQ405="1",BH405,0)</f>
        <v>0</v>
      </c>
      <c r="AC405" s="55">
        <f>IF(AQ405="1",BI405,0)</f>
        <v>0</v>
      </c>
      <c r="AD405" s="55">
        <f>IF(AQ405="7",BH405,0)</f>
        <v>0</v>
      </c>
      <c r="AE405" s="55">
        <f>IF(AQ405="7",BI405,0)</f>
        <v>0</v>
      </c>
      <c r="AF405" s="55">
        <f>IF(AQ405="2",BH405,0)</f>
        <v>0</v>
      </c>
      <c r="AG405" s="55">
        <f>IF(AQ405="2",BI405,0)</f>
        <v>0</v>
      </c>
      <c r="AH405" s="55">
        <f>IF(AQ405="0",BJ405,0)</f>
        <v>0</v>
      </c>
      <c r="AI405" s="34" t="s">
        <v>2629</v>
      </c>
      <c r="AJ405" s="55">
        <f>IF(AN405=0,I405,0)</f>
        <v>0</v>
      </c>
      <c r="AK405" s="55">
        <f>IF(AN405=12,I405,0)</f>
        <v>0</v>
      </c>
      <c r="AL405" s="55">
        <f>IF(AN405=21,I405,0)</f>
        <v>0</v>
      </c>
      <c r="AN405" s="55">
        <v>21</v>
      </c>
      <c r="AO405" s="55">
        <f>H405*0.324395111</f>
        <v>0</v>
      </c>
      <c r="AP405" s="55">
        <f>H405*(1-0.324395111)</f>
        <v>0</v>
      </c>
      <c r="AQ405" s="58" t="s">
        <v>125</v>
      </c>
      <c r="AV405" s="55">
        <f>AW405+AX405</f>
        <v>0</v>
      </c>
      <c r="AW405" s="55">
        <f>G405*AO405</f>
        <v>0</v>
      </c>
      <c r="AX405" s="55">
        <f>G405*AP405</f>
        <v>0</v>
      </c>
      <c r="AY405" s="58" t="s">
        <v>1875</v>
      </c>
      <c r="AZ405" s="58" t="s">
        <v>3185</v>
      </c>
      <c r="BA405" s="34" t="s">
        <v>2634</v>
      </c>
      <c r="BC405" s="55">
        <f>AW405+AX405</f>
        <v>0</v>
      </c>
      <c r="BD405" s="55">
        <f>H405/(100-BE405)*100</f>
        <v>0</v>
      </c>
      <c r="BE405" s="55">
        <v>0</v>
      </c>
      <c r="BF405" s="55">
        <f>K405</f>
        <v>0.004374</v>
      </c>
      <c r="BH405" s="55">
        <f>G405*AO405</f>
        <v>0</v>
      </c>
      <c r="BI405" s="55">
        <f>G405*AP405</f>
        <v>0</v>
      </c>
      <c r="BJ405" s="55">
        <f>G405*H405</f>
        <v>0</v>
      </c>
      <c r="BK405" s="55"/>
      <c r="BL405" s="55">
        <v>764</v>
      </c>
      <c r="BW405" s="55">
        <v>21</v>
      </c>
    </row>
    <row r="406" spans="1:12" ht="13.5" customHeight="1">
      <c r="A406" s="59"/>
      <c r="D406" s="218" t="s">
        <v>3367</v>
      </c>
      <c r="E406" s="219"/>
      <c r="F406" s="219"/>
      <c r="G406" s="219"/>
      <c r="H406" s="219"/>
      <c r="I406" s="219"/>
      <c r="J406" s="219"/>
      <c r="K406" s="219"/>
      <c r="L406" s="221"/>
    </row>
    <row r="407" spans="1:12" ht="14.4">
      <c r="A407" s="59"/>
      <c r="D407" s="60" t="s">
        <v>3363</v>
      </c>
      <c r="E407" s="60" t="s">
        <v>4</v>
      </c>
      <c r="G407" s="68">
        <v>1.8</v>
      </c>
      <c r="L407" s="69"/>
    </row>
    <row r="408" spans="1:75" ht="13.5" customHeight="1">
      <c r="A408" s="1" t="s">
        <v>879</v>
      </c>
      <c r="B408" s="2" t="s">
        <v>2629</v>
      </c>
      <c r="C408" s="2" t="s">
        <v>3369</v>
      </c>
      <c r="D408" s="147" t="s">
        <v>3370</v>
      </c>
      <c r="E408" s="148"/>
      <c r="F408" s="2" t="s">
        <v>174</v>
      </c>
      <c r="G408" s="55">
        <f>'Stavební rozpočet-vyplnit'!G1786</f>
        <v>1.8</v>
      </c>
      <c r="H408" s="55">
        <f>'Stavební rozpočet-vyplnit'!H1786</f>
        <v>0</v>
      </c>
      <c r="I408" s="55">
        <f>G408*H408</f>
        <v>0</v>
      </c>
      <c r="J408" s="55">
        <f>'Stavební rozpočet-vyplnit'!J1786</f>
        <v>0.00052</v>
      </c>
      <c r="K408" s="55">
        <f>G408*J408</f>
        <v>0.000936</v>
      </c>
      <c r="L408" s="57" t="s">
        <v>124</v>
      </c>
      <c r="Z408" s="55">
        <f>IF(AQ408="5",BJ408,0)</f>
        <v>0</v>
      </c>
      <c r="AB408" s="55">
        <f>IF(AQ408="1",BH408,0)</f>
        <v>0</v>
      </c>
      <c r="AC408" s="55">
        <f>IF(AQ408="1",BI408,0)</f>
        <v>0</v>
      </c>
      <c r="AD408" s="55">
        <f>IF(AQ408="7",BH408,0)</f>
        <v>0</v>
      </c>
      <c r="AE408" s="55">
        <f>IF(AQ408="7",BI408,0)</f>
        <v>0</v>
      </c>
      <c r="AF408" s="55">
        <f>IF(AQ408="2",BH408,0)</f>
        <v>0</v>
      </c>
      <c r="AG408" s="55">
        <f>IF(AQ408="2",BI408,0)</f>
        <v>0</v>
      </c>
      <c r="AH408" s="55">
        <f>IF(AQ408="0",BJ408,0)</f>
        <v>0</v>
      </c>
      <c r="AI408" s="34" t="s">
        <v>2629</v>
      </c>
      <c r="AJ408" s="55">
        <f>IF(AN408=0,I408,0)</f>
        <v>0</v>
      </c>
      <c r="AK408" s="55">
        <f>IF(AN408=12,I408,0)</f>
        <v>0</v>
      </c>
      <c r="AL408" s="55">
        <f>IF(AN408=21,I408,0)</f>
        <v>0</v>
      </c>
      <c r="AN408" s="55">
        <v>21</v>
      </c>
      <c r="AO408" s="55">
        <f>H408*0.518823529</f>
        <v>0</v>
      </c>
      <c r="AP408" s="55">
        <f>H408*(1-0.518823529)</f>
        <v>0</v>
      </c>
      <c r="AQ408" s="58" t="s">
        <v>125</v>
      </c>
      <c r="AV408" s="55">
        <f>AW408+AX408</f>
        <v>0</v>
      </c>
      <c r="AW408" s="55">
        <f>G408*AO408</f>
        <v>0</v>
      </c>
      <c r="AX408" s="55">
        <f>G408*AP408</f>
        <v>0</v>
      </c>
      <c r="AY408" s="58" t="s">
        <v>1875</v>
      </c>
      <c r="AZ408" s="58" t="s">
        <v>3185</v>
      </c>
      <c r="BA408" s="34" t="s">
        <v>2634</v>
      </c>
      <c r="BC408" s="55">
        <f>AW408+AX408</f>
        <v>0</v>
      </c>
      <c r="BD408" s="55">
        <f>H408/(100-BE408)*100</f>
        <v>0</v>
      </c>
      <c r="BE408" s="55">
        <v>0</v>
      </c>
      <c r="BF408" s="55">
        <f>K408</f>
        <v>0.000936</v>
      </c>
      <c r="BH408" s="55">
        <f>G408*AO408</f>
        <v>0</v>
      </c>
      <c r="BI408" s="55">
        <f>G408*AP408</f>
        <v>0</v>
      </c>
      <c r="BJ408" s="55">
        <f>G408*H408</f>
        <v>0</v>
      </c>
      <c r="BK408" s="55"/>
      <c r="BL408" s="55">
        <v>764</v>
      </c>
      <c r="BW408" s="55">
        <v>21</v>
      </c>
    </row>
    <row r="409" spans="1:12" ht="13.5" customHeight="1">
      <c r="A409" s="59"/>
      <c r="D409" s="218" t="s">
        <v>3371</v>
      </c>
      <c r="E409" s="219"/>
      <c r="F409" s="219"/>
      <c r="G409" s="219"/>
      <c r="H409" s="219"/>
      <c r="I409" s="219"/>
      <c r="J409" s="219"/>
      <c r="K409" s="219"/>
      <c r="L409" s="221"/>
    </row>
    <row r="410" spans="1:12" ht="14.4">
      <c r="A410" s="59"/>
      <c r="D410" s="60" t="s">
        <v>3363</v>
      </c>
      <c r="E410" s="60" t="s">
        <v>4</v>
      </c>
      <c r="G410" s="68">
        <v>1.8</v>
      </c>
      <c r="L410" s="69"/>
    </row>
    <row r="411" spans="1:75" ht="27" customHeight="1">
      <c r="A411" s="1" t="s">
        <v>883</v>
      </c>
      <c r="B411" s="2" t="s">
        <v>2629</v>
      </c>
      <c r="C411" s="2" t="s">
        <v>3373</v>
      </c>
      <c r="D411" s="147" t="s">
        <v>3374</v>
      </c>
      <c r="E411" s="148"/>
      <c r="F411" s="2" t="s">
        <v>174</v>
      </c>
      <c r="G411" s="55">
        <f>'Stavební rozpočet-vyplnit'!G1789</f>
        <v>1.8</v>
      </c>
      <c r="H411" s="55">
        <f>'Stavební rozpočet-vyplnit'!H1789</f>
        <v>0</v>
      </c>
      <c r="I411" s="55">
        <f>G411*H411</f>
        <v>0</v>
      </c>
      <c r="J411" s="55">
        <f>'Stavební rozpočet-vyplnit'!J1789</f>
        <v>0.00027</v>
      </c>
      <c r="K411" s="55">
        <f>G411*J411</f>
        <v>0.000486</v>
      </c>
      <c r="L411" s="57" t="s">
        <v>124</v>
      </c>
      <c r="Z411" s="55">
        <f>IF(AQ411="5",BJ411,0)</f>
        <v>0</v>
      </c>
      <c r="AB411" s="55">
        <f>IF(AQ411="1",BH411,0)</f>
        <v>0</v>
      </c>
      <c r="AC411" s="55">
        <f>IF(AQ411="1",BI411,0)</f>
        <v>0</v>
      </c>
      <c r="AD411" s="55">
        <f>IF(AQ411="7",BH411,0)</f>
        <v>0</v>
      </c>
      <c r="AE411" s="55">
        <f>IF(AQ411="7",BI411,0)</f>
        <v>0</v>
      </c>
      <c r="AF411" s="55">
        <f>IF(AQ411="2",BH411,0)</f>
        <v>0</v>
      </c>
      <c r="AG411" s="55">
        <f>IF(AQ411="2",BI411,0)</f>
        <v>0</v>
      </c>
      <c r="AH411" s="55">
        <f>IF(AQ411="0",BJ411,0)</f>
        <v>0</v>
      </c>
      <c r="AI411" s="34" t="s">
        <v>2629</v>
      </c>
      <c r="AJ411" s="55">
        <f>IF(AN411=0,I411,0)</f>
        <v>0</v>
      </c>
      <c r="AK411" s="55">
        <f>IF(AN411=12,I411,0)</f>
        <v>0</v>
      </c>
      <c r="AL411" s="55">
        <f>IF(AN411=21,I411,0)</f>
        <v>0</v>
      </c>
      <c r="AN411" s="55">
        <v>21</v>
      </c>
      <c r="AO411" s="55">
        <f>H411*0.755530346</f>
        <v>0</v>
      </c>
      <c r="AP411" s="55">
        <f>H411*(1-0.755530346)</f>
        <v>0</v>
      </c>
      <c r="AQ411" s="58" t="s">
        <v>125</v>
      </c>
      <c r="AV411" s="55">
        <f>AW411+AX411</f>
        <v>0</v>
      </c>
      <c r="AW411" s="55">
        <f>G411*AO411</f>
        <v>0</v>
      </c>
      <c r="AX411" s="55">
        <f>G411*AP411</f>
        <v>0</v>
      </c>
      <c r="AY411" s="58" t="s">
        <v>1875</v>
      </c>
      <c r="AZ411" s="58" t="s">
        <v>3185</v>
      </c>
      <c r="BA411" s="34" t="s">
        <v>2634</v>
      </c>
      <c r="BC411" s="55">
        <f>AW411+AX411</f>
        <v>0</v>
      </c>
      <c r="BD411" s="55">
        <f>H411/(100-BE411)*100</f>
        <v>0</v>
      </c>
      <c r="BE411" s="55">
        <v>0</v>
      </c>
      <c r="BF411" s="55">
        <f>K411</f>
        <v>0.000486</v>
      </c>
      <c r="BH411" s="55">
        <f>G411*AO411</f>
        <v>0</v>
      </c>
      <c r="BI411" s="55">
        <f>G411*AP411</f>
        <v>0</v>
      </c>
      <c r="BJ411" s="55">
        <f>G411*H411</f>
        <v>0</v>
      </c>
      <c r="BK411" s="55"/>
      <c r="BL411" s="55">
        <v>764</v>
      </c>
      <c r="BW411" s="55">
        <v>21</v>
      </c>
    </row>
    <row r="412" spans="1:12" ht="13.5" customHeight="1">
      <c r="A412" s="59"/>
      <c r="D412" s="218" t="s">
        <v>3375</v>
      </c>
      <c r="E412" s="219"/>
      <c r="F412" s="219"/>
      <c r="G412" s="219"/>
      <c r="H412" s="219"/>
      <c r="I412" s="219"/>
      <c r="J412" s="219"/>
      <c r="K412" s="219"/>
      <c r="L412" s="221"/>
    </row>
    <row r="413" spans="1:12" ht="14.4">
      <c r="A413" s="59"/>
      <c r="D413" s="60" t="s">
        <v>3363</v>
      </c>
      <c r="E413" s="60" t="s">
        <v>4</v>
      </c>
      <c r="G413" s="68">
        <v>1.8</v>
      </c>
      <c r="L413" s="69"/>
    </row>
    <row r="414" spans="1:75" ht="27" customHeight="1">
      <c r="A414" s="1" t="s">
        <v>888</v>
      </c>
      <c r="B414" s="2" t="s">
        <v>2629</v>
      </c>
      <c r="C414" s="2" t="s">
        <v>3377</v>
      </c>
      <c r="D414" s="147" t="s">
        <v>3378</v>
      </c>
      <c r="E414" s="148"/>
      <c r="F414" s="2" t="s">
        <v>174</v>
      </c>
      <c r="G414" s="55">
        <f>'Stavební rozpočet-vyplnit'!G1792</f>
        <v>16.6</v>
      </c>
      <c r="H414" s="55">
        <f>'Stavební rozpočet-vyplnit'!H1792</f>
        <v>0</v>
      </c>
      <c r="I414" s="55">
        <f>G414*H414</f>
        <v>0</v>
      </c>
      <c r="J414" s="55">
        <f>'Stavební rozpočet-vyplnit'!J1792</f>
        <v>0.00052</v>
      </c>
      <c r="K414" s="55">
        <f>G414*J414</f>
        <v>0.008632</v>
      </c>
      <c r="L414" s="57" t="s">
        <v>124</v>
      </c>
      <c r="Z414" s="55">
        <f>IF(AQ414="5",BJ414,0)</f>
        <v>0</v>
      </c>
      <c r="AB414" s="55">
        <f>IF(AQ414="1",BH414,0)</f>
        <v>0</v>
      </c>
      <c r="AC414" s="55">
        <f>IF(AQ414="1",BI414,0)</f>
        <v>0</v>
      </c>
      <c r="AD414" s="55">
        <f>IF(AQ414="7",BH414,0)</f>
        <v>0</v>
      </c>
      <c r="AE414" s="55">
        <f>IF(AQ414="7",BI414,0)</f>
        <v>0</v>
      </c>
      <c r="AF414" s="55">
        <f>IF(AQ414="2",BH414,0)</f>
        <v>0</v>
      </c>
      <c r="AG414" s="55">
        <f>IF(AQ414="2",BI414,0)</f>
        <v>0</v>
      </c>
      <c r="AH414" s="55">
        <f>IF(AQ414="0",BJ414,0)</f>
        <v>0</v>
      </c>
      <c r="AI414" s="34" t="s">
        <v>2629</v>
      </c>
      <c r="AJ414" s="55">
        <f>IF(AN414=0,I414,0)</f>
        <v>0</v>
      </c>
      <c r="AK414" s="55">
        <f>IF(AN414=12,I414,0)</f>
        <v>0</v>
      </c>
      <c r="AL414" s="55">
        <f>IF(AN414=21,I414,0)</f>
        <v>0</v>
      </c>
      <c r="AN414" s="55">
        <v>21</v>
      </c>
      <c r="AO414" s="55">
        <f>H414*0.671699263</f>
        <v>0</v>
      </c>
      <c r="AP414" s="55">
        <f>H414*(1-0.671699263)</f>
        <v>0</v>
      </c>
      <c r="AQ414" s="58" t="s">
        <v>125</v>
      </c>
      <c r="AV414" s="55">
        <f>AW414+AX414</f>
        <v>0</v>
      </c>
      <c r="AW414" s="55">
        <f>G414*AO414</f>
        <v>0</v>
      </c>
      <c r="AX414" s="55">
        <f>G414*AP414</f>
        <v>0</v>
      </c>
      <c r="AY414" s="58" t="s">
        <v>1875</v>
      </c>
      <c r="AZ414" s="58" t="s">
        <v>3185</v>
      </c>
      <c r="BA414" s="34" t="s">
        <v>2634</v>
      </c>
      <c r="BC414" s="55">
        <f>AW414+AX414</f>
        <v>0</v>
      </c>
      <c r="BD414" s="55">
        <f>H414/(100-BE414)*100</f>
        <v>0</v>
      </c>
      <c r="BE414" s="55">
        <v>0</v>
      </c>
      <c r="BF414" s="55">
        <f>K414</f>
        <v>0.008632</v>
      </c>
      <c r="BH414" s="55">
        <f>G414*AO414</f>
        <v>0</v>
      </c>
      <c r="BI414" s="55">
        <f>G414*AP414</f>
        <v>0</v>
      </c>
      <c r="BJ414" s="55">
        <f>G414*H414</f>
        <v>0</v>
      </c>
      <c r="BK414" s="55"/>
      <c r="BL414" s="55">
        <v>764</v>
      </c>
      <c r="BW414" s="55">
        <v>21</v>
      </c>
    </row>
    <row r="415" spans="1:12" ht="13.5" customHeight="1">
      <c r="A415" s="59"/>
      <c r="D415" s="218" t="s">
        <v>3379</v>
      </c>
      <c r="E415" s="219"/>
      <c r="F415" s="219"/>
      <c r="G415" s="219"/>
      <c r="H415" s="219"/>
      <c r="I415" s="219"/>
      <c r="J415" s="219"/>
      <c r="K415" s="219"/>
      <c r="L415" s="221"/>
    </row>
    <row r="416" spans="1:12" ht="14.4">
      <c r="A416" s="59"/>
      <c r="D416" s="60" t="s">
        <v>3380</v>
      </c>
      <c r="E416" s="60" t="s">
        <v>4</v>
      </c>
      <c r="G416" s="68">
        <v>16.6</v>
      </c>
      <c r="L416" s="69"/>
    </row>
    <row r="417" spans="1:75" ht="27" customHeight="1">
      <c r="A417" s="1" t="s">
        <v>900</v>
      </c>
      <c r="B417" s="2" t="s">
        <v>2629</v>
      </c>
      <c r="C417" s="2" t="s">
        <v>3382</v>
      </c>
      <c r="D417" s="147" t="s">
        <v>3383</v>
      </c>
      <c r="E417" s="148"/>
      <c r="F417" s="2" t="s">
        <v>174</v>
      </c>
      <c r="G417" s="55">
        <f>'Stavební rozpočet-vyplnit'!G1795</f>
        <v>9.05</v>
      </c>
      <c r="H417" s="55">
        <f>'Stavební rozpočet-vyplnit'!H1795</f>
        <v>0</v>
      </c>
      <c r="I417" s="55">
        <f>G417*H417</f>
        <v>0</v>
      </c>
      <c r="J417" s="55">
        <f>'Stavební rozpočet-vyplnit'!J1795</f>
        <v>0.00052</v>
      </c>
      <c r="K417" s="55">
        <f>G417*J417</f>
        <v>0.004706</v>
      </c>
      <c r="L417" s="57" t="s">
        <v>124</v>
      </c>
      <c r="Z417" s="55">
        <f>IF(AQ417="5",BJ417,0)</f>
        <v>0</v>
      </c>
      <c r="AB417" s="55">
        <f>IF(AQ417="1",BH417,0)</f>
        <v>0</v>
      </c>
      <c r="AC417" s="55">
        <f>IF(AQ417="1",BI417,0)</f>
        <v>0</v>
      </c>
      <c r="AD417" s="55">
        <f>IF(AQ417="7",BH417,0)</f>
        <v>0</v>
      </c>
      <c r="AE417" s="55">
        <f>IF(AQ417="7",BI417,0)</f>
        <v>0</v>
      </c>
      <c r="AF417" s="55">
        <f>IF(AQ417="2",BH417,0)</f>
        <v>0</v>
      </c>
      <c r="AG417" s="55">
        <f>IF(AQ417="2",BI417,0)</f>
        <v>0</v>
      </c>
      <c r="AH417" s="55">
        <f>IF(AQ417="0",BJ417,0)</f>
        <v>0</v>
      </c>
      <c r="AI417" s="34" t="s">
        <v>2629</v>
      </c>
      <c r="AJ417" s="55">
        <f>IF(AN417=0,I417,0)</f>
        <v>0</v>
      </c>
      <c r="AK417" s="55">
        <f>IF(AN417=12,I417,0)</f>
        <v>0</v>
      </c>
      <c r="AL417" s="55">
        <f>IF(AN417=21,I417,0)</f>
        <v>0</v>
      </c>
      <c r="AN417" s="55">
        <v>21</v>
      </c>
      <c r="AO417" s="55">
        <f>H417*0.798392433</f>
        <v>0</v>
      </c>
      <c r="AP417" s="55">
        <f>H417*(1-0.798392433)</f>
        <v>0</v>
      </c>
      <c r="AQ417" s="58" t="s">
        <v>125</v>
      </c>
      <c r="AV417" s="55">
        <f>AW417+AX417</f>
        <v>0</v>
      </c>
      <c r="AW417" s="55">
        <f>G417*AO417</f>
        <v>0</v>
      </c>
      <c r="AX417" s="55">
        <f>G417*AP417</f>
        <v>0</v>
      </c>
      <c r="AY417" s="58" t="s">
        <v>1875</v>
      </c>
      <c r="AZ417" s="58" t="s">
        <v>3185</v>
      </c>
      <c r="BA417" s="34" t="s">
        <v>2634</v>
      </c>
      <c r="BC417" s="55">
        <f>AW417+AX417</f>
        <v>0</v>
      </c>
      <c r="BD417" s="55">
        <f>H417/(100-BE417)*100</f>
        <v>0</v>
      </c>
      <c r="BE417" s="55">
        <v>0</v>
      </c>
      <c r="BF417" s="55">
        <f>K417</f>
        <v>0.004706</v>
      </c>
      <c r="BH417" s="55">
        <f>G417*AO417</f>
        <v>0</v>
      </c>
      <c r="BI417" s="55">
        <f>G417*AP417</f>
        <v>0</v>
      </c>
      <c r="BJ417" s="55">
        <f>G417*H417</f>
        <v>0</v>
      </c>
      <c r="BK417" s="55"/>
      <c r="BL417" s="55">
        <v>764</v>
      </c>
      <c r="BW417" s="55">
        <v>21</v>
      </c>
    </row>
    <row r="418" spans="1:12" ht="13.5" customHeight="1">
      <c r="A418" s="59"/>
      <c r="D418" s="218" t="s">
        <v>3384</v>
      </c>
      <c r="E418" s="219"/>
      <c r="F418" s="219"/>
      <c r="G418" s="219"/>
      <c r="H418" s="219"/>
      <c r="I418" s="219"/>
      <c r="J418" s="219"/>
      <c r="K418" s="219"/>
      <c r="L418" s="221"/>
    </row>
    <row r="419" spans="1:12" ht="14.4">
      <c r="A419" s="59"/>
      <c r="D419" s="60" t="s">
        <v>3385</v>
      </c>
      <c r="E419" s="60" t="s">
        <v>4</v>
      </c>
      <c r="G419" s="68">
        <v>9.05</v>
      </c>
      <c r="L419" s="69"/>
    </row>
    <row r="420" spans="1:75" ht="27" customHeight="1">
      <c r="A420" s="1" t="s">
        <v>903</v>
      </c>
      <c r="B420" s="2" t="s">
        <v>2629</v>
      </c>
      <c r="C420" s="2" t="s">
        <v>3387</v>
      </c>
      <c r="D420" s="147" t="s">
        <v>3388</v>
      </c>
      <c r="E420" s="148"/>
      <c r="F420" s="2" t="s">
        <v>174</v>
      </c>
      <c r="G420" s="55">
        <f>'Stavební rozpočet-vyplnit'!G1798</f>
        <v>67.25</v>
      </c>
      <c r="H420" s="55">
        <f>'Stavební rozpočet-vyplnit'!H1798</f>
        <v>0</v>
      </c>
      <c r="I420" s="55">
        <f>G420*H420</f>
        <v>0</v>
      </c>
      <c r="J420" s="55">
        <f>'Stavební rozpočet-vyplnit'!J1798</f>
        <v>0.00052</v>
      </c>
      <c r="K420" s="55">
        <f>G420*J420</f>
        <v>0.034969999999999994</v>
      </c>
      <c r="L420" s="57" t="s">
        <v>124</v>
      </c>
      <c r="Z420" s="55">
        <f>IF(AQ420="5",BJ420,0)</f>
        <v>0</v>
      </c>
      <c r="AB420" s="55">
        <f>IF(AQ420="1",BH420,0)</f>
        <v>0</v>
      </c>
      <c r="AC420" s="55">
        <f>IF(AQ420="1",BI420,0)</f>
        <v>0</v>
      </c>
      <c r="AD420" s="55">
        <f>IF(AQ420="7",BH420,0)</f>
        <v>0</v>
      </c>
      <c r="AE420" s="55">
        <f>IF(AQ420="7",BI420,0)</f>
        <v>0</v>
      </c>
      <c r="AF420" s="55">
        <f>IF(AQ420="2",BH420,0)</f>
        <v>0</v>
      </c>
      <c r="AG420" s="55">
        <f>IF(AQ420="2",BI420,0)</f>
        <v>0</v>
      </c>
      <c r="AH420" s="55">
        <f>IF(AQ420="0",BJ420,0)</f>
        <v>0</v>
      </c>
      <c r="AI420" s="34" t="s">
        <v>2629</v>
      </c>
      <c r="AJ420" s="55">
        <f>IF(AN420=0,I420,0)</f>
        <v>0</v>
      </c>
      <c r="AK420" s="55">
        <f>IF(AN420=12,I420,0)</f>
        <v>0</v>
      </c>
      <c r="AL420" s="55">
        <f>IF(AN420=21,I420,0)</f>
        <v>0</v>
      </c>
      <c r="AN420" s="55">
        <v>21</v>
      </c>
      <c r="AO420" s="55">
        <f>H420*0.489013239</f>
        <v>0</v>
      </c>
      <c r="AP420" s="55">
        <f>H420*(1-0.489013239)</f>
        <v>0</v>
      </c>
      <c r="AQ420" s="58" t="s">
        <v>125</v>
      </c>
      <c r="AV420" s="55">
        <f>AW420+AX420</f>
        <v>0</v>
      </c>
      <c r="AW420" s="55">
        <f>G420*AO420</f>
        <v>0</v>
      </c>
      <c r="AX420" s="55">
        <f>G420*AP420</f>
        <v>0</v>
      </c>
      <c r="AY420" s="58" t="s">
        <v>1875</v>
      </c>
      <c r="AZ420" s="58" t="s">
        <v>3185</v>
      </c>
      <c r="BA420" s="34" t="s">
        <v>2634</v>
      </c>
      <c r="BC420" s="55">
        <f>AW420+AX420</f>
        <v>0</v>
      </c>
      <c r="BD420" s="55">
        <f>H420/(100-BE420)*100</f>
        <v>0</v>
      </c>
      <c r="BE420" s="55">
        <v>0</v>
      </c>
      <c r="BF420" s="55">
        <f>K420</f>
        <v>0.034969999999999994</v>
      </c>
      <c r="BH420" s="55">
        <f>G420*AO420</f>
        <v>0</v>
      </c>
      <c r="BI420" s="55">
        <f>G420*AP420</f>
        <v>0</v>
      </c>
      <c r="BJ420" s="55">
        <f>G420*H420</f>
        <v>0</v>
      </c>
      <c r="BK420" s="55"/>
      <c r="BL420" s="55">
        <v>764</v>
      </c>
      <c r="BW420" s="55">
        <v>21</v>
      </c>
    </row>
    <row r="421" spans="1:12" ht="13.5" customHeight="1">
      <c r="A421" s="59"/>
      <c r="D421" s="218" t="s">
        <v>3389</v>
      </c>
      <c r="E421" s="219"/>
      <c r="F421" s="219"/>
      <c r="G421" s="219"/>
      <c r="H421" s="219"/>
      <c r="I421" s="219"/>
      <c r="J421" s="219"/>
      <c r="K421" s="219"/>
      <c r="L421" s="221"/>
    </row>
    <row r="422" spans="1:12" ht="14.4">
      <c r="A422" s="59"/>
      <c r="D422" s="60" t="s">
        <v>3390</v>
      </c>
      <c r="E422" s="60" t="s">
        <v>4</v>
      </c>
      <c r="G422" s="68">
        <v>67.25</v>
      </c>
      <c r="L422" s="69"/>
    </row>
    <row r="423" spans="1:75" ht="27" customHeight="1">
      <c r="A423" s="1" t="s">
        <v>916</v>
      </c>
      <c r="B423" s="2" t="s">
        <v>2629</v>
      </c>
      <c r="C423" s="2" t="s">
        <v>3392</v>
      </c>
      <c r="D423" s="147" t="s">
        <v>3393</v>
      </c>
      <c r="E423" s="148"/>
      <c r="F423" s="2" t="s">
        <v>174</v>
      </c>
      <c r="G423" s="55">
        <f>'Stavební rozpočet-vyplnit'!G1801</f>
        <v>67.25</v>
      </c>
      <c r="H423" s="55">
        <f>'Stavební rozpočet-vyplnit'!H1801</f>
        <v>0</v>
      </c>
      <c r="I423" s="55">
        <f>G423*H423</f>
        <v>0</v>
      </c>
      <c r="J423" s="55">
        <f>'Stavební rozpočet-vyplnit'!J1801</f>
        <v>0.00052</v>
      </c>
      <c r="K423" s="55">
        <f>G423*J423</f>
        <v>0.034969999999999994</v>
      </c>
      <c r="L423" s="57" t="s">
        <v>124</v>
      </c>
      <c r="Z423" s="55">
        <f>IF(AQ423="5",BJ423,0)</f>
        <v>0</v>
      </c>
      <c r="AB423" s="55">
        <f>IF(AQ423="1",BH423,0)</f>
        <v>0</v>
      </c>
      <c r="AC423" s="55">
        <f>IF(AQ423="1",BI423,0)</f>
        <v>0</v>
      </c>
      <c r="AD423" s="55">
        <f>IF(AQ423="7",BH423,0)</f>
        <v>0</v>
      </c>
      <c r="AE423" s="55">
        <f>IF(AQ423="7",BI423,0)</f>
        <v>0</v>
      </c>
      <c r="AF423" s="55">
        <f>IF(AQ423="2",BH423,0)</f>
        <v>0</v>
      </c>
      <c r="AG423" s="55">
        <f>IF(AQ423="2",BI423,0)</f>
        <v>0</v>
      </c>
      <c r="AH423" s="55">
        <f>IF(AQ423="0",BJ423,0)</f>
        <v>0</v>
      </c>
      <c r="AI423" s="34" t="s">
        <v>2629</v>
      </c>
      <c r="AJ423" s="55">
        <f>IF(AN423=0,I423,0)</f>
        <v>0</v>
      </c>
      <c r="AK423" s="55">
        <f>IF(AN423=12,I423,0)</f>
        <v>0</v>
      </c>
      <c r="AL423" s="55">
        <f>IF(AN423=21,I423,0)</f>
        <v>0</v>
      </c>
      <c r="AN423" s="55">
        <v>21</v>
      </c>
      <c r="AO423" s="55">
        <f>H423*0.664427209</f>
        <v>0</v>
      </c>
      <c r="AP423" s="55">
        <f>H423*(1-0.664427209)</f>
        <v>0</v>
      </c>
      <c r="AQ423" s="58" t="s">
        <v>125</v>
      </c>
      <c r="AV423" s="55">
        <f>AW423+AX423</f>
        <v>0</v>
      </c>
      <c r="AW423" s="55">
        <f>G423*AO423</f>
        <v>0</v>
      </c>
      <c r="AX423" s="55">
        <f>G423*AP423</f>
        <v>0</v>
      </c>
      <c r="AY423" s="58" t="s">
        <v>1875</v>
      </c>
      <c r="AZ423" s="58" t="s">
        <v>3185</v>
      </c>
      <c r="BA423" s="34" t="s">
        <v>2634</v>
      </c>
      <c r="BC423" s="55">
        <f>AW423+AX423</f>
        <v>0</v>
      </c>
      <c r="BD423" s="55">
        <f>H423/(100-BE423)*100</f>
        <v>0</v>
      </c>
      <c r="BE423" s="55">
        <v>0</v>
      </c>
      <c r="BF423" s="55">
        <f>K423</f>
        <v>0.034969999999999994</v>
      </c>
      <c r="BH423" s="55">
        <f>G423*AO423</f>
        <v>0</v>
      </c>
      <c r="BI423" s="55">
        <f>G423*AP423</f>
        <v>0</v>
      </c>
      <c r="BJ423" s="55">
        <f>G423*H423</f>
        <v>0</v>
      </c>
      <c r="BK423" s="55"/>
      <c r="BL423" s="55">
        <v>764</v>
      </c>
      <c r="BW423" s="55">
        <v>21</v>
      </c>
    </row>
    <row r="424" spans="1:12" ht="13.5" customHeight="1">
      <c r="A424" s="59"/>
      <c r="D424" s="218" t="s">
        <v>3394</v>
      </c>
      <c r="E424" s="219"/>
      <c r="F424" s="219"/>
      <c r="G424" s="219"/>
      <c r="H424" s="219"/>
      <c r="I424" s="219"/>
      <c r="J424" s="219"/>
      <c r="K424" s="219"/>
      <c r="L424" s="221"/>
    </row>
    <row r="425" spans="1:12" ht="14.4">
      <c r="A425" s="59"/>
      <c r="D425" s="60" t="s">
        <v>3390</v>
      </c>
      <c r="E425" s="60" t="s">
        <v>4</v>
      </c>
      <c r="G425" s="68">
        <v>67.25</v>
      </c>
      <c r="L425" s="69"/>
    </row>
    <row r="426" spans="1:75" ht="27" customHeight="1">
      <c r="A426" s="1" t="s">
        <v>922</v>
      </c>
      <c r="B426" s="2" t="s">
        <v>2629</v>
      </c>
      <c r="C426" s="2" t="s">
        <v>3396</v>
      </c>
      <c r="D426" s="147" t="s">
        <v>3397</v>
      </c>
      <c r="E426" s="148"/>
      <c r="F426" s="2" t="s">
        <v>174</v>
      </c>
      <c r="G426" s="55">
        <f>'Stavební rozpočet-vyplnit'!G1804</f>
        <v>42.15</v>
      </c>
      <c r="H426" s="55">
        <f>'Stavební rozpočet-vyplnit'!H1804</f>
        <v>0</v>
      </c>
      <c r="I426" s="55">
        <f>G426*H426</f>
        <v>0</v>
      </c>
      <c r="J426" s="55">
        <f>'Stavební rozpočet-vyplnit'!J1804</f>
        <v>0.00052</v>
      </c>
      <c r="K426" s="55">
        <f>G426*J426</f>
        <v>0.021917999999999997</v>
      </c>
      <c r="L426" s="57" t="s">
        <v>124</v>
      </c>
      <c r="Z426" s="55">
        <f>IF(AQ426="5",BJ426,0)</f>
        <v>0</v>
      </c>
      <c r="AB426" s="55">
        <f>IF(AQ426="1",BH426,0)</f>
        <v>0</v>
      </c>
      <c r="AC426" s="55">
        <f>IF(AQ426="1",BI426,0)</f>
        <v>0</v>
      </c>
      <c r="AD426" s="55">
        <f>IF(AQ426="7",BH426,0)</f>
        <v>0</v>
      </c>
      <c r="AE426" s="55">
        <f>IF(AQ426="7",BI426,0)</f>
        <v>0</v>
      </c>
      <c r="AF426" s="55">
        <f>IF(AQ426="2",BH426,0)</f>
        <v>0</v>
      </c>
      <c r="AG426" s="55">
        <f>IF(AQ426="2",BI426,0)</f>
        <v>0</v>
      </c>
      <c r="AH426" s="55">
        <f>IF(AQ426="0",BJ426,0)</f>
        <v>0</v>
      </c>
      <c r="AI426" s="34" t="s">
        <v>2629</v>
      </c>
      <c r="AJ426" s="55">
        <f>IF(AN426=0,I426,0)</f>
        <v>0</v>
      </c>
      <c r="AK426" s="55">
        <f>IF(AN426=12,I426,0)</f>
        <v>0</v>
      </c>
      <c r="AL426" s="55">
        <f>IF(AN426=21,I426,0)</f>
        <v>0</v>
      </c>
      <c r="AN426" s="55">
        <v>21</v>
      </c>
      <c r="AO426" s="55">
        <f>H426*0.806123069</f>
        <v>0</v>
      </c>
      <c r="AP426" s="55">
        <f>H426*(1-0.806123069)</f>
        <v>0</v>
      </c>
      <c r="AQ426" s="58" t="s">
        <v>125</v>
      </c>
      <c r="AV426" s="55">
        <f>AW426+AX426</f>
        <v>0</v>
      </c>
      <c r="AW426" s="55">
        <f>G426*AO426</f>
        <v>0</v>
      </c>
      <c r="AX426" s="55">
        <f>G426*AP426</f>
        <v>0</v>
      </c>
      <c r="AY426" s="58" t="s">
        <v>1875</v>
      </c>
      <c r="AZ426" s="58" t="s">
        <v>3185</v>
      </c>
      <c r="BA426" s="34" t="s">
        <v>2634</v>
      </c>
      <c r="BC426" s="55">
        <f>AW426+AX426</f>
        <v>0</v>
      </c>
      <c r="BD426" s="55">
        <f>H426/(100-BE426)*100</f>
        <v>0</v>
      </c>
      <c r="BE426" s="55">
        <v>0</v>
      </c>
      <c r="BF426" s="55">
        <f>K426</f>
        <v>0.021917999999999997</v>
      </c>
      <c r="BH426" s="55">
        <f>G426*AO426</f>
        <v>0</v>
      </c>
      <c r="BI426" s="55">
        <f>G426*AP426</f>
        <v>0</v>
      </c>
      <c r="BJ426" s="55">
        <f>G426*H426</f>
        <v>0</v>
      </c>
      <c r="BK426" s="55"/>
      <c r="BL426" s="55">
        <v>764</v>
      </c>
      <c r="BW426" s="55">
        <v>21</v>
      </c>
    </row>
    <row r="427" spans="1:12" ht="13.5" customHeight="1">
      <c r="A427" s="59"/>
      <c r="D427" s="218" t="s">
        <v>3398</v>
      </c>
      <c r="E427" s="219"/>
      <c r="F427" s="219"/>
      <c r="G427" s="219"/>
      <c r="H427" s="219"/>
      <c r="I427" s="219"/>
      <c r="J427" s="219"/>
      <c r="K427" s="219"/>
      <c r="L427" s="221"/>
    </row>
    <row r="428" spans="1:12" ht="14.4">
      <c r="A428" s="59"/>
      <c r="D428" s="60" t="s">
        <v>3399</v>
      </c>
      <c r="E428" s="60" t="s">
        <v>4</v>
      </c>
      <c r="G428" s="68">
        <v>42.15</v>
      </c>
      <c r="L428" s="69"/>
    </row>
    <row r="429" spans="1:75" ht="13.5" customHeight="1">
      <c r="A429" s="1" t="s">
        <v>928</v>
      </c>
      <c r="B429" s="2" t="s">
        <v>2629</v>
      </c>
      <c r="C429" s="2" t="s">
        <v>3401</v>
      </c>
      <c r="D429" s="147" t="s">
        <v>3402</v>
      </c>
      <c r="E429" s="148"/>
      <c r="F429" s="2" t="s">
        <v>174</v>
      </c>
      <c r="G429" s="55">
        <f>'Stavební rozpočet-vyplnit'!G1807</f>
        <v>13.5</v>
      </c>
      <c r="H429" s="55">
        <f>'Stavební rozpočet-vyplnit'!H1807</f>
        <v>0</v>
      </c>
      <c r="I429" s="55">
        <f>G429*H429</f>
        <v>0</v>
      </c>
      <c r="J429" s="55">
        <f>'Stavební rozpočet-vyplnit'!J1807</f>
        <v>0.00056</v>
      </c>
      <c r="K429" s="55">
        <f>G429*J429</f>
        <v>0.007559999999999999</v>
      </c>
      <c r="L429" s="57" t="s">
        <v>124</v>
      </c>
      <c r="Z429" s="55">
        <f>IF(AQ429="5",BJ429,0)</f>
        <v>0</v>
      </c>
      <c r="AB429" s="55">
        <f>IF(AQ429="1",BH429,0)</f>
        <v>0</v>
      </c>
      <c r="AC429" s="55">
        <f>IF(AQ429="1",BI429,0)</f>
        <v>0</v>
      </c>
      <c r="AD429" s="55">
        <f>IF(AQ429="7",BH429,0)</f>
        <v>0</v>
      </c>
      <c r="AE429" s="55">
        <f>IF(AQ429="7",BI429,0)</f>
        <v>0</v>
      </c>
      <c r="AF429" s="55">
        <f>IF(AQ429="2",BH429,0)</f>
        <v>0</v>
      </c>
      <c r="AG429" s="55">
        <f>IF(AQ429="2",BI429,0)</f>
        <v>0</v>
      </c>
      <c r="AH429" s="55">
        <f>IF(AQ429="0",BJ429,0)</f>
        <v>0</v>
      </c>
      <c r="AI429" s="34" t="s">
        <v>2629</v>
      </c>
      <c r="AJ429" s="55">
        <f>IF(AN429=0,I429,0)</f>
        <v>0</v>
      </c>
      <c r="AK429" s="55">
        <f>IF(AN429=12,I429,0)</f>
        <v>0</v>
      </c>
      <c r="AL429" s="55">
        <f>IF(AN429=21,I429,0)</f>
        <v>0</v>
      </c>
      <c r="AN429" s="55">
        <v>21</v>
      </c>
      <c r="AO429" s="55">
        <f>H429*0.87361869</f>
        <v>0</v>
      </c>
      <c r="AP429" s="55">
        <f>H429*(1-0.87361869)</f>
        <v>0</v>
      </c>
      <c r="AQ429" s="58" t="s">
        <v>125</v>
      </c>
      <c r="AV429" s="55">
        <f>AW429+AX429</f>
        <v>0</v>
      </c>
      <c r="AW429" s="55">
        <f>G429*AO429</f>
        <v>0</v>
      </c>
      <c r="AX429" s="55">
        <f>G429*AP429</f>
        <v>0</v>
      </c>
      <c r="AY429" s="58" t="s">
        <v>1875</v>
      </c>
      <c r="AZ429" s="58" t="s">
        <v>3185</v>
      </c>
      <c r="BA429" s="34" t="s">
        <v>2634</v>
      </c>
      <c r="BC429" s="55">
        <f>AW429+AX429</f>
        <v>0</v>
      </c>
      <c r="BD429" s="55">
        <f>H429/(100-BE429)*100</f>
        <v>0</v>
      </c>
      <c r="BE429" s="55">
        <v>0</v>
      </c>
      <c r="BF429" s="55">
        <f>K429</f>
        <v>0.007559999999999999</v>
      </c>
      <c r="BH429" s="55">
        <f>G429*AO429</f>
        <v>0</v>
      </c>
      <c r="BI429" s="55">
        <f>G429*AP429</f>
        <v>0</v>
      </c>
      <c r="BJ429" s="55">
        <f>G429*H429</f>
        <v>0</v>
      </c>
      <c r="BK429" s="55"/>
      <c r="BL429" s="55">
        <v>764</v>
      </c>
      <c r="BW429" s="55">
        <v>21</v>
      </c>
    </row>
    <row r="430" spans="1:12" ht="13.5" customHeight="1">
      <c r="A430" s="59"/>
      <c r="D430" s="218" t="s">
        <v>3403</v>
      </c>
      <c r="E430" s="219"/>
      <c r="F430" s="219"/>
      <c r="G430" s="219"/>
      <c r="H430" s="219"/>
      <c r="I430" s="219"/>
      <c r="J430" s="219"/>
      <c r="K430" s="219"/>
      <c r="L430" s="221"/>
    </row>
    <row r="431" spans="1:12" ht="14.4">
      <c r="A431" s="59"/>
      <c r="D431" s="60" t="s">
        <v>3404</v>
      </c>
      <c r="E431" s="60" t="s">
        <v>4</v>
      </c>
      <c r="G431" s="68">
        <v>13.5</v>
      </c>
      <c r="L431" s="69"/>
    </row>
    <row r="432" spans="1:75" ht="13.5" customHeight="1">
      <c r="A432" s="1" t="s">
        <v>933</v>
      </c>
      <c r="B432" s="2" t="s">
        <v>2629</v>
      </c>
      <c r="C432" s="2" t="s">
        <v>3406</v>
      </c>
      <c r="D432" s="147" t="s">
        <v>3407</v>
      </c>
      <c r="E432" s="148"/>
      <c r="F432" s="2" t="s">
        <v>174</v>
      </c>
      <c r="G432" s="55">
        <f>'Stavební rozpočet-vyplnit'!G1810</f>
        <v>13.5</v>
      </c>
      <c r="H432" s="55">
        <f>'Stavební rozpočet-vyplnit'!H1810</f>
        <v>0</v>
      </c>
      <c r="I432" s="55">
        <f>G432*H432</f>
        <v>0</v>
      </c>
      <c r="J432" s="55">
        <f>'Stavební rozpočet-vyplnit'!J1810</f>
        <v>0.00052</v>
      </c>
      <c r="K432" s="55">
        <f>G432*J432</f>
        <v>0.007019999999999999</v>
      </c>
      <c r="L432" s="57" t="s">
        <v>124</v>
      </c>
      <c r="Z432" s="55">
        <f>IF(AQ432="5",BJ432,0)</f>
        <v>0</v>
      </c>
      <c r="AB432" s="55">
        <f>IF(AQ432="1",BH432,0)</f>
        <v>0</v>
      </c>
      <c r="AC432" s="55">
        <f>IF(AQ432="1",BI432,0)</f>
        <v>0</v>
      </c>
      <c r="AD432" s="55">
        <f>IF(AQ432="7",BH432,0)</f>
        <v>0</v>
      </c>
      <c r="AE432" s="55">
        <f>IF(AQ432="7",BI432,0)</f>
        <v>0</v>
      </c>
      <c r="AF432" s="55">
        <f>IF(AQ432="2",BH432,0)</f>
        <v>0</v>
      </c>
      <c r="AG432" s="55">
        <f>IF(AQ432="2",BI432,0)</f>
        <v>0</v>
      </c>
      <c r="AH432" s="55">
        <f>IF(AQ432="0",BJ432,0)</f>
        <v>0</v>
      </c>
      <c r="AI432" s="34" t="s">
        <v>2629</v>
      </c>
      <c r="AJ432" s="55">
        <f>IF(AN432=0,I432,0)</f>
        <v>0</v>
      </c>
      <c r="AK432" s="55">
        <f>IF(AN432=12,I432,0)</f>
        <v>0</v>
      </c>
      <c r="AL432" s="55">
        <f>IF(AN432=21,I432,0)</f>
        <v>0</v>
      </c>
      <c r="AN432" s="55">
        <v>21</v>
      </c>
      <c r="AO432" s="55">
        <f>H432*0.703786837</f>
        <v>0</v>
      </c>
      <c r="AP432" s="55">
        <f>H432*(1-0.703786837)</f>
        <v>0</v>
      </c>
      <c r="AQ432" s="58" t="s">
        <v>125</v>
      </c>
      <c r="AV432" s="55">
        <f>AW432+AX432</f>
        <v>0</v>
      </c>
      <c r="AW432" s="55">
        <f>G432*AO432</f>
        <v>0</v>
      </c>
      <c r="AX432" s="55">
        <f>G432*AP432</f>
        <v>0</v>
      </c>
      <c r="AY432" s="58" t="s">
        <v>1875</v>
      </c>
      <c r="AZ432" s="58" t="s">
        <v>3185</v>
      </c>
      <c r="BA432" s="34" t="s">
        <v>2634</v>
      </c>
      <c r="BC432" s="55">
        <f>AW432+AX432</f>
        <v>0</v>
      </c>
      <c r="BD432" s="55">
        <f>H432/(100-BE432)*100</f>
        <v>0</v>
      </c>
      <c r="BE432" s="55">
        <v>0</v>
      </c>
      <c r="BF432" s="55">
        <f>K432</f>
        <v>0.007019999999999999</v>
      </c>
      <c r="BH432" s="55">
        <f>G432*AO432</f>
        <v>0</v>
      </c>
      <c r="BI432" s="55">
        <f>G432*AP432</f>
        <v>0</v>
      </c>
      <c r="BJ432" s="55">
        <f>G432*H432</f>
        <v>0</v>
      </c>
      <c r="BK432" s="55"/>
      <c r="BL432" s="55">
        <v>764</v>
      </c>
      <c r="BW432" s="55">
        <v>21</v>
      </c>
    </row>
    <row r="433" spans="1:12" ht="13.5" customHeight="1">
      <c r="A433" s="59"/>
      <c r="D433" s="218" t="s">
        <v>3408</v>
      </c>
      <c r="E433" s="219"/>
      <c r="F433" s="219"/>
      <c r="G433" s="219"/>
      <c r="H433" s="219"/>
      <c r="I433" s="219"/>
      <c r="J433" s="219"/>
      <c r="K433" s="219"/>
      <c r="L433" s="221"/>
    </row>
    <row r="434" spans="1:12" ht="14.4">
      <c r="A434" s="59"/>
      <c r="D434" s="60" t="s">
        <v>3404</v>
      </c>
      <c r="E434" s="60" t="s">
        <v>4</v>
      </c>
      <c r="G434" s="68">
        <v>13.5</v>
      </c>
      <c r="L434" s="69"/>
    </row>
    <row r="435" spans="1:75" ht="27" customHeight="1">
      <c r="A435" s="1" t="s">
        <v>936</v>
      </c>
      <c r="B435" s="2" t="s">
        <v>2629</v>
      </c>
      <c r="C435" s="2" t="s">
        <v>3410</v>
      </c>
      <c r="D435" s="147" t="s">
        <v>3411</v>
      </c>
      <c r="E435" s="148"/>
      <c r="F435" s="2" t="s">
        <v>174</v>
      </c>
      <c r="G435" s="55">
        <f>'Stavební rozpočet-vyplnit'!G1813</f>
        <v>8.95</v>
      </c>
      <c r="H435" s="55">
        <f>'Stavební rozpočet-vyplnit'!H1813</f>
        <v>0</v>
      </c>
      <c r="I435" s="55">
        <f>G435*H435</f>
        <v>0</v>
      </c>
      <c r="J435" s="55">
        <f>'Stavební rozpočet-vyplnit'!J1813</f>
        <v>0.00052</v>
      </c>
      <c r="K435" s="55">
        <f>G435*J435</f>
        <v>0.004653999999999999</v>
      </c>
      <c r="L435" s="57" t="s">
        <v>124</v>
      </c>
      <c r="Z435" s="55">
        <f>IF(AQ435="5",BJ435,0)</f>
        <v>0</v>
      </c>
      <c r="AB435" s="55">
        <f>IF(AQ435="1",BH435,0)</f>
        <v>0</v>
      </c>
      <c r="AC435" s="55">
        <f>IF(AQ435="1",BI435,0)</f>
        <v>0</v>
      </c>
      <c r="AD435" s="55">
        <f>IF(AQ435="7",BH435,0)</f>
        <v>0</v>
      </c>
      <c r="AE435" s="55">
        <f>IF(AQ435="7",BI435,0)</f>
        <v>0</v>
      </c>
      <c r="AF435" s="55">
        <f>IF(AQ435="2",BH435,0)</f>
        <v>0</v>
      </c>
      <c r="AG435" s="55">
        <f>IF(AQ435="2",BI435,0)</f>
        <v>0</v>
      </c>
      <c r="AH435" s="55">
        <f>IF(AQ435="0",BJ435,0)</f>
        <v>0</v>
      </c>
      <c r="AI435" s="34" t="s">
        <v>2629</v>
      </c>
      <c r="AJ435" s="55">
        <f>IF(AN435=0,I435,0)</f>
        <v>0</v>
      </c>
      <c r="AK435" s="55">
        <f>IF(AN435=12,I435,0)</f>
        <v>0</v>
      </c>
      <c r="AL435" s="55">
        <f>IF(AN435=21,I435,0)</f>
        <v>0</v>
      </c>
      <c r="AN435" s="55">
        <v>21</v>
      </c>
      <c r="AO435" s="55">
        <f>H435*0.714946395</f>
        <v>0</v>
      </c>
      <c r="AP435" s="55">
        <f>H435*(1-0.714946395)</f>
        <v>0</v>
      </c>
      <c r="AQ435" s="58" t="s">
        <v>125</v>
      </c>
      <c r="AV435" s="55">
        <f>AW435+AX435</f>
        <v>0</v>
      </c>
      <c r="AW435" s="55">
        <f>G435*AO435</f>
        <v>0</v>
      </c>
      <c r="AX435" s="55">
        <f>G435*AP435</f>
        <v>0</v>
      </c>
      <c r="AY435" s="58" t="s">
        <v>1875</v>
      </c>
      <c r="AZ435" s="58" t="s">
        <v>3185</v>
      </c>
      <c r="BA435" s="34" t="s">
        <v>2634</v>
      </c>
      <c r="BC435" s="55">
        <f>AW435+AX435</f>
        <v>0</v>
      </c>
      <c r="BD435" s="55">
        <f>H435/(100-BE435)*100</f>
        <v>0</v>
      </c>
      <c r="BE435" s="55">
        <v>0</v>
      </c>
      <c r="BF435" s="55">
        <f>K435</f>
        <v>0.004653999999999999</v>
      </c>
      <c r="BH435" s="55">
        <f>G435*AO435</f>
        <v>0</v>
      </c>
      <c r="BI435" s="55">
        <f>G435*AP435</f>
        <v>0</v>
      </c>
      <c r="BJ435" s="55">
        <f>G435*H435</f>
        <v>0</v>
      </c>
      <c r="BK435" s="55"/>
      <c r="BL435" s="55">
        <v>764</v>
      </c>
      <c r="BW435" s="55">
        <v>21</v>
      </c>
    </row>
    <row r="436" spans="1:12" ht="13.5" customHeight="1">
      <c r="A436" s="59"/>
      <c r="D436" s="218" t="s">
        <v>3412</v>
      </c>
      <c r="E436" s="219"/>
      <c r="F436" s="219"/>
      <c r="G436" s="219"/>
      <c r="H436" s="219"/>
      <c r="I436" s="219"/>
      <c r="J436" s="219"/>
      <c r="K436" s="219"/>
      <c r="L436" s="221"/>
    </row>
    <row r="437" spans="1:12" ht="14.4">
      <c r="A437" s="59"/>
      <c r="D437" s="60" t="s">
        <v>3413</v>
      </c>
      <c r="E437" s="60" t="s">
        <v>4</v>
      </c>
      <c r="G437" s="68">
        <v>8.95</v>
      </c>
      <c r="L437" s="69"/>
    </row>
    <row r="438" spans="1:75" ht="27" customHeight="1">
      <c r="A438" s="1" t="s">
        <v>943</v>
      </c>
      <c r="B438" s="2" t="s">
        <v>2629</v>
      </c>
      <c r="C438" s="2" t="s">
        <v>3415</v>
      </c>
      <c r="D438" s="147" t="s">
        <v>3416</v>
      </c>
      <c r="E438" s="148"/>
      <c r="F438" s="2" t="s">
        <v>174</v>
      </c>
      <c r="G438" s="55">
        <f>'Stavební rozpočet-vyplnit'!G1816</f>
        <v>8.95</v>
      </c>
      <c r="H438" s="55">
        <f>'Stavební rozpočet-vyplnit'!H1816</f>
        <v>0</v>
      </c>
      <c r="I438" s="55">
        <f>G438*H438</f>
        <v>0</v>
      </c>
      <c r="J438" s="55">
        <f>'Stavební rozpočet-vyplnit'!J1816</f>
        <v>0.00052</v>
      </c>
      <c r="K438" s="55">
        <f>G438*J438</f>
        <v>0.004653999999999999</v>
      </c>
      <c r="L438" s="57" t="s">
        <v>124</v>
      </c>
      <c r="Z438" s="55">
        <f>IF(AQ438="5",BJ438,0)</f>
        <v>0</v>
      </c>
      <c r="AB438" s="55">
        <f>IF(AQ438="1",BH438,0)</f>
        <v>0</v>
      </c>
      <c r="AC438" s="55">
        <f>IF(AQ438="1",BI438,0)</f>
        <v>0</v>
      </c>
      <c r="AD438" s="55">
        <f>IF(AQ438="7",BH438,0)</f>
        <v>0</v>
      </c>
      <c r="AE438" s="55">
        <f>IF(AQ438="7",BI438,0)</f>
        <v>0</v>
      </c>
      <c r="AF438" s="55">
        <f>IF(AQ438="2",BH438,0)</f>
        <v>0</v>
      </c>
      <c r="AG438" s="55">
        <f>IF(AQ438="2",BI438,0)</f>
        <v>0</v>
      </c>
      <c r="AH438" s="55">
        <f>IF(AQ438="0",BJ438,0)</f>
        <v>0</v>
      </c>
      <c r="AI438" s="34" t="s">
        <v>2629</v>
      </c>
      <c r="AJ438" s="55">
        <f>IF(AN438=0,I438,0)</f>
        <v>0</v>
      </c>
      <c r="AK438" s="55">
        <f>IF(AN438=12,I438,0)</f>
        <v>0</v>
      </c>
      <c r="AL438" s="55">
        <f>IF(AN438=21,I438,0)</f>
        <v>0</v>
      </c>
      <c r="AN438" s="55">
        <v>21</v>
      </c>
      <c r="AO438" s="55">
        <f>H438*0.513629842</f>
        <v>0</v>
      </c>
      <c r="AP438" s="55">
        <f>H438*(1-0.513629842)</f>
        <v>0</v>
      </c>
      <c r="AQ438" s="58" t="s">
        <v>125</v>
      </c>
      <c r="AV438" s="55">
        <f>AW438+AX438</f>
        <v>0</v>
      </c>
      <c r="AW438" s="55">
        <f>G438*AO438</f>
        <v>0</v>
      </c>
      <c r="AX438" s="55">
        <f>G438*AP438</f>
        <v>0</v>
      </c>
      <c r="AY438" s="58" t="s">
        <v>1875</v>
      </c>
      <c r="AZ438" s="58" t="s">
        <v>3185</v>
      </c>
      <c r="BA438" s="34" t="s">
        <v>2634</v>
      </c>
      <c r="BC438" s="55">
        <f>AW438+AX438</f>
        <v>0</v>
      </c>
      <c r="BD438" s="55">
        <f>H438/(100-BE438)*100</f>
        <v>0</v>
      </c>
      <c r="BE438" s="55">
        <v>0</v>
      </c>
      <c r="BF438" s="55">
        <f>K438</f>
        <v>0.004653999999999999</v>
      </c>
      <c r="BH438" s="55">
        <f>G438*AO438</f>
        <v>0</v>
      </c>
      <c r="BI438" s="55">
        <f>G438*AP438</f>
        <v>0</v>
      </c>
      <c r="BJ438" s="55">
        <f>G438*H438</f>
        <v>0</v>
      </c>
      <c r="BK438" s="55"/>
      <c r="BL438" s="55">
        <v>764</v>
      </c>
      <c r="BW438" s="55">
        <v>21</v>
      </c>
    </row>
    <row r="439" spans="1:12" ht="13.5" customHeight="1">
      <c r="A439" s="59"/>
      <c r="D439" s="218" t="s">
        <v>3417</v>
      </c>
      <c r="E439" s="219"/>
      <c r="F439" s="219"/>
      <c r="G439" s="219"/>
      <c r="H439" s="219"/>
      <c r="I439" s="219"/>
      <c r="J439" s="219"/>
      <c r="K439" s="219"/>
      <c r="L439" s="221"/>
    </row>
    <row r="440" spans="1:12" ht="14.4">
      <c r="A440" s="59"/>
      <c r="D440" s="60" t="s">
        <v>3413</v>
      </c>
      <c r="E440" s="60" t="s">
        <v>4</v>
      </c>
      <c r="G440" s="68">
        <v>8.95</v>
      </c>
      <c r="L440" s="69"/>
    </row>
    <row r="441" spans="1:75" ht="27" customHeight="1">
      <c r="A441" s="1" t="s">
        <v>949</v>
      </c>
      <c r="B441" s="2" t="s">
        <v>2629</v>
      </c>
      <c r="C441" s="2" t="s">
        <v>3419</v>
      </c>
      <c r="D441" s="147" t="s">
        <v>3420</v>
      </c>
      <c r="E441" s="148"/>
      <c r="F441" s="2" t="s">
        <v>174</v>
      </c>
      <c r="G441" s="55">
        <f>'Stavební rozpočet-vyplnit'!G1819</f>
        <v>10.9</v>
      </c>
      <c r="H441" s="55">
        <f>'Stavební rozpočet-vyplnit'!H1819</f>
        <v>0</v>
      </c>
      <c r="I441" s="55">
        <f>G441*H441</f>
        <v>0</v>
      </c>
      <c r="J441" s="55">
        <f>'Stavební rozpočet-vyplnit'!J1819</f>
        <v>0.00052</v>
      </c>
      <c r="K441" s="55">
        <f>G441*J441</f>
        <v>0.005667999999999999</v>
      </c>
      <c r="L441" s="57" t="s">
        <v>124</v>
      </c>
      <c r="Z441" s="55">
        <f>IF(AQ441="5",BJ441,0)</f>
        <v>0</v>
      </c>
      <c r="AB441" s="55">
        <f>IF(AQ441="1",BH441,0)</f>
        <v>0</v>
      </c>
      <c r="AC441" s="55">
        <f>IF(AQ441="1",BI441,0)</f>
        <v>0</v>
      </c>
      <c r="AD441" s="55">
        <f>IF(AQ441="7",BH441,0)</f>
        <v>0</v>
      </c>
      <c r="AE441" s="55">
        <f>IF(AQ441="7",BI441,0)</f>
        <v>0</v>
      </c>
      <c r="AF441" s="55">
        <f>IF(AQ441="2",BH441,0)</f>
        <v>0</v>
      </c>
      <c r="AG441" s="55">
        <f>IF(AQ441="2",BI441,0)</f>
        <v>0</v>
      </c>
      <c r="AH441" s="55">
        <f>IF(AQ441="0",BJ441,0)</f>
        <v>0</v>
      </c>
      <c r="AI441" s="34" t="s">
        <v>2629</v>
      </c>
      <c r="AJ441" s="55">
        <f>IF(AN441=0,I441,0)</f>
        <v>0</v>
      </c>
      <c r="AK441" s="55">
        <f>IF(AN441=12,I441,0)</f>
        <v>0</v>
      </c>
      <c r="AL441" s="55">
        <f>IF(AN441=21,I441,0)</f>
        <v>0</v>
      </c>
      <c r="AN441" s="55">
        <v>21</v>
      </c>
      <c r="AO441" s="55">
        <f>H441*0.743854207</f>
        <v>0</v>
      </c>
      <c r="AP441" s="55">
        <f>H441*(1-0.743854207)</f>
        <v>0</v>
      </c>
      <c r="AQ441" s="58" t="s">
        <v>125</v>
      </c>
      <c r="AV441" s="55">
        <f>AW441+AX441</f>
        <v>0</v>
      </c>
      <c r="AW441" s="55">
        <f>G441*AO441</f>
        <v>0</v>
      </c>
      <c r="AX441" s="55">
        <f>G441*AP441</f>
        <v>0</v>
      </c>
      <c r="AY441" s="58" t="s">
        <v>1875</v>
      </c>
      <c r="AZ441" s="58" t="s">
        <v>3185</v>
      </c>
      <c r="BA441" s="34" t="s">
        <v>2634</v>
      </c>
      <c r="BC441" s="55">
        <f>AW441+AX441</f>
        <v>0</v>
      </c>
      <c r="BD441" s="55">
        <f>H441/(100-BE441)*100</f>
        <v>0</v>
      </c>
      <c r="BE441" s="55">
        <v>0</v>
      </c>
      <c r="BF441" s="55">
        <f>K441</f>
        <v>0.005667999999999999</v>
      </c>
      <c r="BH441" s="55">
        <f>G441*AO441</f>
        <v>0</v>
      </c>
      <c r="BI441" s="55">
        <f>G441*AP441</f>
        <v>0</v>
      </c>
      <c r="BJ441" s="55">
        <f>G441*H441</f>
        <v>0</v>
      </c>
      <c r="BK441" s="55"/>
      <c r="BL441" s="55">
        <v>764</v>
      </c>
      <c r="BW441" s="55">
        <v>21</v>
      </c>
    </row>
    <row r="442" spans="1:12" ht="13.5" customHeight="1">
      <c r="A442" s="59"/>
      <c r="D442" s="218" t="s">
        <v>3421</v>
      </c>
      <c r="E442" s="219"/>
      <c r="F442" s="219"/>
      <c r="G442" s="219"/>
      <c r="H442" s="219"/>
      <c r="I442" s="219"/>
      <c r="J442" s="219"/>
      <c r="K442" s="219"/>
      <c r="L442" s="221"/>
    </row>
    <row r="443" spans="1:12" ht="14.4">
      <c r="A443" s="59"/>
      <c r="D443" s="60" t="s">
        <v>3422</v>
      </c>
      <c r="E443" s="60" t="s">
        <v>4</v>
      </c>
      <c r="G443" s="68">
        <v>10.9</v>
      </c>
      <c r="L443" s="69"/>
    </row>
    <row r="444" spans="1:75" ht="27" customHeight="1">
      <c r="A444" s="1" t="s">
        <v>953</v>
      </c>
      <c r="B444" s="2" t="s">
        <v>2629</v>
      </c>
      <c r="C444" s="2" t="s">
        <v>3424</v>
      </c>
      <c r="D444" s="147" t="s">
        <v>3425</v>
      </c>
      <c r="E444" s="148"/>
      <c r="F444" s="2" t="s">
        <v>174</v>
      </c>
      <c r="G444" s="55">
        <f>'Stavební rozpočet-vyplnit'!G1822</f>
        <v>10.9</v>
      </c>
      <c r="H444" s="55">
        <f>'Stavební rozpočet-vyplnit'!H1822</f>
        <v>0</v>
      </c>
      <c r="I444" s="55">
        <f>G444*H444</f>
        <v>0</v>
      </c>
      <c r="J444" s="55">
        <f>'Stavební rozpočet-vyplnit'!J1822</f>
        <v>0.00052</v>
      </c>
      <c r="K444" s="55">
        <f>G444*J444</f>
        <v>0.005667999999999999</v>
      </c>
      <c r="L444" s="57" t="s">
        <v>124</v>
      </c>
      <c r="Z444" s="55">
        <f>IF(AQ444="5",BJ444,0)</f>
        <v>0</v>
      </c>
      <c r="AB444" s="55">
        <f>IF(AQ444="1",BH444,0)</f>
        <v>0</v>
      </c>
      <c r="AC444" s="55">
        <f>IF(AQ444="1",BI444,0)</f>
        <v>0</v>
      </c>
      <c r="AD444" s="55">
        <f>IF(AQ444="7",BH444,0)</f>
        <v>0</v>
      </c>
      <c r="AE444" s="55">
        <f>IF(AQ444="7",BI444,0)</f>
        <v>0</v>
      </c>
      <c r="AF444" s="55">
        <f>IF(AQ444="2",BH444,0)</f>
        <v>0</v>
      </c>
      <c r="AG444" s="55">
        <f>IF(AQ444="2",BI444,0)</f>
        <v>0</v>
      </c>
      <c r="AH444" s="55">
        <f>IF(AQ444="0",BJ444,0)</f>
        <v>0</v>
      </c>
      <c r="AI444" s="34" t="s">
        <v>2629</v>
      </c>
      <c r="AJ444" s="55">
        <f>IF(AN444=0,I444,0)</f>
        <v>0</v>
      </c>
      <c r="AK444" s="55">
        <f>IF(AN444=12,I444,0)</f>
        <v>0</v>
      </c>
      <c r="AL444" s="55">
        <f>IF(AN444=21,I444,0)</f>
        <v>0</v>
      </c>
      <c r="AN444" s="55">
        <v>21</v>
      </c>
      <c r="AO444" s="55">
        <f>H444*0.556346541</f>
        <v>0</v>
      </c>
      <c r="AP444" s="55">
        <f>H444*(1-0.556346541)</f>
        <v>0</v>
      </c>
      <c r="AQ444" s="58" t="s">
        <v>125</v>
      </c>
      <c r="AV444" s="55">
        <f>AW444+AX444</f>
        <v>0</v>
      </c>
      <c r="AW444" s="55">
        <f>G444*AO444</f>
        <v>0</v>
      </c>
      <c r="AX444" s="55">
        <f>G444*AP444</f>
        <v>0</v>
      </c>
      <c r="AY444" s="58" t="s">
        <v>1875</v>
      </c>
      <c r="AZ444" s="58" t="s">
        <v>3185</v>
      </c>
      <c r="BA444" s="34" t="s">
        <v>2634</v>
      </c>
      <c r="BC444" s="55">
        <f>AW444+AX444</f>
        <v>0</v>
      </c>
      <c r="BD444" s="55">
        <f>H444/(100-BE444)*100</f>
        <v>0</v>
      </c>
      <c r="BE444" s="55">
        <v>0</v>
      </c>
      <c r="BF444" s="55">
        <f>K444</f>
        <v>0.005667999999999999</v>
      </c>
      <c r="BH444" s="55">
        <f>G444*AO444</f>
        <v>0</v>
      </c>
      <c r="BI444" s="55">
        <f>G444*AP444</f>
        <v>0</v>
      </c>
      <c r="BJ444" s="55">
        <f>G444*H444</f>
        <v>0</v>
      </c>
      <c r="BK444" s="55"/>
      <c r="BL444" s="55">
        <v>764</v>
      </c>
      <c r="BW444" s="55">
        <v>21</v>
      </c>
    </row>
    <row r="445" spans="1:12" ht="13.5" customHeight="1">
      <c r="A445" s="59"/>
      <c r="D445" s="218" t="s">
        <v>3426</v>
      </c>
      <c r="E445" s="219"/>
      <c r="F445" s="219"/>
      <c r="G445" s="219"/>
      <c r="H445" s="219"/>
      <c r="I445" s="219"/>
      <c r="J445" s="219"/>
      <c r="K445" s="219"/>
      <c r="L445" s="221"/>
    </row>
    <row r="446" spans="1:12" ht="14.4">
      <c r="A446" s="59"/>
      <c r="D446" s="60" t="s">
        <v>3422</v>
      </c>
      <c r="E446" s="60" t="s">
        <v>4</v>
      </c>
      <c r="G446" s="68">
        <v>10.9</v>
      </c>
      <c r="L446" s="69"/>
    </row>
    <row r="447" spans="1:75" ht="27" customHeight="1">
      <c r="A447" s="1" t="s">
        <v>958</v>
      </c>
      <c r="B447" s="2" t="s">
        <v>2629</v>
      </c>
      <c r="C447" s="2" t="s">
        <v>3428</v>
      </c>
      <c r="D447" s="147" t="s">
        <v>3429</v>
      </c>
      <c r="E447" s="148"/>
      <c r="F447" s="2" t="s">
        <v>174</v>
      </c>
      <c r="G447" s="55">
        <f>'Stavební rozpočet-vyplnit'!G1825</f>
        <v>12.8</v>
      </c>
      <c r="H447" s="55">
        <f>'Stavební rozpočet-vyplnit'!H1825</f>
        <v>0</v>
      </c>
      <c r="I447" s="55">
        <f>G447*H447</f>
        <v>0</v>
      </c>
      <c r="J447" s="55">
        <f>'Stavební rozpočet-vyplnit'!J1825</f>
        <v>0.00243</v>
      </c>
      <c r="K447" s="55">
        <f>G447*J447</f>
        <v>0.031104</v>
      </c>
      <c r="L447" s="57" t="s">
        <v>124</v>
      </c>
      <c r="Z447" s="55">
        <f>IF(AQ447="5",BJ447,0)</f>
        <v>0</v>
      </c>
      <c r="AB447" s="55">
        <f>IF(AQ447="1",BH447,0)</f>
        <v>0</v>
      </c>
      <c r="AC447" s="55">
        <f>IF(AQ447="1",BI447,0)</f>
        <v>0</v>
      </c>
      <c r="AD447" s="55">
        <f>IF(AQ447="7",BH447,0)</f>
        <v>0</v>
      </c>
      <c r="AE447" s="55">
        <f>IF(AQ447="7",BI447,0)</f>
        <v>0</v>
      </c>
      <c r="AF447" s="55">
        <f>IF(AQ447="2",BH447,0)</f>
        <v>0</v>
      </c>
      <c r="AG447" s="55">
        <f>IF(AQ447="2",BI447,0)</f>
        <v>0</v>
      </c>
      <c r="AH447" s="55">
        <f>IF(AQ447="0",BJ447,0)</f>
        <v>0</v>
      </c>
      <c r="AI447" s="34" t="s">
        <v>2629</v>
      </c>
      <c r="AJ447" s="55">
        <f>IF(AN447=0,I447,0)</f>
        <v>0</v>
      </c>
      <c r="AK447" s="55">
        <f>IF(AN447=12,I447,0)</f>
        <v>0</v>
      </c>
      <c r="AL447" s="55">
        <f>IF(AN447=21,I447,0)</f>
        <v>0</v>
      </c>
      <c r="AN447" s="55">
        <v>21</v>
      </c>
      <c r="AO447" s="55">
        <f>H447*0.160414987</f>
        <v>0</v>
      </c>
      <c r="AP447" s="55">
        <f>H447*(1-0.160414987)</f>
        <v>0</v>
      </c>
      <c r="AQ447" s="58" t="s">
        <v>125</v>
      </c>
      <c r="AV447" s="55">
        <f>AW447+AX447</f>
        <v>0</v>
      </c>
      <c r="AW447" s="55">
        <f>G447*AO447</f>
        <v>0</v>
      </c>
      <c r="AX447" s="55">
        <f>G447*AP447</f>
        <v>0</v>
      </c>
      <c r="AY447" s="58" t="s">
        <v>1875</v>
      </c>
      <c r="AZ447" s="58" t="s">
        <v>3185</v>
      </c>
      <c r="BA447" s="34" t="s">
        <v>2634</v>
      </c>
      <c r="BC447" s="55">
        <f>AW447+AX447</f>
        <v>0</v>
      </c>
      <c r="BD447" s="55">
        <f>H447/(100-BE447)*100</f>
        <v>0</v>
      </c>
      <c r="BE447" s="55">
        <v>0</v>
      </c>
      <c r="BF447" s="55">
        <f>K447</f>
        <v>0.031104</v>
      </c>
      <c r="BH447" s="55">
        <f>G447*AO447</f>
        <v>0</v>
      </c>
      <c r="BI447" s="55">
        <f>G447*AP447</f>
        <v>0</v>
      </c>
      <c r="BJ447" s="55">
        <f>G447*H447</f>
        <v>0</v>
      </c>
      <c r="BK447" s="55"/>
      <c r="BL447" s="55">
        <v>764</v>
      </c>
      <c r="BW447" s="55">
        <v>21</v>
      </c>
    </row>
    <row r="448" spans="1:12" ht="13.5" customHeight="1">
      <c r="A448" s="59"/>
      <c r="D448" s="218" t="s">
        <v>3430</v>
      </c>
      <c r="E448" s="219"/>
      <c r="F448" s="219"/>
      <c r="G448" s="219"/>
      <c r="H448" s="219"/>
      <c r="I448" s="219"/>
      <c r="J448" s="219"/>
      <c r="K448" s="219"/>
      <c r="L448" s="221"/>
    </row>
    <row r="449" spans="1:12" ht="14.4">
      <c r="A449" s="59"/>
      <c r="D449" s="60" t="s">
        <v>3431</v>
      </c>
      <c r="E449" s="60" t="s">
        <v>4</v>
      </c>
      <c r="G449" s="68">
        <v>12.8</v>
      </c>
      <c r="L449" s="69"/>
    </row>
    <row r="450" spans="1:75" ht="13.5" customHeight="1">
      <c r="A450" s="1" t="s">
        <v>964</v>
      </c>
      <c r="B450" s="2" t="s">
        <v>2629</v>
      </c>
      <c r="C450" s="2" t="s">
        <v>3433</v>
      </c>
      <c r="D450" s="147" t="s">
        <v>3434</v>
      </c>
      <c r="E450" s="148"/>
      <c r="F450" s="2" t="s">
        <v>729</v>
      </c>
      <c r="G450" s="55">
        <f>'Stavební rozpočet-vyplnit'!G1828</f>
        <v>6.88</v>
      </c>
      <c r="H450" s="55">
        <f>'Stavební rozpočet-vyplnit'!H1828</f>
        <v>0</v>
      </c>
      <c r="I450" s="55">
        <f>G450*H450</f>
        <v>0</v>
      </c>
      <c r="J450" s="55">
        <f>'Stavební rozpočet-vyplnit'!J1828</f>
        <v>0.00224</v>
      </c>
      <c r="K450" s="55">
        <f>G450*J450</f>
        <v>0.015411199999999998</v>
      </c>
      <c r="L450" s="57" t="s">
        <v>785</v>
      </c>
      <c r="Z450" s="55">
        <f>IF(AQ450="5",BJ450,0)</f>
        <v>0</v>
      </c>
      <c r="AB450" s="55">
        <f>IF(AQ450="1",BH450,0)</f>
        <v>0</v>
      </c>
      <c r="AC450" s="55">
        <f>IF(AQ450="1",BI450,0)</f>
        <v>0</v>
      </c>
      <c r="AD450" s="55">
        <f>IF(AQ450="7",BH450,0)</f>
        <v>0</v>
      </c>
      <c r="AE450" s="55">
        <f>IF(AQ450="7",BI450,0)</f>
        <v>0</v>
      </c>
      <c r="AF450" s="55">
        <f>IF(AQ450="2",BH450,0)</f>
        <v>0</v>
      </c>
      <c r="AG450" s="55">
        <f>IF(AQ450="2",BI450,0)</f>
        <v>0</v>
      </c>
      <c r="AH450" s="55">
        <f>IF(AQ450="0",BJ450,0)</f>
        <v>0</v>
      </c>
      <c r="AI450" s="34" t="s">
        <v>2629</v>
      </c>
      <c r="AJ450" s="55">
        <f>IF(AN450=0,I450,0)</f>
        <v>0</v>
      </c>
      <c r="AK450" s="55">
        <f>IF(AN450=12,I450,0)</f>
        <v>0</v>
      </c>
      <c r="AL450" s="55">
        <f>IF(AN450=21,I450,0)</f>
        <v>0</v>
      </c>
      <c r="AN450" s="55">
        <v>21</v>
      </c>
      <c r="AO450" s="55">
        <f>H450*0.395347269</f>
        <v>0</v>
      </c>
      <c r="AP450" s="55">
        <f>H450*(1-0.395347269)</f>
        <v>0</v>
      </c>
      <c r="AQ450" s="58" t="s">
        <v>125</v>
      </c>
      <c r="AV450" s="55">
        <f>AW450+AX450</f>
        <v>0</v>
      </c>
      <c r="AW450" s="55">
        <f>G450*AO450</f>
        <v>0</v>
      </c>
      <c r="AX450" s="55">
        <f>G450*AP450</f>
        <v>0</v>
      </c>
      <c r="AY450" s="58" t="s">
        <v>1875</v>
      </c>
      <c r="AZ450" s="58" t="s">
        <v>3185</v>
      </c>
      <c r="BA450" s="34" t="s">
        <v>2634</v>
      </c>
      <c r="BC450" s="55">
        <f>AW450+AX450</f>
        <v>0</v>
      </c>
      <c r="BD450" s="55">
        <f>H450/(100-BE450)*100</f>
        <v>0</v>
      </c>
      <c r="BE450" s="55">
        <v>0</v>
      </c>
      <c r="BF450" s="55">
        <f>K450</f>
        <v>0.015411199999999998</v>
      </c>
      <c r="BH450" s="55">
        <f>G450*AO450</f>
        <v>0</v>
      </c>
      <c r="BI450" s="55">
        <f>G450*AP450</f>
        <v>0</v>
      </c>
      <c r="BJ450" s="55">
        <f>G450*H450</f>
        <v>0</v>
      </c>
      <c r="BK450" s="55"/>
      <c r="BL450" s="55">
        <v>764</v>
      </c>
      <c r="BW450" s="55">
        <v>21</v>
      </c>
    </row>
    <row r="451" spans="1:12" ht="13.5" customHeight="1">
      <c r="A451" s="59"/>
      <c r="D451" s="218" t="s">
        <v>3408</v>
      </c>
      <c r="E451" s="219"/>
      <c r="F451" s="219"/>
      <c r="G451" s="219"/>
      <c r="H451" s="219"/>
      <c r="I451" s="219"/>
      <c r="J451" s="219"/>
      <c r="K451" s="219"/>
      <c r="L451" s="221"/>
    </row>
    <row r="452" spans="1:12" ht="14.4">
      <c r="A452" s="59"/>
      <c r="D452" s="60" t="s">
        <v>3435</v>
      </c>
      <c r="E452" s="60" t="s">
        <v>4</v>
      </c>
      <c r="G452" s="68">
        <v>6.88</v>
      </c>
      <c r="L452" s="69"/>
    </row>
    <row r="453" spans="1:75" ht="13.5" customHeight="1">
      <c r="A453" s="1" t="s">
        <v>969</v>
      </c>
      <c r="B453" s="2" t="s">
        <v>2629</v>
      </c>
      <c r="C453" s="2" t="s">
        <v>3437</v>
      </c>
      <c r="D453" s="147" t="s">
        <v>3438</v>
      </c>
      <c r="E453" s="148"/>
      <c r="F453" s="2" t="s">
        <v>374</v>
      </c>
      <c r="G453" s="55">
        <f>'Stavební rozpočet-vyplnit'!G1831</f>
        <v>171</v>
      </c>
      <c r="H453" s="55">
        <f>'Stavební rozpočet-vyplnit'!H1831</f>
        <v>0</v>
      </c>
      <c r="I453" s="55">
        <f>G453*H453</f>
        <v>0</v>
      </c>
      <c r="J453" s="55">
        <f>'Stavební rozpočet-vyplnit'!J1831</f>
        <v>5E-05</v>
      </c>
      <c r="K453" s="55">
        <f>G453*J453</f>
        <v>0.00855</v>
      </c>
      <c r="L453" s="57" t="s">
        <v>124</v>
      </c>
      <c r="Z453" s="55">
        <f>IF(AQ453="5",BJ453,0)</f>
        <v>0</v>
      </c>
      <c r="AB453" s="55">
        <f>IF(AQ453="1",BH453,0)</f>
        <v>0</v>
      </c>
      <c r="AC453" s="55">
        <f>IF(AQ453="1",BI453,0)</f>
        <v>0</v>
      </c>
      <c r="AD453" s="55">
        <f>IF(AQ453="7",BH453,0)</f>
        <v>0</v>
      </c>
      <c r="AE453" s="55">
        <f>IF(AQ453="7",BI453,0)</f>
        <v>0</v>
      </c>
      <c r="AF453" s="55">
        <f>IF(AQ453="2",BH453,0)</f>
        <v>0</v>
      </c>
      <c r="AG453" s="55">
        <f>IF(AQ453="2",BI453,0)</f>
        <v>0</v>
      </c>
      <c r="AH453" s="55">
        <f>IF(AQ453="0",BJ453,0)</f>
        <v>0</v>
      </c>
      <c r="AI453" s="34" t="s">
        <v>2629</v>
      </c>
      <c r="AJ453" s="55">
        <f>IF(AN453=0,I453,0)</f>
        <v>0</v>
      </c>
      <c r="AK453" s="55">
        <f>IF(AN453=12,I453,0)</f>
        <v>0</v>
      </c>
      <c r="AL453" s="55">
        <f>IF(AN453=21,I453,0)</f>
        <v>0</v>
      </c>
      <c r="AN453" s="55">
        <v>21</v>
      </c>
      <c r="AO453" s="55">
        <f>H453*0.724374449</f>
        <v>0</v>
      </c>
      <c r="AP453" s="55">
        <f>H453*(1-0.724374449)</f>
        <v>0</v>
      </c>
      <c r="AQ453" s="58" t="s">
        <v>125</v>
      </c>
      <c r="AV453" s="55">
        <f>AW453+AX453</f>
        <v>0</v>
      </c>
      <c r="AW453" s="55">
        <f>G453*AO453</f>
        <v>0</v>
      </c>
      <c r="AX453" s="55">
        <f>G453*AP453</f>
        <v>0</v>
      </c>
      <c r="AY453" s="58" t="s">
        <v>1875</v>
      </c>
      <c r="AZ453" s="58" t="s">
        <v>3185</v>
      </c>
      <c r="BA453" s="34" t="s">
        <v>2634</v>
      </c>
      <c r="BC453" s="55">
        <f>AW453+AX453</f>
        <v>0</v>
      </c>
      <c r="BD453" s="55">
        <f>H453/(100-BE453)*100</f>
        <v>0</v>
      </c>
      <c r="BE453" s="55">
        <v>0</v>
      </c>
      <c r="BF453" s="55">
        <f>K453</f>
        <v>0.00855</v>
      </c>
      <c r="BH453" s="55">
        <f>G453*AO453</f>
        <v>0</v>
      </c>
      <c r="BI453" s="55">
        <f>G453*AP453</f>
        <v>0</v>
      </c>
      <c r="BJ453" s="55">
        <f>G453*H453</f>
        <v>0</v>
      </c>
      <c r="BK453" s="55"/>
      <c r="BL453" s="55">
        <v>764</v>
      </c>
      <c r="BW453" s="55">
        <v>21</v>
      </c>
    </row>
    <row r="454" spans="1:12" ht="13.5" customHeight="1">
      <c r="A454" s="59"/>
      <c r="D454" s="218" t="s">
        <v>3439</v>
      </c>
      <c r="E454" s="219"/>
      <c r="F454" s="219"/>
      <c r="G454" s="219"/>
      <c r="H454" s="219"/>
      <c r="I454" s="219"/>
      <c r="J454" s="219"/>
      <c r="K454" s="219"/>
      <c r="L454" s="221"/>
    </row>
    <row r="455" spans="1:12" ht="14.4">
      <c r="A455" s="59"/>
      <c r="D455" s="60" t="s">
        <v>663</v>
      </c>
      <c r="E455" s="60" t="s">
        <v>4</v>
      </c>
      <c r="G455" s="68">
        <v>171</v>
      </c>
      <c r="L455" s="69"/>
    </row>
    <row r="456" spans="1:75" ht="13.5" customHeight="1">
      <c r="A456" s="1" t="s">
        <v>974</v>
      </c>
      <c r="B456" s="2" t="s">
        <v>2629</v>
      </c>
      <c r="C456" s="2" t="s">
        <v>3441</v>
      </c>
      <c r="D456" s="147" t="s">
        <v>3442</v>
      </c>
      <c r="E456" s="148"/>
      <c r="F456" s="2" t="s">
        <v>374</v>
      </c>
      <c r="G456" s="55">
        <f>'Stavební rozpočet-vyplnit'!G1834</f>
        <v>29</v>
      </c>
      <c r="H456" s="55">
        <f>'Stavební rozpočet-vyplnit'!H1834</f>
        <v>0</v>
      </c>
      <c r="I456" s="55">
        <f>G456*H456</f>
        <v>0</v>
      </c>
      <c r="J456" s="55">
        <f>'Stavební rozpočet-vyplnit'!J1834</f>
        <v>5E-05</v>
      </c>
      <c r="K456" s="55">
        <f>G456*J456</f>
        <v>0.0014500000000000001</v>
      </c>
      <c r="L456" s="57" t="s">
        <v>124</v>
      </c>
      <c r="Z456" s="55">
        <f>IF(AQ456="5",BJ456,0)</f>
        <v>0</v>
      </c>
      <c r="AB456" s="55">
        <f>IF(AQ456="1",BH456,0)</f>
        <v>0</v>
      </c>
      <c r="AC456" s="55">
        <f>IF(AQ456="1",BI456,0)</f>
        <v>0</v>
      </c>
      <c r="AD456" s="55">
        <f>IF(AQ456="7",BH456,0)</f>
        <v>0</v>
      </c>
      <c r="AE456" s="55">
        <f>IF(AQ456="7",BI456,0)</f>
        <v>0</v>
      </c>
      <c r="AF456" s="55">
        <f>IF(AQ456="2",BH456,0)</f>
        <v>0</v>
      </c>
      <c r="AG456" s="55">
        <f>IF(AQ456="2",BI456,0)</f>
        <v>0</v>
      </c>
      <c r="AH456" s="55">
        <f>IF(AQ456="0",BJ456,0)</f>
        <v>0</v>
      </c>
      <c r="AI456" s="34" t="s">
        <v>2629</v>
      </c>
      <c r="AJ456" s="55">
        <f>IF(AN456=0,I456,0)</f>
        <v>0</v>
      </c>
      <c r="AK456" s="55">
        <f>IF(AN456=12,I456,0)</f>
        <v>0</v>
      </c>
      <c r="AL456" s="55">
        <f>IF(AN456=21,I456,0)</f>
        <v>0</v>
      </c>
      <c r="AN456" s="55">
        <v>21</v>
      </c>
      <c r="AO456" s="55">
        <f>H456*0.676171844</f>
        <v>0</v>
      </c>
      <c r="AP456" s="55">
        <f>H456*(1-0.676171844)</f>
        <v>0</v>
      </c>
      <c r="AQ456" s="58" t="s">
        <v>125</v>
      </c>
      <c r="AV456" s="55">
        <f>AW456+AX456</f>
        <v>0</v>
      </c>
      <c r="AW456" s="55">
        <f>G456*AO456</f>
        <v>0</v>
      </c>
      <c r="AX456" s="55">
        <f>G456*AP456</f>
        <v>0</v>
      </c>
      <c r="AY456" s="58" t="s">
        <v>1875</v>
      </c>
      <c r="AZ456" s="58" t="s">
        <v>3185</v>
      </c>
      <c r="BA456" s="34" t="s">
        <v>2634</v>
      </c>
      <c r="BC456" s="55">
        <f>AW456+AX456</f>
        <v>0</v>
      </c>
      <c r="BD456" s="55">
        <f>H456/(100-BE456)*100</f>
        <v>0</v>
      </c>
      <c r="BE456" s="55">
        <v>0</v>
      </c>
      <c r="BF456" s="55">
        <f>K456</f>
        <v>0.0014500000000000001</v>
      </c>
      <c r="BH456" s="55">
        <f>G456*AO456</f>
        <v>0</v>
      </c>
      <c r="BI456" s="55">
        <f>G456*AP456</f>
        <v>0</v>
      </c>
      <c r="BJ456" s="55">
        <f>G456*H456</f>
        <v>0</v>
      </c>
      <c r="BK456" s="55"/>
      <c r="BL456" s="55">
        <v>764</v>
      </c>
      <c r="BW456" s="55">
        <v>21</v>
      </c>
    </row>
    <row r="457" spans="1:12" ht="13.5" customHeight="1">
      <c r="A457" s="59"/>
      <c r="D457" s="218" t="s">
        <v>3439</v>
      </c>
      <c r="E457" s="219"/>
      <c r="F457" s="219"/>
      <c r="G457" s="219"/>
      <c r="H457" s="219"/>
      <c r="I457" s="219"/>
      <c r="J457" s="219"/>
      <c r="K457" s="219"/>
      <c r="L457" s="221"/>
    </row>
    <row r="458" spans="1:12" ht="14.4">
      <c r="A458" s="59"/>
      <c r="D458" s="60" t="s">
        <v>211</v>
      </c>
      <c r="E458" s="60" t="s">
        <v>4</v>
      </c>
      <c r="G458" s="68">
        <v>29</v>
      </c>
      <c r="L458" s="69"/>
    </row>
    <row r="459" spans="1:75" ht="13.5" customHeight="1">
      <c r="A459" s="1" t="s">
        <v>979</v>
      </c>
      <c r="B459" s="2" t="s">
        <v>2629</v>
      </c>
      <c r="C459" s="2" t="s">
        <v>3444</v>
      </c>
      <c r="D459" s="147" t="s">
        <v>3445</v>
      </c>
      <c r="E459" s="148"/>
      <c r="F459" s="2" t="s">
        <v>374</v>
      </c>
      <c r="G459" s="55">
        <f>'Stavební rozpočet-vyplnit'!G1837</f>
        <v>4</v>
      </c>
      <c r="H459" s="55">
        <f>'Stavební rozpočet-vyplnit'!H1837</f>
        <v>0</v>
      </c>
      <c r="I459" s="55">
        <f>G459*H459</f>
        <v>0</v>
      </c>
      <c r="J459" s="55">
        <f>'Stavební rozpočet-vyplnit'!J1837</f>
        <v>5E-05</v>
      </c>
      <c r="K459" s="55">
        <f>G459*J459</f>
        <v>0.0002</v>
      </c>
      <c r="L459" s="57" t="s">
        <v>124</v>
      </c>
      <c r="Z459" s="55">
        <f>IF(AQ459="5",BJ459,0)</f>
        <v>0</v>
      </c>
      <c r="AB459" s="55">
        <f>IF(AQ459="1",BH459,0)</f>
        <v>0</v>
      </c>
      <c r="AC459" s="55">
        <f>IF(AQ459="1",BI459,0)</f>
        <v>0</v>
      </c>
      <c r="AD459" s="55">
        <f>IF(AQ459="7",BH459,0)</f>
        <v>0</v>
      </c>
      <c r="AE459" s="55">
        <f>IF(AQ459="7",BI459,0)</f>
        <v>0</v>
      </c>
      <c r="AF459" s="55">
        <f>IF(AQ459="2",BH459,0)</f>
        <v>0</v>
      </c>
      <c r="AG459" s="55">
        <f>IF(AQ459="2",BI459,0)</f>
        <v>0</v>
      </c>
      <c r="AH459" s="55">
        <f>IF(AQ459="0",BJ459,0)</f>
        <v>0</v>
      </c>
      <c r="AI459" s="34" t="s">
        <v>2629</v>
      </c>
      <c r="AJ459" s="55">
        <f>IF(AN459=0,I459,0)</f>
        <v>0</v>
      </c>
      <c r="AK459" s="55">
        <f>IF(AN459=12,I459,0)</f>
        <v>0</v>
      </c>
      <c r="AL459" s="55">
        <f>IF(AN459=21,I459,0)</f>
        <v>0</v>
      </c>
      <c r="AN459" s="55">
        <v>21</v>
      </c>
      <c r="AO459" s="55">
        <f>H459*0.684763076</f>
        <v>0</v>
      </c>
      <c r="AP459" s="55">
        <f>H459*(1-0.684763076)</f>
        <v>0</v>
      </c>
      <c r="AQ459" s="58" t="s">
        <v>125</v>
      </c>
      <c r="AV459" s="55">
        <f>AW459+AX459</f>
        <v>0</v>
      </c>
      <c r="AW459" s="55">
        <f>G459*AO459</f>
        <v>0</v>
      </c>
      <c r="AX459" s="55">
        <f>G459*AP459</f>
        <v>0</v>
      </c>
      <c r="AY459" s="58" t="s">
        <v>1875</v>
      </c>
      <c r="AZ459" s="58" t="s">
        <v>3185</v>
      </c>
      <c r="BA459" s="34" t="s">
        <v>2634</v>
      </c>
      <c r="BC459" s="55">
        <f>AW459+AX459</f>
        <v>0</v>
      </c>
      <c r="BD459" s="55">
        <f>H459/(100-BE459)*100</f>
        <v>0</v>
      </c>
      <c r="BE459" s="55">
        <v>0</v>
      </c>
      <c r="BF459" s="55">
        <f>K459</f>
        <v>0.0002</v>
      </c>
      <c r="BH459" s="55">
        <f>G459*AO459</f>
        <v>0</v>
      </c>
      <c r="BI459" s="55">
        <f>G459*AP459</f>
        <v>0</v>
      </c>
      <c r="BJ459" s="55">
        <f>G459*H459</f>
        <v>0</v>
      </c>
      <c r="BK459" s="55"/>
      <c r="BL459" s="55">
        <v>764</v>
      </c>
      <c r="BW459" s="55">
        <v>21</v>
      </c>
    </row>
    <row r="460" spans="1:12" ht="13.5" customHeight="1">
      <c r="A460" s="59"/>
      <c r="D460" s="218" t="s">
        <v>3439</v>
      </c>
      <c r="E460" s="219"/>
      <c r="F460" s="219"/>
      <c r="G460" s="219"/>
      <c r="H460" s="219"/>
      <c r="I460" s="219"/>
      <c r="J460" s="219"/>
      <c r="K460" s="219"/>
      <c r="L460" s="221"/>
    </row>
    <row r="461" spans="1:12" ht="14.4">
      <c r="A461" s="59"/>
      <c r="D461" s="60" t="s">
        <v>136</v>
      </c>
      <c r="E461" s="60" t="s">
        <v>4</v>
      </c>
      <c r="G461" s="68">
        <v>4</v>
      </c>
      <c r="L461" s="69"/>
    </row>
    <row r="462" spans="1:75" ht="13.5" customHeight="1">
      <c r="A462" s="1" t="s">
        <v>984</v>
      </c>
      <c r="B462" s="2" t="s">
        <v>2629</v>
      </c>
      <c r="C462" s="2" t="s">
        <v>3447</v>
      </c>
      <c r="D462" s="147" t="s">
        <v>3448</v>
      </c>
      <c r="E462" s="148"/>
      <c r="F462" s="2" t="s">
        <v>374</v>
      </c>
      <c r="G462" s="55">
        <f>'Stavební rozpočet-vyplnit'!G1840</f>
        <v>10</v>
      </c>
      <c r="H462" s="55">
        <f>'Stavební rozpočet-vyplnit'!H1840</f>
        <v>0</v>
      </c>
      <c r="I462" s="55">
        <f>G462*H462</f>
        <v>0</v>
      </c>
      <c r="J462" s="55">
        <f>'Stavební rozpočet-vyplnit'!J1840</f>
        <v>5E-05</v>
      </c>
      <c r="K462" s="55">
        <f>G462*J462</f>
        <v>0.0005</v>
      </c>
      <c r="L462" s="57" t="s">
        <v>124</v>
      </c>
      <c r="Z462" s="55">
        <f>IF(AQ462="5",BJ462,0)</f>
        <v>0</v>
      </c>
      <c r="AB462" s="55">
        <f>IF(AQ462="1",BH462,0)</f>
        <v>0</v>
      </c>
      <c r="AC462" s="55">
        <f>IF(AQ462="1",BI462,0)</f>
        <v>0</v>
      </c>
      <c r="AD462" s="55">
        <f>IF(AQ462="7",BH462,0)</f>
        <v>0</v>
      </c>
      <c r="AE462" s="55">
        <f>IF(AQ462="7",BI462,0)</f>
        <v>0</v>
      </c>
      <c r="AF462" s="55">
        <f>IF(AQ462="2",BH462,0)</f>
        <v>0</v>
      </c>
      <c r="AG462" s="55">
        <f>IF(AQ462="2",BI462,0)</f>
        <v>0</v>
      </c>
      <c r="AH462" s="55">
        <f>IF(AQ462="0",BJ462,0)</f>
        <v>0</v>
      </c>
      <c r="AI462" s="34" t="s">
        <v>2629</v>
      </c>
      <c r="AJ462" s="55">
        <f>IF(AN462=0,I462,0)</f>
        <v>0</v>
      </c>
      <c r="AK462" s="55">
        <f>IF(AN462=12,I462,0)</f>
        <v>0</v>
      </c>
      <c r="AL462" s="55">
        <f>IF(AN462=21,I462,0)</f>
        <v>0</v>
      </c>
      <c r="AN462" s="55">
        <v>21</v>
      </c>
      <c r="AO462" s="55">
        <f>H462*0.656130071</f>
        <v>0</v>
      </c>
      <c r="AP462" s="55">
        <f>H462*(1-0.656130071)</f>
        <v>0</v>
      </c>
      <c r="AQ462" s="58" t="s">
        <v>125</v>
      </c>
      <c r="AV462" s="55">
        <f>AW462+AX462</f>
        <v>0</v>
      </c>
      <c r="AW462" s="55">
        <f>G462*AO462</f>
        <v>0</v>
      </c>
      <c r="AX462" s="55">
        <f>G462*AP462</f>
        <v>0</v>
      </c>
      <c r="AY462" s="58" t="s">
        <v>1875</v>
      </c>
      <c r="AZ462" s="58" t="s">
        <v>3185</v>
      </c>
      <c r="BA462" s="34" t="s">
        <v>2634</v>
      </c>
      <c r="BC462" s="55">
        <f>AW462+AX462</f>
        <v>0</v>
      </c>
      <c r="BD462" s="55">
        <f>H462/(100-BE462)*100</f>
        <v>0</v>
      </c>
      <c r="BE462" s="55">
        <v>0</v>
      </c>
      <c r="BF462" s="55">
        <f>K462</f>
        <v>0.0005</v>
      </c>
      <c r="BH462" s="55">
        <f>G462*AO462</f>
        <v>0</v>
      </c>
      <c r="BI462" s="55">
        <f>G462*AP462</f>
        <v>0</v>
      </c>
      <c r="BJ462" s="55">
        <f>G462*H462</f>
        <v>0</v>
      </c>
      <c r="BK462" s="55"/>
      <c r="BL462" s="55">
        <v>764</v>
      </c>
      <c r="BW462" s="55">
        <v>21</v>
      </c>
    </row>
    <row r="463" spans="1:12" ht="13.5" customHeight="1">
      <c r="A463" s="59"/>
      <c r="D463" s="218" t="s">
        <v>3439</v>
      </c>
      <c r="E463" s="219"/>
      <c r="F463" s="219"/>
      <c r="G463" s="219"/>
      <c r="H463" s="219"/>
      <c r="I463" s="219"/>
      <c r="J463" s="219"/>
      <c r="K463" s="219"/>
      <c r="L463" s="221"/>
    </row>
    <row r="464" spans="1:12" ht="14.4">
      <c r="A464" s="59"/>
      <c r="D464" s="60" t="s">
        <v>153</v>
      </c>
      <c r="E464" s="60" t="s">
        <v>4</v>
      </c>
      <c r="G464" s="68">
        <v>10</v>
      </c>
      <c r="L464" s="69"/>
    </row>
    <row r="465" spans="1:75" ht="13.5" customHeight="1">
      <c r="A465" s="1" t="s">
        <v>990</v>
      </c>
      <c r="B465" s="2" t="s">
        <v>2629</v>
      </c>
      <c r="C465" s="2" t="s">
        <v>3450</v>
      </c>
      <c r="D465" s="147" t="s">
        <v>3451</v>
      </c>
      <c r="E465" s="148"/>
      <c r="F465" s="2" t="s">
        <v>374</v>
      </c>
      <c r="G465" s="55">
        <f>'Stavební rozpočet-vyplnit'!G1843</f>
        <v>8</v>
      </c>
      <c r="H465" s="55">
        <f>'Stavební rozpočet-vyplnit'!H1843</f>
        <v>0</v>
      </c>
      <c r="I465" s="55">
        <f>G465*H465</f>
        <v>0</v>
      </c>
      <c r="J465" s="55">
        <f>'Stavební rozpočet-vyplnit'!J1843</f>
        <v>0.00041</v>
      </c>
      <c r="K465" s="55">
        <f>G465*J465</f>
        <v>0.00328</v>
      </c>
      <c r="L465" s="57" t="s">
        <v>785</v>
      </c>
      <c r="Z465" s="55">
        <f>IF(AQ465="5",BJ465,0)</f>
        <v>0</v>
      </c>
      <c r="AB465" s="55">
        <f>IF(AQ465="1",BH465,0)</f>
        <v>0</v>
      </c>
      <c r="AC465" s="55">
        <f>IF(AQ465="1",BI465,0)</f>
        <v>0</v>
      </c>
      <c r="AD465" s="55">
        <f>IF(AQ465="7",BH465,0)</f>
        <v>0</v>
      </c>
      <c r="AE465" s="55">
        <f>IF(AQ465="7",BI465,0)</f>
        <v>0</v>
      </c>
      <c r="AF465" s="55">
        <f>IF(AQ465="2",BH465,0)</f>
        <v>0</v>
      </c>
      <c r="AG465" s="55">
        <f>IF(AQ465="2",BI465,0)</f>
        <v>0</v>
      </c>
      <c r="AH465" s="55">
        <f>IF(AQ465="0",BJ465,0)</f>
        <v>0</v>
      </c>
      <c r="AI465" s="34" t="s">
        <v>2629</v>
      </c>
      <c r="AJ465" s="55">
        <f>IF(AN465=0,I465,0)</f>
        <v>0</v>
      </c>
      <c r="AK465" s="55">
        <f>IF(AN465=12,I465,0)</f>
        <v>0</v>
      </c>
      <c r="AL465" s="55">
        <f>IF(AN465=21,I465,0)</f>
        <v>0</v>
      </c>
      <c r="AN465" s="55">
        <v>21</v>
      </c>
      <c r="AO465" s="55">
        <f>H465*0.807356955</f>
        <v>0</v>
      </c>
      <c r="AP465" s="55">
        <f>H465*(1-0.807356955)</f>
        <v>0</v>
      </c>
      <c r="AQ465" s="58" t="s">
        <v>125</v>
      </c>
      <c r="AV465" s="55">
        <f>AW465+AX465</f>
        <v>0</v>
      </c>
      <c r="AW465" s="55">
        <f>G465*AO465</f>
        <v>0</v>
      </c>
      <c r="AX465" s="55">
        <f>G465*AP465</f>
        <v>0</v>
      </c>
      <c r="AY465" s="58" t="s">
        <v>1875</v>
      </c>
      <c r="AZ465" s="58" t="s">
        <v>3185</v>
      </c>
      <c r="BA465" s="34" t="s">
        <v>2634</v>
      </c>
      <c r="BC465" s="55">
        <f>AW465+AX465</f>
        <v>0</v>
      </c>
      <c r="BD465" s="55">
        <f>H465/(100-BE465)*100</f>
        <v>0</v>
      </c>
      <c r="BE465" s="55">
        <v>0</v>
      </c>
      <c r="BF465" s="55">
        <f>K465</f>
        <v>0.00328</v>
      </c>
      <c r="BH465" s="55">
        <f>G465*AO465</f>
        <v>0</v>
      </c>
      <c r="BI465" s="55">
        <f>G465*AP465</f>
        <v>0</v>
      </c>
      <c r="BJ465" s="55">
        <f>G465*H465</f>
        <v>0</v>
      </c>
      <c r="BK465" s="55"/>
      <c r="BL465" s="55">
        <v>764</v>
      </c>
      <c r="BW465" s="55">
        <v>21</v>
      </c>
    </row>
    <row r="466" spans="1:12" ht="13.5" customHeight="1">
      <c r="A466" s="59"/>
      <c r="D466" s="218" t="s">
        <v>3452</v>
      </c>
      <c r="E466" s="219"/>
      <c r="F466" s="219"/>
      <c r="G466" s="219"/>
      <c r="H466" s="219"/>
      <c r="I466" s="219"/>
      <c r="J466" s="219"/>
      <c r="K466" s="219"/>
      <c r="L466" s="221"/>
    </row>
    <row r="467" spans="1:12" ht="14.4">
      <c r="A467" s="59"/>
      <c r="D467" s="60" t="s">
        <v>147</v>
      </c>
      <c r="E467" s="60" t="s">
        <v>4</v>
      </c>
      <c r="G467" s="68">
        <v>8</v>
      </c>
      <c r="L467" s="69"/>
    </row>
    <row r="468" spans="1:75" ht="27" customHeight="1">
      <c r="A468" s="1" t="s">
        <v>995</v>
      </c>
      <c r="B468" s="2" t="s">
        <v>2629</v>
      </c>
      <c r="C468" s="2" t="s">
        <v>3454</v>
      </c>
      <c r="D468" s="147" t="s">
        <v>3455</v>
      </c>
      <c r="E468" s="148"/>
      <c r="F468" s="2" t="s">
        <v>174</v>
      </c>
      <c r="G468" s="55">
        <f>'Stavební rozpočet-vyplnit'!G1846</f>
        <v>149.1</v>
      </c>
      <c r="H468" s="55">
        <f>'Stavební rozpočet-vyplnit'!H1846</f>
        <v>0</v>
      </c>
      <c r="I468" s="55">
        <f>G468*H468</f>
        <v>0</v>
      </c>
      <c r="J468" s="55">
        <f>'Stavební rozpočet-vyplnit'!J1846</f>
        <v>0.00169</v>
      </c>
      <c r="K468" s="55">
        <f>G468*J468</f>
        <v>0.251979</v>
      </c>
      <c r="L468" s="57" t="s">
        <v>785</v>
      </c>
      <c r="Z468" s="55">
        <f>IF(AQ468="5",BJ468,0)</f>
        <v>0</v>
      </c>
      <c r="AB468" s="55">
        <f>IF(AQ468="1",BH468,0)</f>
        <v>0</v>
      </c>
      <c r="AC468" s="55">
        <f>IF(AQ468="1",BI468,0)</f>
        <v>0</v>
      </c>
      <c r="AD468" s="55">
        <f>IF(AQ468="7",BH468,0)</f>
        <v>0</v>
      </c>
      <c r="AE468" s="55">
        <f>IF(AQ468="7",BI468,0)</f>
        <v>0</v>
      </c>
      <c r="AF468" s="55">
        <f>IF(AQ468="2",BH468,0)</f>
        <v>0</v>
      </c>
      <c r="AG468" s="55">
        <f>IF(AQ468="2",BI468,0)</f>
        <v>0</v>
      </c>
      <c r="AH468" s="55">
        <f>IF(AQ468="0",BJ468,0)</f>
        <v>0</v>
      </c>
      <c r="AI468" s="34" t="s">
        <v>2629</v>
      </c>
      <c r="AJ468" s="55">
        <f>IF(AN468=0,I468,0)</f>
        <v>0</v>
      </c>
      <c r="AK468" s="55">
        <f>IF(AN468=12,I468,0)</f>
        <v>0</v>
      </c>
      <c r="AL468" s="55">
        <f>IF(AN468=21,I468,0)</f>
        <v>0</v>
      </c>
      <c r="AN468" s="55">
        <v>21</v>
      </c>
      <c r="AO468" s="55">
        <f>H468*0.696043592</f>
        <v>0</v>
      </c>
      <c r="AP468" s="55">
        <f>H468*(1-0.696043592)</f>
        <v>0</v>
      </c>
      <c r="AQ468" s="58" t="s">
        <v>125</v>
      </c>
      <c r="AV468" s="55">
        <f>AW468+AX468</f>
        <v>0</v>
      </c>
      <c r="AW468" s="55">
        <f>G468*AO468</f>
        <v>0</v>
      </c>
      <c r="AX468" s="55">
        <f>G468*AP468</f>
        <v>0</v>
      </c>
      <c r="AY468" s="58" t="s">
        <v>1875</v>
      </c>
      <c r="AZ468" s="58" t="s">
        <v>3185</v>
      </c>
      <c r="BA468" s="34" t="s">
        <v>2634</v>
      </c>
      <c r="BC468" s="55">
        <f>AW468+AX468</f>
        <v>0</v>
      </c>
      <c r="BD468" s="55">
        <f>H468/(100-BE468)*100</f>
        <v>0</v>
      </c>
      <c r="BE468" s="55">
        <v>0</v>
      </c>
      <c r="BF468" s="55">
        <f>K468</f>
        <v>0.251979</v>
      </c>
      <c r="BH468" s="55">
        <f>G468*AO468</f>
        <v>0</v>
      </c>
      <c r="BI468" s="55">
        <f>G468*AP468</f>
        <v>0</v>
      </c>
      <c r="BJ468" s="55">
        <f>G468*H468</f>
        <v>0</v>
      </c>
      <c r="BK468" s="55"/>
      <c r="BL468" s="55">
        <v>764</v>
      </c>
      <c r="BW468" s="55">
        <v>21</v>
      </c>
    </row>
    <row r="469" spans="1:12" ht="13.5" customHeight="1">
      <c r="A469" s="59"/>
      <c r="D469" s="218" t="s">
        <v>3456</v>
      </c>
      <c r="E469" s="219"/>
      <c r="F469" s="219"/>
      <c r="G469" s="219"/>
      <c r="H469" s="219"/>
      <c r="I469" s="219"/>
      <c r="J469" s="219"/>
      <c r="K469" s="219"/>
      <c r="L469" s="221"/>
    </row>
    <row r="470" spans="1:12" ht="14.4">
      <c r="A470" s="59"/>
      <c r="D470" s="60" t="s">
        <v>3457</v>
      </c>
      <c r="E470" s="60" t="s">
        <v>4</v>
      </c>
      <c r="G470" s="68">
        <v>149.1</v>
      </c>
      <c r="L470" s="69"/>
    </row>
    <row r="471" spans="1:75" ht="27" customHeight="1">
      <c r="A471" s="1" t="s">
        <v>1000</v>
      </c>
      <c r="B471" s="2" t="s">
        <v>2629</v>
      </c>
      <c r="C471" s="2" t="s">
        <v>3459</v>
      </c>
      <c r="D471" s="147" t="s">
        <v>3460</v>
      </c>
      <c r="E471" s="148"/>
      <c r="F471" s="2" t="s">
        <v>174</v>
      </c>
      <c r="G471" s="55">
        <f>'Stavební rozpočet-vyplnit'!G1849</f>
        <v>121.7</v>
      </c>
      <c r="H471" s="55">
        <f>'Stavební rozpočet-vyplnit'!H1849</f>
        <v>0</v>
      </c>
      <c r="I471" s="55">
        <f>G471*H471</f>
        <v>0</v>
      </c>
      <c r="J471" s="55">
        <f>'Stavební rozpočet-vyplnit'!J1849</f>
        <v>0.00297</v>
      </c>
      <c r="K471" s="55">
        <f>G471*J471</f>
        <v>0.361449</v>
      </c>
      <c r="L471" s="57" t="s">
        <v>785</v>
      </c>
      <c r="Z471" s="55">
        <f>IF(AQ471="5",BJ471,0)</f>
        <v>0</v>
      </c>
      <c r="AB471" s="55">
        <f>IF(AQ471="1",BH471,0)</f>
        <v>0</v>
      </c>
      <c r="AC471" s="55">
        <f>IF(AQ471="1",BI471,0)</f>
        <v>0</v>
      </c>
      <c r="AD471" s="55">
        <f>IF(AQ471="7",BH471,0)</f>
        <v>0</v>
      </c>
      <c r="AE471" s="55">
        <f>IF(AQ471="7",BI471,0)</f>
        <v>0</v>
      </c>
      <c r="AF471" s="55">
        <f>IF(AQ471="2",BH471,0)</f>
        <v>0</v>
      </c>
      <c r="AG471" s="55">
        <f>IF(AQ471="2",BI471,0)</f>
        <v>0</v>
      </c>
      <c r="AH471" s="55">
        <f>IF(AQ471="0",BJ471,0)</f>
        <v>0</v>
      </c>
      <c r="AI471" s="34" t="s">
        <v>2629</v>
      </c>
      <c r="AJ471" s="55">
        <f>IF(AN471=0,I471,0)</f>
        <v>0</v>
      </c>
      <c r="AK471" s="55">
        <f>IF(AN471=12,I471,0)</f>
        <v>0</v>
      </c>
      <c r="AL471" s="55">
        <f>IF(AN471=21,I471,0)</f>
        <v>0</v>
      </c>
      <c r="AN471" s="55">
        <v>21</v>
      </c>
      <c r="AO471" s="55">
        <f>H471*0.767448957</f>
        <v>0</v>
      </c>
      <c r="AP471" s="55">
        <f>H471*(1-0.767448957)</f>
        <v>0</v>
      </c>
      <c r="AQ471" s="58" t="s">
        <v>125</v>
      </c>
      <c r="AV471" s="55">
        <f>AW471+AX471</f>
        <v>0</v>
      </c>
      <c r="AW471" s="55">
        <f>G471*AO471</f>
        <v>0</v>
      </c>
      <c r="AX471" s="55">
        <f>G471*AP471</f>
        <v>0</v>
      </c>
      <c r="AY471" s="58" t="s">
        <v>1875</v>
      </c>
      <c r="AZ471" s="58" t="s">
        <v>3185</v>
      </c>
      <c r="BA471" s="34" t="s">
        <v>2634</v>
      </c>
      <c r="BC471" s="55">
        <f>AW471+AX471</f>
        <v>0</v>
      </c>
      <c r="BD471" s="55">
        <f>H471/(100-BE471)*100</f>
        <v>0</v>
      </c>
      <c r="BE471" s="55">
        <v>0</v>
      </c>
      <c r="BF471" s="55">
        <f>K471</f>
        <v>0.361449</v>
      </c>
      <c r="BH471" s="55">
        <f>G471*AO471</f>
        <v>0</v>
      </c>
      <c r="BI471" s="55">
        <f>G471*AP471</f>
        <v>0</v>
      </c>
      <c r="BJ471" s="55">
        <f>G471*H471</f>
        <v>0</v>
      </c>
      <c r="BK471" s="55"/>
      <c r="BL471" s="55">
        <v>764</v>
      </c>
      <c r="BW471" s="55">
        <v>21</v>
      </c>
    </row>
    <row r="472" spans="1:12" ht="13.5" customHeight="1">
      <c r="A472" s="59"/>
      <c r="D472" s="218" t="s">
        <v>3461</v>
      </c>
      <c r="E472" s="219"/>
      <c r="F472" s="219"/>
      <c r="G472" s="219"/>
      <c r="H472" s="219"/>
      <c r="I472" s="219"/>
      <c r="J472" s="219"/>
      <c r="K472" s="219"/>
      <c r="L472" s="221"/>
    </row>
    <row r="473" spans="1:12" ht="14.4">
      <c r="A473" s="59"/>
      <c r="D473" s="60" t="s">
        <v>3462</v>
      </c>
      <c r="E473" s="60" t="s">
        <v>3463</v>
      </c>
      <c r="G473" s="68">
        <v>104.5</v>
      </c>
      <c r="L473" s="69"/>
    </row>
    <row r="474" spans="1:12" ht="14.4">
      <c r="A474" s="59"/>
      <c r="D474" s="60" t="s">
        <v>3464</v>
      </c>
      <c r="E474" s="60" t="s">
        <v>3465</v>
      </c>
      <c r="G474" s="68">
        <v>16.2</v>
      </c>
      <c r="L474" s="69"/>
    </row>
    <row r="475" spans="1:12" ht="14.4">
      <c r="A475" s="59"/>
      <c r="D475" s="60" t="s">
        <v>120</v>
      </c>
      <c r="E475" s="60" t="s">
        <v>3466</v>
      </c>
      <c r="G475" s="68">
        <v>1</v>
      </c>
      <c r="L475" s="69"/>
    </row>
    <row r="476" spans="1:75" ht="13.5" customHeight="1">
      <c r="A476" s="1" t="s">
        <v>1004</v>
      </c>
      <c r="B476" s="2" t="s">
        <v>2629</v>
      </c>
      <c r="C476" s="2" t="s">
        <v>3468</v>
      </c>
      <c r="D476" s="147" t="s">
        <v>3469</v>
      </c>
      <c r="E476" s="148"/>
      <c r="F476" s="2" t="s">
        <v>374</v>
      </c>
      <c r="G476" s="55">
        <f>'Stavební rozpočet-vyplnit'!G1854</f>
        <v>2</v>
      </c>
      <c r="H476" s="55">
        <f>'Stavební rozpočet-vyplnit'!H1854</f>
        <v>0</v>
      </c>
      <c r="I476" s="55">
        <f>G476*H476</f>
        <v>0</v>
      </c>
      <c r="J476" s="55">
        <f>'Stavební rozpočet-vyplnit'!J1854</f>
        <v>0.00036</v>
      </c>
      <c r="K476" s="55">
        <f>G476*J476</f>
        <v>0.00072</v>
      </c>
      <c r="L476" s="57" t="s">
        <v>785</v>
      </c>
      <c r="Z476" s="55">
        <f>IF(AQ476="5",BJ476,0)</f>
        <v>0</v>
      </c>
      <c r="AB476" s="55">
        <f>IF(AQ476="1",BH476,0)</f>
        <v>0</v>
      </c>
      <c r="AC476" s="55">
        <f>IF(AQ476="1",BI476,0)</f>
        <v>0</v>
      </c>
      <c r="AD476" s="55">
        <f>IF(AQ476="7",BH476,0)</f>
        <v>0</v>
      </c>
      <c r="AE476" s="55">
        <f>IF(AQ476="7",BI476,0)</f>
        <v>0</v>
      </c>
      <c r="AF476" s="55">
        <f>IF(AQ476="2",BH476,0)</f>
        <v>0</v>
      </c>
      <c r="AG476" s="55">
        <f>IF(AQ476="2",BI476,0)</f>
        <v>0</v>
      </c>
      <c r="AH476" s="55">
        <f>IF(AQ476="0",BJ476,0)</f>
        <v>0</v>
      </c>
      <c r="AI476" s="34" t="s">
        <v>2629</v>
      </c>
      <c r="AJ476" s="55">
        <f>IF(AN476=0,I476,0)</f>
        <v>0</v>
      </c>
      <c r="AK476" s="55">
        <f>IF(AN476=12,I476,0)</f>
        <v>0</v>
      </c>
      <c r="AL476" s="55">
        <f>IF(AN476=21,I476,0)</f>
        <v>0</v>
      </c>
      <c r="AN476" s="55">
        <v>21</v>
      </c>
      <c r="AO476" s="55">
        <f>H476*0.680046948</f>
        <v>0</v>
      </c>
      <c r="AP476" s="55">
        <f>H476*(1-0.680046948)</f>
        <v>0</v>
      </c>
      <c r="AQ476" s="58" t="s">
        <v>125</v>
      </c>
      <c r="AV476" s="55">
        <f>AW476+AX476</f>
        <v>0</v>
      </c>
      <c r="AW476" s="55">
        <f>G476*AO476</f>
        <v>0</v>
      </c>
      <c r="AX476" s="55">
        <f>G476*AP476</f>
        <v>0</v>
      </c>
      <c r="AY476" s="58" t="s">
        <v>1875</v>
      </c>
      <c r="AZ476" s="58" t="s">
        <v>3185</v>
      </c>
      <c r="BA476" s="34" t="s">
        <v>2634</v>
      </c>
      <c r="BC476" s="55">
        <f>AW476+AX476</f>
        <v>0</v>
      </c>
      <c r="BD476" s="55">
        <f>H476/(100-BE476)*100</f>
        <v>0</v>
      </c>
      <c r="BE476" s="55">
        <v>0</v>
      </c>
      <c r="BF476" s="55">
        <f>K476</f>
        <v>0.00072</v>
      </c>
      <c r="BH476" s="55">
        <f>G476*AO476</f>
        <v>0</v>
      </c>
      <c r="BI476" s="55">
        <f>G476*AP476</f>
        <v>0</v>
      </c>
      <c r="BJ476" s="55">
        <f>G476*H476</f>
        <v>0</v>
      </c>
      <c r="BK476" s="55"/>
      <c r="BL476" s="55">
        <v>764</v>
      </c>
      <c r="BW476" s="55">
        <v>21</v>
      </c>
    </row>
    <row r="477" spans="1:12" ht="13.5" customHeight="1">
      <c r="A477" s="59"/>
      <c r="D477" s="218" t="s">
        <v>3470</v>
      </c>
      <c r="E477" s="219"/>
      <c r="F477" s="219"/>
      <c r="G477" s="219"/>
      <c r="H477" s="219"/>
      <c r="I477" s="219"/>
      <c r="J477" s="219"/>
      <c r="K477" s="219"/>
      <c r="L477" s="221"/>
    </row>
    <row r="478" spans="1:12" ht="14.4">
      <c r="A478" s="59"/>
      <c r="D478" s="60" t="s">
        <v>130</v>
      </c>
      <c r="E478" s="60" t="s">
        <v>4</v>
      </c>
      <c r="G478" s="68">
        <v>2</v>
      </c>
      <c r="L478" s="69"/>
    </row>
    <row r="479" spans="1:75" ht="27" customHeight="1">
      <c r="A479" s="1" t="s">
        <v>1009</v>
      </c>
      <c r="B479" s="2" t="s">
        <v>2629</v>
      </c>
      <c r="C479" s="2" t="s">
        <v>3472</v>
      </c>
      <c r="D479" s="147" t="s">
        <v>3473</v>
      </c>
      <c r="E479" s="148"/>
      <c r="F479" s="2" t="s">
        <v>174</v>
      </c>
      <c r="G479" s="55">
        <f>'Stavební rozpočet-vyplnit'!G1857</f>
        <v>31.3</v>
      </c>
      <c r="H479" s="55">
        <f>'Stavební rozpočet-vyplnit'!H1857</f>
        <v>0</v>
      </c>
      <c r="I479" s="55">
        <f>G479*H479</f>
        <v>0</v>
      </c>
      <c r="J479" s="55">
        <f>'Stavební rozpočet-vyplnit'!J1857</f>
        <v>0.00121</v>
      </c>
      <c r="K479" s="55">
        <f>G479*J479</f>
        <v>0.037873</v>
      </c>
      <c r="L479" s="57" t="s">
        <v>785</v>
      </c>
      <c r="Z479" s="55">
        <f>IF(AQ479="5",BJ479,0)</f>
        <v>0</v>
      </c>
      <c r="AB479" s="55">
        <f>IF(AQ479="1",BH479,0)</f>
        <v>0</v>
      </c>
      <c r="AC479" s="55">
        <f>IF(AQ479="1",BI479,0)</f>
        <v>0</v>
      </c>
      <c r="AD479" s="55">
        <f>IF(AQ479="7",BH479,0)</f>
        <v>0</v>
      </c>
      <c r="AE479" s="55">
        <f>IF(AQ479="7",BI479,0)</f>
        <v>0</v>
      </c>
      <c r="AF479" s="55">
        <f>IF(AQ479="2",BH479,0)</f>
        <v>0</v>
      </c>
      <c r="AG479" s="55">
        <f>IF(AQ479="2",BI479,0)</f>
        <v>0</v>
      </c>
      <c r="AH479" s="55">
        <f>IF(AQ479="0",BJ479,0)</f>
        <v>0</v>
      </c>
      <c r="AI479" s="34" t="s">
        <v>2629</v>
      </c>
      <c r="AJ479" s="55">
        <f>IF(AN479=0,I479,0)</f>
        <v>0</v>
      </c>
      <c r="AK479" s="55">
        <f>IF(AN479=12,I479,0)</f>
        <v>0</v>
      </c>
      <c r="AL479" s="55">
        <f>IF(AN479=21,I479,0)</f>
        <v>0</v>
      </c>
      <c r="AN479" s="55">
        <v>21</v>
      </c>
      <c r="AO479" s="55">
        <f>H479*0.638270422</f>
        <v>0</v>
      </c>
      <c r="AP479" s="55">
        <f>H479*(1-0.638270422)</f>
        <v>0</v>
      </c>
      <c r="AQ479" s="58" t="s">
        <v>125</v>
      </c>
      <c r="AV479" s="55">
        <f>AW479+AX479</f>
        <v>0</v>
      </c>
      <c r="AW479" s="55">
        <f>G479*AO479</f>
        <v>0</v>
      </c>
      <c r="AX479" s="55">
        <f>G479*AP479</f>
        <v>0</v>
      </c>
      <c r="AY479" s="58" t="s">
        <v>1875</v>
      </c>
      <c r="AZ479" s="58" t="s">
        <v>3185</v>
      </c>
      <c r="BA479" s="34" t="s">
        <v>2634</v>
      </c>
      <c r="BC479" s="55">
        <f>AW479+AX479</f>
        <v>0</v>
      </c>
      <c r="BD479" s="55">
        <f>H479/(100-BE479)*100</f>
        <v>0</v>
      </c>
      <c r="BE479" s="55">
        <v>0</v>
      </c>
      <c r="BF479" s="55">
        <f>K479</f>
        <v>0.037873</v>
      </c>
      <c r="BH479" s="55">
        <f>G479*AO479</f>
        <v>0</v>
      </c>
      <c r="BI479" s="55">
        <f>G479*AP479</f>
        <v>0</v>
      </c>
      <c r="BJ479" s="55">
        <f>G479*H479</f>
        <v>0</v>
      </c>
      <c r="BK479" s="55"/>
      <c r="BL479" s="55">
        <v>764</v>
      </c>
      <c r="BW479" s="55">
        <v>21</v>
      </c>
    </row>
    <row r="480" spans="1:12" ht="13.5" customHeight="1">
      <c r="A480" s="59"/>
      <c r="D480" s="218" t="s">
        <v>3474</v>
      </c>
      <c r="E480" s="219"/>
      <c r="F480" s="219"/>
      <c r="G480" s="219"/>
      <c r="H480" s="219"/>
      <c r="I480" s="219"/>
      <c r="J480" s="219"/>
      <c r="K480" s="219"/>
      <c r="L480" s="221"/>
    </row>
    <row r="481" spans="1:12" ht="14.4">
      <c r="A481" s="59"/>
      <c r="D481" s="60" t="s">
        <v>3475</v>
      </c>
      <c r="E481" s="60" t="s">
        <v>4</v>
      </c>
      <c r="G481" s="68">
        <v>31.3</v>
      </c>
      <c r="L481" s="69"/>
    </row>
    <row r="482" spans="1:75" ht="27" customHeight="1">
      <c r="A482" s="1" t="s">
        <v>1013</v>
      </c>
      <c r="B482" s="2" t="s">
        <v>2629</v>
      </c>
      <c r="C482" s="2" t="s">
        <v>3477</v>
      </c>
      <c r="D482" s="147" t="s">
        <v>3478</v>
      </c>
      <c r="E482" s="148"/>
      <c r="F482" s="2" t="s">
        <v>174</v>
      </c>
      <c r="G482" s="55">
        <f>'Stavební rozpočet-vyplnit'!G1860</f>
        <v>7.9</v>
      </c>
      <c r="H482" s="55">
        <f>'Stavební rozpočet-vyplnit'!H1860</f>
        <v>0</v>
      </c>
      <c r="I482" s="55">
        <f>G482*H482</f>
        <v>0</v>
      </c>
      <c r="J482" s="55">
        <f>'Stavební rozpočet-vyplnit'!J1860</f>
        <v>0.00267</v>
      </c>
      <c r="K482" s="55">
        <f>G482*J482</f>
        <v>0.021093</v>
      </c>
      <c r="L482" s="57" t="s">
        <v>785</v>
      </c>
      <c r="Z482" s="55">
        <f>IF(AQ482="5",BJ482,0)</f>
        <v>0</v>
      </c>
      <c r="AB482" s="55">
        <f>IF(AQ482="1",BH482,0)</f>
        <v>0</v>
      </c>
      <c r="AC482" s="55">
        <f>IF(AQ482="1",BI482,0)</f>
        <v>0</v>
      </c>
      <c r="AD482" s="55">
        <f>IF(AQ482="7",BH482,0)</f>
        <v>0</v>
      </c>
      <c r="AE482" s="55">
        <f>IF(AQ482="7",BI482,0)</f>
        <v>0</v>
      </c>
      <c r="AF482" s="55">
        <f>IF(AQ482="2",BH482,0)</f>
        <v>0</v>
      </c>
      <c r="AG482" s="55">
        <f>IF(AQ482="2",BI482,0)</f>
        <v>0</v>
      </c>
      <c r="AH482" s="55">
        <f>IF(AQ482="0",BJ482,0)</f>
        <v>0</v>
      </c>
      <c r="AI482" s="34" t="s">
        <v>2629</v>
      </c>
      <c r="AJ482" s="55">
        <f>IF(AN482=0,I482,0)</f>
        <v>0</v>
      </c>
      <c r="AK482" s="55">
        <f>IF(AN482=12,I482,0)</f>
        <v>0</v>
      </c>
      <c r="AL482" s="55">
        <f>IF(AN482=21,I482,0)</f>
        <v>0</v>
      </c>
      <c r="AN482" s="55">
        <v>21</v>
      </c>
      <c r="AO482" s="55">
        <f>H482*0.871153358</f>
        <v>0</v>
      </c>
      <c r="AP482" s="55">
        <f>H482*(1-0.871153358)</f>
        <v>0</v>
      </c>
      <c r="AQ482" s="58" t="s">
        <v>125</v>
      </c>
      <c r="AV482" s="55">
        <f>AW482+AX482</f>
        <v>0</v>
      </c>
      <c r="AW482" s="55">
        <f>G482*AO482</f>
        <v>0</v>
      </c>
      <c r="AX482" s="55">
        <f>G482*AP482</f>
        <v>0</v>
      </c>
      <c r="AY482" s="58" t="s">
        <v>1875</v>
      </c>
      <c r="AZ482" s="58" t="s">
        <v>3185</v>
      </c>
      <c r="BA482" s="34" t="s">
        <v>2634</v>
      </c>
      <c r="BC482" s="55">
        <f>AW482+AX482</f>
        <v>0</v>
      </c>
      <c r="BD482" s="55">
        <f>H482/(100-BE482)*100</f>
        <v>0</v>
      </c>
      <c r="BE482" s="55">
        <v>0</v>
      </c>
      <c r="BF482" s="55">
        <f>K482</f>
        <v>0.021093</v>
      </c>
      <c r="BH482" s="55">
        <f>G482*AO482</f>
        <v>0</v>
      </c>
      <c r="BI482" s="55">
        <f>G482*AP482</f>
        <v>0</v>
      </c>
      <c r="BJ482" s="55">
        <f>G482*H482</f>
        <v>0</v>
      </c>
      <c r="BK482" s="55"/>
      <c r="BL482" s="55">
        <v>764</v>
      </c>
      <c r="BW482" s="55">
        <v>21</v>
      </c>
    </row>
    <row r="483" spans="1:12" ht="13.5" customHeight="1">
      <c r="A483" s="59"/>
      <c r="D483" s="218" t="s">
        <v>3479</v>
      </c>
      <c r="E483" s="219"/>
      <c r="F483" s="219"/>
      <c r="G483" s="219"/>
      <c r="H483" s="219"/>
      <c r="I483" s="219"/>
      <c r="J483" s="219"/>
      <c r="K483" s="219"/>
      <c r="L483" s="221"/>
    </row>
    <row r="484" spans="1:12" ht="14.4">
      <c r="A484" s="59"/>
      <c r="D484" s="60" t="s">
        <v>3480</v>
      </c>
      <c r="E484" s="60" t="s">
        <v>3463</v>
      </c>
      <c r="G484" s="68">
        <v>6.7</v>
      </c>
      <c r="L484" s="69"/>
    </row>
    <row r="485" spans="1:12" ht="14.4">
      <c r="A485" s="59"/>
      <c r="D485" s="60" t="s">
        <v>3481</v>
      </c>
      <c r="E485" s="60" t="s">
        <v>3465</v>
      </c>
      <c r="G485" s="68">
        <v>1.2</v>
      </c>
      <c r="L485" s="69"/>
    </row>
    <row r="486" spans="1:75" ht="13.5" customHeight="1">
      <c r="A486" s="1" t="s">
        <v>1018</v>
      </c>
      <c r="B486" s="2" t="s">
        <v>2629</v>
      </c>
      <c r="C486" s="2" t="s">
        <v>3483</v>
      </c>
      <c r="D486" s="147" t="s">
        <v>3484</v>
      </c>
      <c r="E486" s="148"/>
      <c r="F486" s="2" t="s">
        <v>374</v>
      </c>
      <c r="G486" s="55">
        <f>'Stavební rozpočet-vyplnit'!G1864</f>
        <v>6</v>
      </c>
      <c r="H486" s="55">
        <f>'Stavební rozpočet-vyplnit'!H1864</f>
        <v>0</v>
      </c>
      <c r="I486" s="55">
        <f>G486*H486</f>
        <v>0</v>
      </c>
      <c r="J486" s="55">
        <f>'Stavební rozpočet-vyplnit'!J1864</f>
        <v>0</v>
      </c>
      <c r="K486" s="55">
        <f>G486*J486</f>
        <v>0</v>
      </c>
      <c r="L486" s="57" t="s">
        <v>785</v>
      </c>
      <c r="Z486" s="55">
        <f>IF(AQ486="5",BJ486,0)</f>
        <v>0</v>
      </c>
      <c r="AB486" s="55">
        <f>IF(AQ486="1",BH486,0)</f>
        <v>0</v>
      </c>
      <c r="AC486" s="55">
        <f>IF(AQ486="1",BI486,0)</f>
        <v>0</v>
      </c>
      <c r="AD486" s="55">
        <f>IF(AQ486="7",BH486,0)</f>
        <v>0</v>
      </c>
      <c r="AE486" s="55">
        <f>IF(AQ486="7",BI486,0)</f>
        <v>0</v>
      </c>
      <c r="AF486" s="55">
        <f>IF(AQ486="2",BH486,0)</f>
        <v>0</v>
      </c>
      <c r="AG486" s="55">
        <f>IF(AQ486="2",BI486,0)</f>
        <v>0</v>
      </c>
      <c r="AH486" s="55">
        <f>IF(AQ486="0",BJ486,0)</f>
        <v>0</v>
      </c>
      <c r="AI486" s="34" t="s">
        <v>2629</v>
      </c>
      <c r="AJ486" s="55">
        <f>IF(AN486=0,I486,0)</f>
        <v>0</v>
      </c>
      <c r="AK486" s="55">
        <f>IF(AN486=12,I486,0)</f>
        <v>0</v>
      </c>
      <c r="AL486" s="55">
        <f>IF(AN486=21,I486,0)</f>
        <v>0</v>
      </c>
      <c r="AN486" s="55">
        <v>21</v>
      </c>
      <c r="AO486" s="55">
        <f>H486*0.957126681</f>
        <v>0</v>
      </c>
      <c r="AP486" s="55">
        <f>H486*(1-0.957126681)</f>
        <v>0</v>
      </c>
      <c r="AQ486" s="58" t="s">
        <v>125</v>
      </c>
      <c r="AV486" s="55">
        <f>AW486+AX486</f>
        <v>0</v>
      </c>
      <c r="AW486" s="55">
        <f>G486*AO486</f>
        <v>0</v>
      </c>
      <c r="AX486" s="55">
        <f>G486*AP486</f>
        <v>0</v>
      </c>
      <c r="AY486" s="58" t="s">
        <v>1875</v>
      </c>
      <c r="AZ486" s="58" t="s">
        <v>3185</v>
      </c>
      <c r="BA486" s="34" t="s">
        <v>2634</v>
      </c>
      <c r="BC486" s="55">
        <f>AW486+AX486</f>
        <v>0</v>
      </c>
      <c r="BD486" s="55">
        <f>H486/(100-BE486)*100</f>
        <v>0</v>
      </c>
      <c r="BE486" s="55">
        <v>0</v>
      </c>
      <c r="BF486" s="55">
        <f>K486</f>
        <v>0</v>
      </c>
      <c r="BH486" s="55">
        <f>G486*AO486</f>
        <v>0</v>
      </c>
      <c r="BI486" s="55">
        <f>G486*AP486</f>
        <v>0</v>
      </c>
      <c r="BJ486" s="55">
        <f>G486*H486</f>
        <v>0</v>
      </c>
      <c r="BK486" s="55"/>
      <c r="BL486" s="55">
        <v>764</v>
      </c>
      <c r="BW486" s="55">
        <v>21</v>
      </c>
    </row>
    <row r="487" spans="1:12" ht="13.5" customHeight="1">
      <c r="A487" s="59"/>
      <c r="D487" s="218" t="s">
        <v>3485</v>
      </c>
      <c r="E487" s="219"/>
      <c r="F487" s="219"/>
      <c r="G487" s="219"/>
      <c r="H487" s="219"/>
      <c r="I487" s="219"/>
      <c r="J487" s="219"/>
      <c r="K487" s="219"/>
      <c r="L487" s="221"/>
    </row>
    <row r="488" spans="1:12" ht="14.4">
      <c r="A488" s="59"/>
      <c r="D488" s="60" t="s">
        <v>142</v>
      </c>
      <c r="E488" s="60" t="s">
        <v>4</v>
      </c>
      <c r="G488" s="68">
        <v>6</v>
      </c>
      <c r="L488" s="69"/>
    </row>
    <row r="489" spans="1:75" ht="13.5" customHeight="1">
      <c r="A489" s="1" t="s">
        <v>1023</v>
      </c>
      <c r="B489" s="2" t="s">
        <v>2629</v>
      </c>
      <c r="C489" s="2" t="s">
        <v>3487</v>
      </c>
      <c r="D489" s="147" t="s">
        <v>3488</v>
      </c>
      <c r="E489" s="148"/>
      <c r="F489" s="2" t="s">
        <v>374</v>
      </c>
      <c r="G489" s="55">
        <f>'Stavební rozpočet-vyplnit'!G1867</f>
        <v>2</v>
      </c>
      <c r="H489" s="55">
        <f>'Stavební rozpočet-vyplnit'!H1867</f>
        <v>0</v>
      </c>
      <c r="I489" s="55">
        <f>G489*H489</f>
        <v>0</v>
      </c>
      <c r="J489" s="55">
        <f>'Stavební rozpočet-vyplnit'!J1867</f>
        <v>0.00081</v>
      </c>
      <c r="K489" s="55">
        <f>G489*J489</f>
        <v>0.00162</v>
      </c>
      <c r="L489" s="57" t="s">
        <v>124</v>
      </c>
      <c r="Z489" s="55">
        <f>IF(AQ489="5",BJ489,0)</f>
        <v>0</v>
      </c>
      <c r="AB489" s="55">
        <f>IF(AQ489="1",BH489,0)</f>
        <v>0</v>
      </c>
      <c r="AC489" s="55">
        <f>IF(AQ489="1",BI489,0)</f>
        <v>0</v>
      </c>
      <c r="AD489" s="55">
        <f>IF(AQ489="7",BH489,0)</f>
        <v>0</v>
      </c>
      <c r="AE489" s="55">
        <f>IF(AQ489="7",BI489,0)</f>
        <v>0</v>
      </c>
      <c r="AF489" s="55">
        <f>IF(AQ489="2",BH489,0)</f>
        <v>0</v>
      </c>
      <c r="AG489" s="55">
        <f>IF(AQ489="2",BI489,0)</f>
        <v>0</v>
      </c>
      <c r="AH489" s="55">
        <f>IF(AQ489="0",BJ489,0)</f>
        <v>0</v>
      </c>
      <c r="AI489" s="34" t="s">
        <v>2629</v>
      </c>
      <c r="AJ489" s="55">
        <f>IF(AN489=0,I489,0)</f>
        <v>0</v>
      </c>
      <c r="AK489" s="55">
        <f>IF(AN489=12,I489,0)</f>
        <v>0</v>
      </c>
      <c r="AL489" s="55">
        <f>IF(AN489=21,I489,0)</f>
        <v>0</v>
      </c>
      <c r="AN489" s="55">
        <v>21</v>
      </c>
      <c r="AO489" s="55">
        <f>H489*0.966292135</f>
        <v>0</v>
      </c>
      <c r="AP489" s="55">
        <f>H489*(1-0.966292135)</f>
        <v>0</v>
      </c>
      <c r="AQ489" s="58" t="s">
        <v>125</v>
      </c>
      <c r="AV489" s="55">
        <f>AW489+AX489</f>
        <v>0</v>
      </c>
      <c r="AW489" s="55">
        <f>G489*AO489</f>
        <v>0</v>
      </c>
      <c r="AX489" s="55">
        <f>G489*AP489</f>
        <v>0</v>
      </c>
      <c r="AY489" s="58" t="s">
        <v>1875</v>
      </c>
      <c r="AZ489" s="58" t="s">
        <v>3185</v>
      </c>
      <c r="BA489" s="34" t="s">
        <v>2634</v>
      </c>
      <c r="BC489" s="55">
        <f>AW489+AX489</f>
        <v>0</v>
      </c>
      <c r="BD489" s="55">
        <f>H489/(100-BE489)*100</f>
        <v>0</v>
      </c>
      <c r="BE489" s="55">
        <v>0</v>
      </c>
      <c r="BF489" s="55">
        <f>K489</f>
        <v>0.00162</v>
      </c>
      <c r="BH489" s="55">
        <f>G489*AO489</f>
        <v>0</v>
      </c>
      <c r="BI489" s="55">
        <f>G489*AP489</f>
        <v>0</v>
      </c>
      <c r="BJ489" s="55">
        <f>G489*H489</f>
        <v>0</v>
      </c>
      <c r="BK489" s="55"/>
      <c r="BL489" s="55">
        <v>764</v>
      </c>
      <c r="BW489" s="55">
        <v>21</v>
      </c>
    </row>
    <row r="490" spans="1:12" ht="14.4">
      <c r="A490" s="59"/>
      <c r="D490" s="60" t="s">
        <v>130</v>
      </c>
      <c r="E490" s="60" t="s">
        <v>4</v>
      </c>
      <c r="G490" s="68">
        <v>2</v>
      </c>
      <c r="L490" s="69"/>
    </row>
    <row r="491" spans="1:75" ht="13.5" customHeight="1">
      <c r="A491" s="1" t="s">
        <v>1030</v>
      </c>
      <c r="B491" s="2" t="s">
        <v>2629</v>
      </c>
      <c r="C491" s="2" t="s">
        <v>3490</v>
      </c>
      <c r="D491" s="147" t="s">
        <v>3491</v>
      </c>
      <c r="E491" s="148"/>
      <c r="F491" s="2" t="s">
        <v>374</v>
      </c>
      <c r="G491" s="55">
        <f>'Stavební rozpočet-vyplnit'!G1869</f>
        <v>2</v>
      </c>
      <c r="H491" s="55">
        <f>'Stavební rozpočet-vyplnit'!H1869</f>
        <v>0</v>
      </c>
      <c r="I491" s="55">
        <f>G491*H491</f>
        <v>0</v>
      </c>
      <c r="J491" s="55">
        <f>'Stavební rozpočet-vyplnit'!J1869</f>
        <v>0.00081</v>
      </c>
      <c r="K491" s="55">
        <f>G491*J491</f>
        <v>0.00162</v>
      </c>
      <c r="L491" s="57" t="s">
        <v>124</v>
      </c>
      <c r="Z491" s="55">
        <f>IF(AQ491="5",BJ491,0)</f>
        <v>0</v>
      </c>
      <c r="AB491" s="55">
        <f>IF(AQ491="1",BH491,0)</f>
        <v>0</v>
      </c>
      <c r="AC491" s="55">
        <f>IF(AQ491="1",BI491,0)</f>
        <v>0</v>
      </c>
      <c r="AD491" s="55">
        <f>IF(AQ491="7",BH491,0)</f>
        <v>0</v>
      </c>
      <c r="AE491" s="55">
        <f>IF(AQ491="7",BI491,0)</f>
        <v>0</v>
      </c>
      <c r="AF491" s="55">
        <f>IF(AQ491="2",BH491,0)</f>
        <v>0</v>
      </c>
      <c r="AG491" s="55">
        <f>IF(AQ491="2",BI491,0)</f>
        <v>0</v>
      </c>
      <c r="AH491" s="55">
        <f>IF(AQ491="0",BJ491,0)</f>
        <v>0</v>
      </c>
      <c r="AI491" s="34" t="s">
        <v>2629</v>
      </c>
      <c r="AJ491" s="55">
        <f>IF(AN491=0,I491,0)</f>
        <v>0</v>
      </c>
      <c r="AK491" s="55">
        <f>IF(AN491=12,I491,0)</f>
        <v>0</v>
      </c>
      <c r="AL491" s="55">
        <f>IF(AN491=21,I491,0)</f>
        <v>0</v>
      </c>
      <c r="AN491" s="55">
        <v>21</v>
      </c>
      <c r="AO491" s="55">
        <f>H491*0.966292135</f>
        <v>0</v>
      </c>
      <c r="AP491" s="55">
        <f>H491*(1-0.966292135)</f>
        <v>0</v>
      </c>
      <c r="AQ491" s="58" t="s">
        <v>125</v>
      </c>
      <c r="AV491" s="55">
        <f>AW491+AX491</f>
        <v>0</v>
      </c>
      <c r="AW491" s="55">
        <f>G491*AO491</f>
        <v>0</v>
      </c>
      <c r="AX491" s="55">
        <f>G491*AP491</f>
        <v>0</v>
      </c>
      <c r="AY491" s="58" t="s">
        <v>1875</v>
      </c>
      <c r="AZ491" s="58" t="s">
        <v>3185</v>
      </c>
      <c r="BA491" s="34" t="s">
        <v>2634</v>
      </c>
      <c r="BC491" s="55">
        <f>AW491+AX491</f>
        <v>0</v>
      </c>
      <c r="BD491" s="55">
        <f>H491/(100-BE491)*100</f>
        <v>0</v>
      </c>
      <c r="BE491" s="55">
        <v>0</v>
      </c>
      <c r="BF491" s="55">
        <f>K491</f>
        <v>0.00162</v>
      </c>
      <c r="BH491" s="55">
        <f>G491*AO491</f>
        <v>0</v>
      </c>
      <c r="BI491" s="55">
        <f>G491*AP491</f>
        <v>0</v>
      </c>
      <c r="BJ491" s="55">
        <f>G491*H491</f>
        <v>0</v>
      </c>
      <c r="BK491" s="55"/>
      <c r="BL491" s="55">
        <v>764</v>
      </c>
      <c r="BW491" s="55">
        <v>21</v>
      </c>
    </row>
    <row r="492" spans="1:12" ht="14.4">
      <c r="A492" s="59"/>
      <c r="D492" s="60" t="s">
        <v>130</v>
      </c>
      <c r="E492" s="60" t="s">
        <v>4</v>
      </c>
      <c r="G492" s="68">
        <v>2</v>
      </c>
      <c r="L492" s="69"/>
    </row>
    <row r="493" spans="1:75" ht="13.5" customHeight="1">
      <c r="A493" s="1" t="s">
        <v>1035</v>
      </c>
      <c r="B493" s="2" t="s">
        <v>2629</v>
      </c>
      <c r="C493" s="2" t="s">
        <v>3493</v>
      </c>
      <c r="D493" s="147" t="s">
        <v>3494</v>
      </c>
      <c r="E493" s="148"/>
      <c r="F493" s="2" t="s">
        <v>374</v>
      </c>
      <c r="G493" s="55">
        <f>'Stavební rozpočet-vyplnit'!G1871</f>
        <v>4</v>
      </c>
      <c r="H493" s="55">
        <f>'Stavební rozpočet-vyplnit'!H1871</f>
        <v>0</v>
      </c>
      <c r="I493" s="55">
        <f>G493*H493</f>
        <v>0</v>
      </c>
      <c r="J493" s="55">
        <f>'Stavební rozpočet-vyplnit'!J1871</f>
        <v>0.00081</v>
      </c>
      <c r="K493" s="55">
        <f>G493*J493</f>
        <v>0.00324</v>
      </c>
      <c r="L493" s="57" t="s">
        <v>124</v>
      </c>
      <c r="Z493" s="55">
        <f>IF(AQ493="5",BJ493,0)</f>
        <v>0</v>
      </c>
      <c r="AB493" s="55">
        <f>IF(AQ493="1",BH493,0)</f>
        <v>0</v>
      </c>
      <c r="AC493" s="55">
        <f>IF(AQ493="1",BI493,0)</f>
        <v>0</v>
      </c>
      <c r="AD493" s="55">
        <f>IF(AQ493="7",BH493,0)</f>
        <v>0</v>
      </c>
      <c r="AE493" s="55">
        <f>IF(AQ493="7",BI493,0)</f>
        <v>0</v>
      </c>
      <c r="AF493" s="55">
        <f>IF(AQ493="2",BH493,0)</f>
        <v>0</v>
      </c>
      <c r="AG493" s="55">
        <f>IF(AQ493="2",BI493,0)</f>
        <v>0</v>
      </c>
      <c r="AH493" s="55">
        <f>IF(AQ493="0",BJ493,0)</f>
        <v>0</v>
      </c>
      <c r="AI493" s="34" t="s">
        <v>2629</v>
      </c>
      <c r="AJ493" s="55">
        <f>IF(AN493=0,I493,0)</f>
        <v>0</v>
      </c>
      <c r="AK493" s="55">
        <f>IF(AN493=12,I493,0)</f>
        <v>0</v>
      </c>
      <c r="AL493" s="55">
        <f>IF(AN493=21,I493,0)</f>
        <v>0</v>
      </c>
      <c r="AN493" s="55">
        <v>21</v>
      </c>
      <c r="AO493" s="55">
        <f>H493*0.966292135</f>
        <v>0</v>
      </c>
      <c r="AP493" s="55">
        <f>H493*(1-0.966292135)</f>
        <v>0</v>
      </c>
      <c r="AQ493" s="58" t="s">
        <v>125</v>
      </c>
      <c r="AV493" s="55">
        <f>AW493+AX493</f>
        <v>0</v>
      </c>
      <c r="AW493" s="55">
        <f>G493*AO493</f>
        <v>0</v>
      </c>
      <c r="AX493" s="55">
        <f>G493*AP493</f>
        <v>0</v>
      </c>
      <c r="AY493" s="58" t="s">
        <v>1875</v>
      </c>
      <c r="AZ493" s="58" t="s">
        <v>3185</v>
      </c>
      <c r="BA493" s="34" t="s">
        <v>2634</v>
      </c>
      <c r="BC493" s="55">
        <f>AW493+AX493</f>
        <v>0</v>
      </c>
      <c r="BD493" s="55">
        <f>H493/(100-BE493)*100</f>
        <v>0</v>
      </c>
      <c r="BE493" s="55">
        <v>0</v>
      </c>
      <c r="BF493" s="55">
        <f>K493</f>
        <v>0.00324</v>
      </c>
      <c r="BH493" s="55">
        <f>G493*AO493</f>
        <v>0</v>
      </c>
      <c r="BI493" s="55">
        <f>G493*AP493</f>
        <v>0</v>
      </c>
      <c r="BJ493" s="55">
        <f>G493*H493</f>
        <v>0</v>
      </c>
      <c r="BK493" s="55"/>
      <c r="BL493" s="55">
        <v>764</v>
      </c>
      <c r="BW493" s="55">
        <v>21</v>
      </c>
    </row>
    <row r="494" spans="1:12" ht="14.4">
      <c r="A494" s="59"/>
      <c r="D494" s="60" t="s">
        <v>136</v>
      </c>
      <c r="E494" s="60" t="s">
        <v>4</v>
      </c>
      <c r="G494" s="68">
        <v>4</v>
      </c>
      <c r="L494" s="69"/>
    </row>
    <row r="495" spans="1:75" ht="13.5" customHeight="1">
      <c r="A495" s="1" t="s">
        <v>1038</v>
      </c>
      <c r="B495" s="2" t="s">
        <v>2629</v>
      </c>
      <c r="C495" s="2" t="s">
        <v>3496</v>
      </c>
      <c r="D495" s="147" t="s">
        <v>3497</v>
      </c>
      <c r="E495" s="148"/>
      <c r="F495" s="2" t="s">
        <v>374</v>
      </c>
      <c r="G495" s="55">
        <f>'Stavební rozpočet-vyplnit'!G1873</f>
        <v>2</v>
      </c>
      <c r="H495" s="55">
        <f>'Stavební rozpočet-vyplnit'!H1873</f>
        <v>0</v>
      </c>
      <c r="I495" s="55">
        <f>G495*H495</f>
        <v>0</v>
      </c>
      <c r="J495" s="55">
        <f>'Stavební rozpočet-vyplnit'!J1873</f>
        <v>0.00081</v>
      </c>
      <c r="K495" s="55">
        <f>G495*J495</f>
        <v>0.00162</v>
      </c>
      <c r="L495" s="57" t="s">
        <v>124</v>
      </c>
      <c r="Z495" s="55">
        <f>IF(AQ495="5",BJ495,0)</f>
        <v>0</v>
      </c>
      <c r="AB495" s="55">
        <f>IF(AQ495="1",BH495,0)</f>
        <v>0</v>
      </c>
      <c r="AC495" s="55">
        <f>IF(AQ495="1",BI495,0)</f>
        <v>0</v>
      </c>
      <c r="AD495" s="55">
        <f>IF(AQ495="7",BH495,0)</f>
        <v>0</v>
      </c>
      <c r="AE495" s="55">
        <f>IF(AQ495="7",BI495,0)</f>
        <v>0</v>
      </c>
      <c r="AF495" s="55">
        <f>IF(AQ495="2",BH495,0)</f>
        <v>0</v>
      </c>
      <c r="AG495" s="55">
        <f>IF(AQ495="2",BI495,0)</f>
        <v>0</v>
      </c>
      <c r="AH495" s="55">
        <f>IF(AQ495="0",BJ495,0)</f>
        <v>0</v>
      </c>
      <c r="AI495" s="34" t="s">
        <v>2629</v>
      </c>
      <c r="AJ495" s="55">
        <f>IF(AN495=0,I495,0)</f>
        <v>0</v>
      </c>
      <c r="AK495" s="55">
        <f>IF(AN495=12,I495,0)</f>
        <v>0</v>
      </c>
      <c r="AL495" s="55">
        <f>IF(AN495=21,I495,0)</f>
        <v>0</v>
      </c>
      <c r="AN495" s="55">
        <v>21</v>
      </c>
      <c r="AO495" s="55">
        <f>H495*0.967032967</f>
        <v>0</v>
      </c>
      <c r="AP495" s="55">
        <f>H495*(1-0.967032967)</f>
        <v>0</v>
      </c>
      <c r="AQ495" s="58" t="s">
        <v>125</v>
      </c>
      <c r="AV495" s="55">
        <f>AW495+AX495</f>
        <v>0</v>
      </c>
      <c r="AW495" s="55">
        <f>G495*AO495</f>
        <v>0</v>
      </c>
      <c r="AX495" s="55">
        <f>G495*AP495</f>
        <v>0</v>
      </c>
      <c r="AY495" s="58" t="s">
        <v>1875</v>
      </c>
      <c r="AZ495" s="58" t="s">
        <v>3185</v>
      </c>
      <c r="BA495" s="34" t="s">
        <v>2634</v>
      </c>
      <c r="BC495" s="55">
        <f>AW495+AX495</f>
        <v>0</v>
      </c>
      <c r="BD495" s="55">
        <f>H495/(100-BE495)*100</f>
        <v>0</v>
      </c>
      <c r="BE495" s="55">
        <v>0</v>
      </c>
      <c r="BF495" s="55">
        <f>K495</f>
        <v>0.00162</v>
      </c>
      <c r="BH495" s="55">
        <f>G495*AO495</f>
        <v>0</v>
      </c>
      <c r="BI495" s="55">
        <f>G495*AP495</f>
        <v>0</v>
      </c>
      <c r="BJ495" s="55">
        <f>G495*H495</f>
        <v>0</v>
      </c>
      <c r="BK495" s="55"/>
      <c r="BL495" s="55">
        <v>764</v>
      </c>
      <c r="BW495" s="55">
        <v>21</v>
      </c>
    </row>
    <row r="496" spans="1:12" ht="14.4">
      <c r="A496" s="59"/>
      <c r="D496" s="60" t="s">
        <v>130</v>
      </c>
      <c r="E496" s="60" t="s">
        <v>4</v>
      </c>
      <c r="G496" s="68">
        <v>2</v>
      </c>
      <c r="L496" s="69"/>
    </row>
    <row r="497" spans="1:75" ht="13.5" customHeight="1">
      <c r="A497" s="1" t="s">
        <v>1041</v>
      </c>
      <c r="B497" s="2" t="s">
        <v>2629</v>
      </c>
      <c r="C497" s="2" t="s">
        <v>3499</v>
      </c>
      <c r="D497" s="147" t="s">
        <v>3500</v>
      </c>
      <c r="E497" s="148"/>
      <c r="F497" s="2" t="s">
        <v>374</v>
      </c>
      <c r="G497" s="55">
        <f>'Stavební rozpočet-vyplnit'!G1875</f>
        <v>1</v>
      </c>
      <c r="H497" s="55">
        <f>'Stavební rozpočet-vyplnit'!H1875</f>
        <v>0</v>
      </c>
      <c r="I497" s="55">
        <f>G497*H497</f>
        <v>0</v>
      </c>
      <c r="J497" s="55">
        <f>'Stavební rozpočet-vyplnit'!J1875</f>
        <v>0.00081</v>
      </c>
      <c r="K497" s="55">
        <f>G497*J497</f>
        <v>0.00081</v>
      </c>
      <c r="L497" s="57" t="s">
        <v>124</v>
      </c>
      <c r="Z497" s="55">
        <f>IF(AQ497="5",BJ497,0)</f>
        <v>0</v>
      </c>
      <c r="AB497" s="55">
        <f>IF(AQ497="1",BH497,0)</f>
        <v>0</v>
      </c>
      <c r="AC497" s="55">
        <f>IF(AQ497="1",BI497,0)</f>
        <v>0</v>
      </c>
      <c r="AD497" s="55">
        <f>IF(AQ497="7",BH497,0)</f>
        <v>0</v>
      </c>
      <c r="AE497" s="55">
        <f>IF(AQ497="7",BI497,0)</f>
        <v>0</v>
      </c>
      <c r="AF497" s="55">
        <f>IF(AQ497="2",BH497,0)</f>
        <v>0</v>
      </c>
      <c r="AG497" s="55">
        <f>IF(AQ497="2",BI497,0)</f>
        <v>0</v>
      </c>
      <c r="AH497" s="55">
        <f>IF(AQ497="0",BJ497,0)</f>
        <v>0</v>
      </c>
      <c r="AI497" s="34" t="s">
        <v>2629</v>
      </c>
      <c r="AJ497" s="55">
        <f>IF(AN497=0,I497,0)</f>
        <v>0</v>
      </c>
      <c r="AK497" s="55">
        <f>IF(AN497=12,I497,0)</f>
        <v>0</v>
      </c>
      <c r="AL497" s="55">
        <f>IF(AN497=21,I497,0)</f>
        <v>0</v>
      </c>
      <c r="AN497" s="55">
        <v>21</v>
      </c>
      <c r="AO497" s="55">
        <f>H497*0.974789916</f>
        <v>0</v>
      </c>
      <c r="AP497" s="55">
        <f>H497*(1-0.974789916)</f>
        <v>0</v>
      </c>
      <c r="AQ497" s="58" t="s">
        <v>125</v>
      </c>
      <c r="AV497" s="55">
        <f>AW497+AX497</f>
        <v>0</v>
      </c>
      <c r="AW497" s="55">
        <f>G497*AO497</f>
        <v>0</v>
      </c>
      <c r="AX497" s="55">
        <f>G497*AP497</f>
        <v>0</v>
      </c>
      <c r="AY497" s="58" t="s">
        <v>1875</v>
      </c>
      <c r="AZ497" s="58" t="s">
        <v>3185</v>
      </c>
      <c r="BA497" s="34" t="s">
        <v>2634</v>
      </c>
      <c r="BC497" s="55">
        <f>AW497+AX497</f>
        <v>0</v>
      </c>
      <c r="BD497" s="55">
        <f>H497/(100-BE497)*100</f>
        <v>0</v>
      </c>
      <c r="BE497" s="55">
        <v>0</v>
      </c>
      <c r="BF497" s="55">
        <f>K497</f>
        <v>0.00081</v>
      </c>
      <c r="BH497" s="55">
        <f>G497*AO497</f>
        <v>0</v>
      </c>
      <c r="BI497" s="55">
        <f>G497*AP497</f>
        <v>0</v>
      </c>
      <c r="BJ497" s="55">
        <f>G497*H497</f>
        <v>0</v>
      </c>
      <c r="BK497" s="55"/>
      <c r="BL497" s="55">
        <v>764</v>
      </c>
      <c r="BW497" s="55">
        <v>21</v>
      </c>
    </row>
    <row r="498" spans="1:12" ht="14.4">
      <c r="A498" s="59"/>
      <c r="D498" s="60" t="s">
        <v>120</v>
      </c>
      <c r="E498" s="60" t="s">
        <v>4</v>
      </c>
      <c r="G498" s="68">
        <v>1</v>
      </c>
      <c r="L498" s="69"/>
    </row>
    <row r="499" spans="1:75" ht="13.5" customHeight="1">
      <c r="A499" s="1" t="s">
        <v>1045</v>
      </c>
      <c r="B499" s="2" t="s">
        <v>2629</v>
      </c>
      <c r="C499" s="2" t="s">
        <v>3502</v>
      </c>
      <c r="D499" s="147" t="s">
        <v>3503</v>
      </c>
      <c r="E499" s="148"/>
      <c r="F499" s="2" t="s">
        <v>374</v>
      </c>
      <c r="G499" s="55">
        <f>'Stavební rozpočet-vyplnit'!G1877</f>
        <v>2</v>
      </c>
      <c r="H499" s="55">
        <f>'Stavební rozpočet-vyplnit'!H1877</f>
        <v>0</v>
      </c>
      <c r="I499" s="55">
        <f>G499*H499</f>
        <v>0</v>
      </c>
      <c r="J499" s="55">
        <f>'Stavební rozpočet-vyplnit'!J1877</f>
        <v>0.00081</v>
      </c>
      <c r="K499" s="55">
        <f>G499*J499</f>
        <v>0.00162</v>
      </c>
      <c r="L499" s="57" t="s">
        <v>124</v>
      </c>
      <c r="Z499" s="55">
        <f>IF(AQ499="5",BJ499,0)</f>
        <v>0</v>
      </c>
      <c r="AB499" s="55">
        <f>IF(AQ499="1",BH499,0)</f>
        <v>0</v>
      </c>
      <c r="AC499" s="55">
        <f>IF(AQ499="1",BI499,0)</f>
        <v>0</v>
      </c>
      <c r="AD499" s="55">
        <f>IF(AQ499="7",BH499,0)</f>
        <v>0</v>
      </c>
      <c r="AE499" s="55">
        <f>IF(AQ499="7",BI499,0)</f>
        <v>0</v>
      </c>
      <c r="AF499" s="55">
        <f>IF(AQ499="2",BH499,0)</f>
        <v>0</v>
      </c>
      <c r="AG499" s="55">
        <f>IF(AQ499="2",BI499,0)</f>
        <v>0</v>
      </c>
      <c r="AH499" s="55">
        <f>IF(AQ499="0",BJ499,0)</f>
        <v>0</v>
      </c>
      <c r="AI499" s="34" t="s">
        <v>2629</v>
      </c>
      <c r="AJ499" s="55">
        <f>IF(AN499=0,I499,0)</f>
        <v>0</v>
      </c>
      <c r="AK499" s="55">
        <f>IF(AN499=12,I499,0)</f>
        <v>0</v>
      </c>
      <c r="AL499" s="55">
        <f>IF(AN499=21,I499,0)</f>
        <v>0</v>
      </c>
      <c r="AN499" s="55">
        <v>21</v>
      </c>
      <c r="AO499" s="55">
        <f>H499*0.971631206</f>
        <v>0</v>
      </c>
      <c r="AP499" s="55">
        <f>H499*(1-0.971631206)</f>
        <v>0</v>
      </c>
      <c r="AQ499" s="58" t="s">
        <v>125</v>
      </c>
      <c r="AV499" s="55">
        <f>AW499+AX499</f>
        <v>0</v>
      </c>
      <c r="AW499" s="55">
        <f>G499*AO499</f>
        <v>0</v>
      </c>
      <c r="AX499" s="55">
        <f>G499*AP499</f>
        <v>0</v>
      </c>
      <c r="AY499" s="58" t="s">
        <v>1875</v>
      </c>
      <c r="AZ499" s="58" t="s">
        <v>3185</v>
      </c>
      <c r="BA499" s="34" t="s">
        <v>2634</v>
      </c>
      <c r="BC499" s="55">
        <f>AW499+AX499</f>
        <v>0</v>
      </c>
      <c r="BD499" s="55">
        <f>H499/(100-BE499)*100</f>
        <v>0</v>
      </c>
      <c r="BE499" s="55">
        <v>0</v>
      </c>
      <c r="BF499" s="55">
        <f>K499</f>
        <v>0.00162</v>
      </c>
      <c r="BH499" s="55">
        <f>G499*AO499</f>
        <v>0</v>
      </c>
      <c r="BI499" s="55">
        <f>G499*AP499</f>
        <v>0</v>
      </c>
      <c r="BJ499" s="55">
        <f>G499*H499</f>
        <v>0</v>
      </c>
      <c r="BK499" s="55"/>
      <c r="BL499" s="55">
        <v>764</v>
      </c>
      <c r="BW499" s="55">
        <v>21</v>
      </c>
    </row>
    <row r="500" spans="1:12" ht="14.4">
      <c r="A500" s="59"/>
      <c r="D500" s="60" t="s">
        <v>130</v>
      </c>
      <c r="E500" s="60" t="s">
        <v>4</v>
      </c>
      <c r="G500" s="68">
        <v>2</v>
      </c>
      <c r="L500" s="69"/>
    </row>
    <row r="501" spans="1:75" ht="13.5" customHeight="1">
      <c r="A501" s="1" t="s">
        <v>1048</v>
      </c>
      <c r="B501" s="2" t="s">
        <v>2629</v>
      </c>
      <c r="C501" s="2" t="s">
        <v>3505</v>
      </c>
      <c r="D501" s="147" t="s">
        <v>3506</v>
      </c>
      <c r="E501" s="148"/>
      <c r="F501" s="2" t="s">
        <v>374</v>
      </c>
      <c r="G501" s="55">
        <f>'Stavební rozpočet-vyplnit'!G1879</f>
        <v>2</v>
      </c>
      <c r="H501" s="55">
        <f>'Stavební rozpočet-vyplnit'!H1879</f>
        <v>0</v>
      </c>
      <c r="I501" s="55">
        <f>G501*H501</f>
        <v>0</v>
      </c>
      <c r="J501" s="55">
        <f>'Stavební rozpočet-vyplnit'!J1879</f>
        <v>0.00081</v>
      </c>
      <c r="K501" s="55">
        <f>G501*J501</f>
        <v>0.00162</v>
      </c>
      <c r="L501" s="57" t="s">
        <v>124</v>
      </c>
      <c r="Z501" s="55">
        <f>IF(AQ501="5",BJ501,0)</f>
        <v>0</v>
      </c>
      <c r="AB501" s="55">
        <f>IF(AQ501="1",BH501,0)</f>
        <v>0</v>
      </c>
      <c r="AC501" s="55">
        <f>IF(AQ501="1",BI501,0)</f>
        <v>0</v>
      </c>
      <c r="AD501" s="55">
        <f>IF(AQ501="7",BH501,0)</f>
        <v>0</v>
      </c>
      <c r="AE501" s="55">
        <f>IF(AQ501="7",BI501,0)</f>
        <v>0</v>
      </c>
      <c r="AF501" s="55">
        <f>IF(AQ501="2",BH501,0)</f>
        <v>0</v>
      </c>
      <c r="AG501" s="55">
        <f>IF(AQ501="2",BI501,0)</f>
        <v>0</v>
      </c>
      <c r="AH501" s="55">
        <f>IF(AQ501="0",BJ501,0)</f>
        <v>0</v>
      </c>
      <c r="AI501" s="34" t="s">
        <v>2629</v>
      </c>
      <c r="AJ501" s="55">
        <f>IF(AN501=0,I501,0)</f>
        <v>0</v>
      </c>
      <c r="AK501" s="55">
        <f>IF(AN501=12,I501,0)</f>
        <v>0</v>
      </c>
      <c r="AL501" s="55">
        <f>IF(AN501=21,I501,0)</f>
        <v>0</v>
      </c>
      <c r="AN501" s="55">
        <v>21</v>
      </c>
      <c r="AO501" s="55">
        <f>H501*0.789473684</f>
        <v>0</v>
      </c>
      <c r="AP501" s="55">
        <f>H501*(1-0.789473684)</f>
        <v>0</v>
      </c>
      <c r="AQ501" s="58" t="s">
        <v>125</v>
      </c>
      <c r="AV501" s="55">
        <f>AW501+AX501</f>
        <v>0</v>
      </c>
      <c r="AW501" s="55">
        <f>G501*AO501</f>
        <v>0</v>
      </c>
      <c r="AX501" s="55">
        <f>G501*AP501</f>
        <v>0</v>
      </c>
      <c r="AY501" s="58" t="s">
        <v>1875</v>
      </c>
      <c r="AZ501" s="58" t="s">
        <v>3185</v>
      </c>
      <c r="BA501" s="34" t="s">
        <v>2634</v>
      </c>
      <c r="BC501" s="55">
        <f>AW501+AX501</f>
        <v>0</v>
      </c>
      <c r="BD501" s="55">
        <f>H501/(100-BE501)*100</f>
        <v>0</v>
      </c>
      <c r="BE501" s="55">
        <v>0</v>
      </c>
      <c r="BF501" s="55">
        <f>K501</f>
        <v>0.00162</v>
      </c>
      <c r="BH501" s="55">
        <f>G501*AO501</f>
        <v>0</v>
      </c>
      <c r="BI501" s="55">
        <f>G501*AP501</f>
        <v>0</v>
      </c>
      <c r="BJ501" s="55">
        <f>G501*H501</f>
        <v>0</v>
      </c>
      <c r="BK501" s="55"/>
      <c r="BL501" s="55">
        <v>764</v>
      </c>
      <c r="BW501" s="55">
        <v>21</v>
      </c>
    </row>
    <row r="502" spans="1:12" ht="14.4">
      <c r="A502" s="59"/>
      <c r="D502" s="60" t="s">
        <v>130</v>
      </c>
      <c r="E502" s="60" t="s">
        <v>4</v>
      </c>
      <c r="G502" s="68">
        <v>2</v>
      </c>
      <c r="L502" s="69"/>
    </row>
    <row r="503" spans="1:75" ht="13.5" customHeight="1">
      <c r="A503" s="1" t="s">
        <v>1051</v>
      </c>
      <c r="B503" s="2" t="s">
        <v>2629</v>
      </c>
      <c r="C503" s="2" t="s">
        <v>3508</v>
      </c>
      <c r="D503" s="147" t="s">
        <v>3509</v>
      </c>
      <c r="E503" s="148"/>
      <c r="F503" s="2" t="s">
        <v>374</v>
      </c>
      <c r="G503" s="55">
        <f>'Stavební rozpočet-vyplnit'!G1881</f>
        <v>5</v>
      </c>
      <c r="H503" s="55">
        <f>'Stavební rozpočet-vyplnit'!H1881</f>
        <v>0</v>
      </c>
      <c r="I503" s="55">
        <f>G503*H503</f>
        <v>0</v>
      </c>
      <c r="J503" s="55">
        <f>'Stavební rozpočet-vyplnit'!J1881</f>
        <v>0.00081</v>
      </c>
      <c r="K503" s="55">
        <f>G503*J503</f>
        <v>0.00405</v>
      </c>
      <c r="L503" s="57" t="s">
        <v>124</v>
      </c>
      <c r="Z503" s="55">
        <f>IF(AQ503="5",BJ503,0)</f>
        <v>0</v>
      </c>
      <c r="AB503" s="55">
        <f>IF(AQ503="1",BH503,0)</f>
        <v>0</v>
      </c>
      <c r="AC503" s="55">
        <f>IF(AQ503="1",BI503,0)</f>
        <v>0</v>
      </c>
      <c r="AD503" s="55">
        <f>IF(AQ503="7",BH503,0)</f>
        <v>0</v>
      </c>
      <c r="AE503" s="55">
        <f>IF(AQ503="7",BI503,0)</f>
        <v>0</v>
      </c>
      <c r="AF503" s="55">
        <f>IF(AQ503="2",BH503,0)</f>
        <v>0</v>
      </c>
      <c r="AG503" s="55">
        <f>IF(AQ503="2",BI503,0)</f>
        <v>0</v>
      </c>
      <c r="AH503" s="55">
        <f>IF(AQ503="0",BJ503,0)</f>
        <v>0</v>
      </c>
      <c r="AI503" s="34" t="s">
        <v>2629</v>
      </c>
      <c r="AJ503" s="55">
        <f>IF(AN503=0,I503,0)</f>
        <v>0</v>
      </c>
      <c r="AK503" s="55">
        <f>IF(AN503=12,I503,0)</f>
        <v>0</v>
      </c>
      <c r="AL503" s="55">
        <f>IF(AN503=21,I503,0)</f>
        <v>0</v>
      </c>
      <c r="AN503" s="55">
        <v>21</v>
      </c>
      <c r="AO503" s="55">
        <f>H503*0.945454545</f>
        <v>0</v>
      </c>
      <c r="AP503" s="55">
        <f>H503*(1-0.945454545)</f>
        <v>0</v>
      </c>
      <c r="AQ503" s="58" t="s">
        <v>125</v>
      </c>
      <c r="AV503" s="55">
        <f>AW503+AX503</f>
        <v>0</v>
      </c>
      <c r="AW503" s="55">
        <f>G503*AO503</f>
        <v>0</v>
      </c>
      <c r="AX503" s="55">
        <f>G503*AP503</f>
        <v>0</v>
      </c>
      <c r="AY503" s="58" t="s">
        <v>1875</v>
      </c>
      <c r="AZ503" s="58" t="s">
        <v>3185</v>
      </c>
      <c r="BA503" s="34" t="s">
        <v>2634</v>
      </c>
      <c r="BC503" s="55">
        <f>AW503+AX503</f>
        <v>0</v>
      </c>
      <c r="BD503" s="55">
        <f>H503/(100-BE503)*100</f>
        <v>0</v>
      </c>
      <c r="BE503" s="55">
        <v>0</v>
      </c>
      <c r="BF503" s="55">
        <f>K503</f>
        <v>0.00405</v>
      </c>
      <c r="BH503" s="55">
        <f>G503*AO503</f>
        <v>0</v>
      </c>
      <c r="BI503" s="55">
        <f>G503*AP503</f>
        <v>0</v>
      </c>
      <c r="BJ503" s="55">
        <f>G503*H503</f>
        <v>0</v>
      </c>
      <c r="BK503" s="55"/>
      <c r="BL503" s="55">
        <v>764</v>
      </c>
      <c r="BW503" s="55">
        <v>21</v>
      </c>
    </row>
    <row r="504" spans="1:12" ht="13.5" customHeight="1">
      <c r="A504" s="59"/>
      <c r="D504" s="218" t="s">
        <v>3510</v>
      </c>
      <c r="E504" s="219"/>
      <c r="F504" s="219"/>
      <c r="G504" s="219"/>
      <c r="H504" s="219"/>
      <c r="I504" s="219"/>
      <c r="J504" s="219"/>
      <c r="K504" s="219"/>
      <c r="L504" s="221"/>
    </row>
    <row r="505" spans="1:12" ht="14.4">
      <c r="A505" s="59"/>
      <c r="D505" s="60" t="s">
        <v>139</v>
      </c>
      <c r="E505" s="60" t="s">
        <v>4</v>
      </c>
      <c r="G505" s="68">
        <v>5</v>
      </c>
      <c r="L505" s="69"/>
    </row>
    <row r="506" spans="1:75" ht="13.5" customHeight="1">
      <c r="A506" s="1" t="s">
        <v>1054</v>
      </c>
      <c r="B506" s="2" t="s">
        <v>2629</v>
      </c>
      <c r="C506" s="2" t="s">
        <v>3512</v>
      </c>
      <c r="D506" s="147" t="s">
        <v>3513</v>
      </c>
      <c r="E506" s="148"/>
      <c r="F506" s="2" t="s">
        <v>374</v>
      </c>
      <c r="G506" s="55">
        <f>'Stavební rozpočet-vyplnit'!G1884</f>
        <v>1</v>
      </c>
      <c r="H506" s="55">
        <f>'Stavební rozpočet-vyplnit'!H1884</f>
        <v>0</v>
      </c>
      <c r="I506" s="55">
        <f>G506*H506</f>
        <v>0</v>
      </c>
      <c r="J506" s="55">
        <f>'Stavební rozpočet-vyplnit'!J1884</f>
        <v>0.00181</v>
      </c>
      <c r="K506" s="55">
        <f>G506*J506</f>
        <v>0.00181</v>
      </c>
      <c r="L506" s="57" t="s">
        <v>3514</v>
      </c>
      <c r="Z506" s="55">
        <f>IF(AQ506="5",BJ506,0)</f>
        <v>0</v>
      </c>
      <c r="AB506" s="55">
        <f>IF(AQ506="1",BH506,0)</f>
        <v>0</v>
      </c>
      <c r="AC506" s="55">
        <f>IF(AQ506="1",BI506,0)</f>
        <v>0</v>
      </c>
      <c r="AD506" s="55">
        <f>IF(AQ506="7",BH506,0)</f>
        <v>0</v>
      </c>
      <c r="AE506" s="55">
        <f>IF(AQ506="7",BI506,0)</f>
        <v>0</v>
      </c>
      <c r="AF506" s="55">
        <f>IF(AQ506="2",BH506,0)</f>
        <v>0</v>
      </c>
      <c r="AG506" s="55">
        <f>IF(AQ506="2",BI506,0)</f>
        <v>0</v>
      </c>
      <c r="AH506" s="55">
        <f>IF(AQ506="0",BJ506,0)</f>
        <v>0</v>
      </c>
      <c r="AI506" s="34" t="s">
        <v>2629</v>
      </c>
      <c r="AJ506" s="55">
        <f>IF(AN506=0,I506,0)</f>
        <v>0</v>
      </c>
      <c r="AK506" s="55">
        <f>IF(AN506=12,I506,0)</f>
        <v>0</v>
      </c>
      <c r="AL506" s="55">
        <f>IF(AN506=21,I506,0)</f>
        <v>0</v>
      </c>
      <c r="AN506" s="55">
        <v>21</v>
      </c>
      <c r="AO506" s="55">
        <f>H506*0.709812109</f>
        <v>0</v>
      </c>
      <c r="AP506" s="55">
        <f>H506*(1-0.709812109)</f>
        <v>0</v>
      </c>
      <c r="AQ506" s="58" t="s">
        <v>125</v>
      </c>
      <c r="AV506" s="55">
        <f>AW506+AX506</f>
        <v>0</v>
      </c>
      <c r="AW506" s="55">
        <f>G506*AO506</f>
        <v>0</v>
      </c>
      <c r="AX506" s="55">
        <f>G506*AP506</f>
        <v>0</v>
      </c>
      <c r="AY506" s="58" t="s">
        <v>1875</v>
      </c>
      <c r="AZ506" s="58" t="s">
        <v>3185</v>
      </c>
      <c r="BA506" s="34" t="s">
        <v>2634</v>
      </c>
      <c r="BC506" s="55">
        <f>AW506+AX506</f>
        <v>0</v>
      </c>
      <c r="BD506" s="55">
        <f>H506/(100-BE506)*100</f>
        <v>0</v>
      </c>
      <c r="BE506" s="55">
        <v>0</v>
      </c>
      <c r="BF506" s="55">
        <f>K506</f>
        <v>0.00181</v>
      </c>
      <c r="BH506" s="55">
        <f>G506*AO506</f>
        <v>0</v>
      </c>
      <c r="BI506" s="55">
        <f>G506*AP506</f>
        <v>0</v>
      </c>
      <c r="BJ506" s="55">
        <f>G506*H506</f>
        <v>0</v>
      </c>
      <c r="BK506" s="55"/>
      <c r="BL506" s="55">
        <v>764</v>
      </c>
      <c r="BW506" s="55">
        <v>21</v>
      </c>
    </row>
    <row r="507" spans="1:12" ht="13.5" customHeight="1">
      <c r="A507" s="59"/>
      <c r="D507" s="218" t="s">
        <v>3515</v>
      </c>
      <c r="E507" s="219"/>
      <c r="F507" s="219"/>
      <c r="G507" s="219"/>
      <c r="H507" s="219"/>
      <c r="I507" s="219"/>
      <c r="J507" s="219"/>
      <c r="K507" s="219"/>
      <c r="L507" s="221"/>
    </row>
    <row r="508" spans="1:12" ht="14.4">
      <c r="A508" s="76"/>
      <c r="D508" s="77" t="s">
        <v>120</v>
      </c>
      <c r="E508" s="77" t="s">
        <v>4</v>
      </c>
      <c r="G508" s="78">
        <v>1</v>
      </c>
      <c r="L508" s="79"/>
    </row>
    <row r="509" spans="1:75" ht="13.5" customHeight="1">
      <c r="A509" s="80" t="s">
        <v>1058</v>
      </c>
      <c r="B509" s="81" t="s">
        <v>2629</v>
      </c>
      <c r="C509" s="81" t="s">
        <v>3517</v>
      </c>
      <c r="D509" s="226" t="s">
        <v>3518</v>
      </c>
      <c r="E509" s="227"/>
      <c r="F509" s="81" t="s">
        <v>374</v>
      </c>
      <c r="G509" s="82">
        <f>'Stavební rozpočet-vyplnit'!G1887</f>
        <v>37</v>
      </c>
      <c r="H509" s="82">
        <f>'Stavební rozpočet-vyplnit'!H1887</f>
        <v>0</v>
      </c>
      <c r="I509" s="82">
        <f>G509*H509</f>
        <v>0</v>
      </c>
      <c r="J509" s="82">
        <f>'Stavební rozpočet-vyplnit'!J1887</f>
        <v>0.0025</v>
      </c>
      <c r="K509" s="82">
        <f>G509*J509</f>
        <v>0.0925</v>
      </c>
      <c r="L509" s="84" t="s">
        <v>124</v>
      </c>
      <c r="Z509" s="55">
        <f>IF(AQ509="5",BJ509,0)</f>
        <v>0</v>
      </c>
      <c r="AB509" s="55">
        <f>IF(AQ509="1",BH509,0)</f>
        <v>0</v>
      </c>
      <c r="AC509" s="55">
        <f>IF(AQ509="1",BI509,0)</f>
        <v>0</v>
      </c>
      <c r="AD509" s="55">
        <f>IF(AQ509="7",BH509,0)</f>
        <v>0</v>
      </c>
      <c r="AE509" s="55">
        <f>IF(AQ509="7",BI509,0)</f>
        <v>0</v>
      </c>
      <c r="AF509" s="55">
        <f>IF(AQ509="2",BH509,0)</f>
        <v>0</v>
      </c>
      <c r="AG509" s="55">
        <f>IF(AQ509="2",BI509,0)</f>
        <v>0</v>
      </c>
      <c r="AH509" s="55">
        <f>IF(AQ509="0",BJ509,0)</f>
        <v>0</v>
      </c>
      <c r="AI509" s="34" t="s">
        <v>2629</v>
      </c>
      <c r="AJ509" s="55">
        <f>IF(AN509=0,I509,0)</f>
        <v>0</v>
      </c>
      <c r="AK509" s="55">
        <f>IF(AN509=12,I509,0)</f>
        <v>0</v>
      </c>
      <c r="AL509" s="55">
        <f>IF(AN509=21,I509,0)</f>
        <v>0</v>
      </c>
      <c r="AN509" s="55">
        <v>21</v>
      </c>
      <c r="AO509" s="55">
        <f>H509*0.990190255</f>
        <v>0</v>
      </c>
      <c r="AP509" s="55">
        <f>H509*(1-0.990190255)</f>
        <v>0</v>
      </c>
      <c r="AQ509" s="58" t="s">
        <v>125</v>
      </c>
      <c r="AV509" s="55">
        <f>AW509+AX509</f>
        <v>0</v>
      </c>
      <c r="AW509" s="55">
        <f>G509*AO509</f>
        <v>0</v>
      </c>
      <c r="AX509" s="55">
        <f>G509*AP509</f>
        <v>0</v>
      </c>
      <c r="AY509" s="58" t="s">
        <v>1875</v>
      </c>
      <c r="AZ509" s="58" t="s">
        <v>3185</v>
      </c>
      <c r="BA509" s="34" t="s">
        <v>2634</v>
      </c>
      <c r="BC509" s="55">
        <f>AW509+AX509</f>
        <v>0</v>
      </c>
      <c r="BD509" s="55">
        <f>H509/(100-BE509)*100</f>
        <v>0</v>
      </c>
      <c r="BE509" s="55">
        <v>0</v>
      </c>
      <c r="BF509" s="55">
        <f>K509</f>
        <v>0.0925</v>
      </c>
      <c r="BH509" s="55">
        <f>G509*AO509</f>
        <v>0</v>
      </c>
      <c r="BI509" s="55">
        <f>G509*AP509</f>
        <v>0</v>
      </c>
      <c r="BJ509" s="55">
        <f>G509*H509</f>
        <v>0</v>
      </c>
      <c r="BK509" s="55"/>
      <c r="BL509" s="55">
        <v>764</v>
      </c>
      <c r="BW509" s="55">
        <v>21</v>
      </c>
    </row>
    <row r="510" spans="1:12" ht="13.5" customHeight="1">
      <c r="A510" s="85"/>
      <c r="D510" s="228" t="s">
        <v>3519</v>
      </c>
      <c r="E510" s="229"/>
      <c r="F510" s="229"/>
      <c r="G510" s="229"/>
      <c r="H510" s="229"/>
      <c r="I510" s="229"/>
      <c r="J510" s="229"/>
      <c r="K510" s="229"/>
      <c r="L510" s="231"/>
    </row>
    <row r="511" spans="1:12" ht="14.4">
      <c r="A511" s="86"/>
      <c r="B511" s="87"/>
      <c r="C511" s="87"/>
      <c r="D511" s="88" t="s">
        <v>235</v>
      </c>
      <c r="E511" s="88" t="s">
        <v>4</v>
      </c>
      <c r="F511" s="87"/>
      <c r="G511" s="89">
        <v>37</v>
      </c>
      <c r="H511" s="87"/>
      <c r="I511" s="87"/>
      <c r="J511" s="87"/>
      <c r="K511" s="87"/>
      <c r="L511" s="91"/>
    </row>
    <row r="512" spans="1:75" ht="13.5" customHeight="1">
      <c r="A512" s="97" t="s">
        <v>1064</v>
      </c>
      <c r="B512" s="98" t="s">
        <v>2629</v>
      </c>
      <c r="C512" s="98" t="s">
        <v>3487</v>
      </c>
      <c r="D512" s="234" t="s">
        <v>3521</v>
      </c>
      <c r="E512" s="235"/>
      <c r="F512" s="98" t="s">
        <v>123</v>
      </c>
      <c r="G512" s="99">
        <f>'Stavební rozpočet-vyplnit'!G1890</f>
        <v>157</v>
      </c>
      <c r="H512" s="99">
        <f>'Stavební rozpočet-vyplnit'!H1890</f>
        <v>0</v>
      </c>
      <c r="I512" s="99">
        <f>G512*H512</f>
        <v>0</v>
      </c>
      <c r="J512" s="99">
        <f>'Stavební rozpočet-vyplnit'!J1890</f>
        <v>0.0015</v>
      </c>
      <c r="K512" s="99">
        <f>G512*J512</f>
        <v>0.23550000000000001</v>
      </c>
      <c r="L512" s="101" t="s">
        <v>124</v>
      </c>
      <c r="Z512" s="55">
        <f>IF(AQ512="5",BJ512,0)</f>
        <v>0</v>
      </c>
      <c r="AB512" s="55">
        <f>IF(AQ512="1",BH512,0)</f>
        <v>0</v>
      </c>
      <c r="AC512" s="55">
        <f>IF(AQ512="1",BI512,0)</f>
        <v>0</v>
      </c>
      <c r="AD512" s="55">
        <f>IF(AQ512="7",BH512,0)</f>
        <v>0</v>
      </c>
      <c r="AE512" s="55">
        <f>IF(AQ512="7",BI512,0)</f>
        <v>0</v>
      </c>
      <c r="AF512" s="55">
        <f>IF(AQ512="2",BH512,0)</f>
        <v>0</v>
      </c>
      <c r="AG512" s="55">
        <f>IF(AQ512="2",BI512,0)</f>
        <v>0</v>
      </c>
      <c r="AH512" s="55">
        <f>IF(AQ512="0",BJ512,0)</f>
        <v>0</v>
      </c>
      <c r="AI512" s="34" t="s">
        <v>2629</v>
      </c>
      <c r="AJ512" s="55">
        <f>IF(AN512=0,I512,0)</f>
        <v>0</v>
      </c>
      <c r="AK512" s="55">
        <f>IF(AN512=12,I512,0)</f>
        <v>0</v>
      </c>
      <c r="AL512" s="55">
        <f>IF(AN512=21,I512,0)</f>
        <v>0</v>
      </c>
      <c r="AN512" s="55">
        <v>21</v>
      </c>
      <c r="AO512" s="55">
        <f>H512*0.875259875</f>
        <v>0</v>
      </c>
      <c r="AP512" s="55">
        <f>H512*(1-0.875259875)</f>
        <v>0</v>
      </c>
      <c r="AQ512" s="58" t="s">
        <v>125</v>
      </c>
      <c r="AV512" s="55">
        <f>AW512+AX512</f>
        <v>0</v>
      </c>
      <c r="AW512" s="55">
        <f>G512*AO512</f>
        <v>0</v>
      </c>
      <c r="AX512" s="55">
        <f>G512*AP512</f>
        <v>0</v>
      </c>
      <c r="AY512" s="58" t="s">
        <v>1875</v>
      </c>
      <c r="AZ512" s="58" t="s">
        <v>3185</v>
      </c>
      <c r="BA512" s="34" t="s">
        <v>2634</v>
      </c>
      <c r="BC512" s="55">
        <f>AW512+AX512</f>
        <v>0</v>
      </c>
      <c r="BD512" s="55">
        <f>H512/(100-BE512)*100</f>
        <v>0</v>
      </c>
      <c r="BE512" s="55">
        <v>0</v>
      </c>
      <c r="BF512" s="55">
        <f>K512</f>
        <v>0.23550000000000001</v>
      </c>
      <c r="BH512" s="55">
        <f>G512*AO512</f>
        <v>0</v>
      </c>
      <c r="BI512" s="55">
        <f>G512*AP512</f>
        <v>0</v>
      </c>
      <c r="BJ512" s="55">
        <f>G512*H512</f>
        <v>0</v>
      </c>
      <c r="BK512" s="55"/>
      <c r="BL512" s="55">
        <v>764</v>
      </c>
      <c r="BW512" s="55">
        <v>21</v>
      </c>
    </row>
    <row r="513" spans="1:12" ht="13.5" customHeight="1">
      <c r="A513" s="85"/>
      <c r="D513" s="228" t="s">
        <v>3522</v>
      </c>
      <c r="E513" s="229"/>
      <c r="F513" s="229"/>
      <c r="G513" s="229"/>
      <c r="H513" s="229"/>
      <c r="I513" s="229"/>
      <c r="J513" s="229"/>
      <c r="K513" s="229"/>
      <c r="L513" s="231"/>
    </row>
    <row r="514" spans="1:12" ht="14.4">
      <c r="A514" s="86"/>
      <c r="B514" s="87"/>
      <c r="C514" s="87"/>
      <c r="D514" s="88" t="s">
        <v>622</v>
      </c>
      <c r="E514" s="88" t="s">
        <v>4</v>
      </c>
      <c r="F514" s="87"/>
      <c r="G514" s="89">
        <v>157</v>
      </c>
      <c r="H514" s="87"/>
      <c r="I514" s="87"/>
      <c r="J514" s="87"/>
      <c r="K514" s="87"/>
      <c r="L514" s="91"/>
    </row>
    <row r="515" spans="1:75" ht="13.5" customHeight="1">
      <c r="A515" s="92" t="s">
        <v>1077</v>
      </c>
      <c r="B515" s="93" t="s">
        <v>2629</v>
      </c>
      <c r="C515" s="93" t="s">
        <v>3490</v>
      </c>
      <c r="D515" s="232" t="s">
        <v>3524</v>
      </c>
      <c r="E515" s="233"/>
      <c r="F515" s="93" t="s">
        <v>123</v>
      </c>
      <c r="G515" s="94">
        <f>'Stavební rozpočet-vyplnit'!G1893</f>
        <v>111</v>
      </c>
      <c r="H515" s="94">
        <f>'Stavební rozpočet-vyplnit'!H1893</f>
        <v>0</v>
      </c>
      <c r="I515" s="94">
        <f>G515*H515</f>
        <v>0</v>
      </c>
      <c r="J515" s="94">
        <f>'Stavební rozpočet-vyplnit'!J1893</f>
        <v>0.0015</v>
      </c>
      <c r="K515" s="94">
        <f>G515*J515</f>
        <v>0.1665</v>
      </c>
      <c r="L515" s="96" t="s">
        <v>124</v>
      </c>
      <c r="Z515" s="55">
        <f>IF(AQ515="5",BJ515,0)</f>
        <v>0</v>
      </c>
      <c r="AB515" s="55">
        <f>IF(AQ515="1",BH515,0)</f>
        <v>0</v>
      </c>
      <c r="AC515" s="55">
        <f>IF(AQ515="1",BI515,0)</f>
        <v>0</v>
      </c>
      <c r="AD515" s="55">
        <f>IF(AQ515="7",BH515,0)</f>
        <v>0</v>
      </c>
      <c r="AE515" s="55">
        <f>IF(AQ515="7",BI515,0)</f>
        <v>0</v>
      </c>
      <c r="AF515" s="55">
        <f>IF(AQ515="2",BH515,0)</f>
        <v>0</v>
      </c>
      <c r="AG515" s="55">
        <f>IF(AQ515="2",BI515,0)</f>
        <v>0</v>
      </c>
      <c r="AH515" s="55">
        <f>IF(AQ515="0",BJ515,0)</f>
        <v>0</v>
      </c>
      <c r="AI515" s="34" t="s">
        <v>2629</v>
      </c>
      <c r="AJ515" s="55">
        <f>IF(AN515=0,I515,0)</f>
        <v>0</v>
      </c>
      <c r="AK515" s="55">
        <f>IF(AN515=12,I515,0)</f>
        <v>0</v>
      </c>
      <c r="AL515" s="55">
        <f>IF(AN515=21,I515,0)</f>
        <v>0</v>
      </c>
      <c r="AN515" s="55">
        <v>21</v>
      </c>
      <c r="AO515" s="55">
        <f>H515*0.8125</f>
        <v>0</v>
      </c>
      <c r="AP515" s="55">
        <f>H515*(1-0.8125)</f>
        <v>0</v>
      </c>
      <c r="AQ515" s="58" t="s">
        <v>125</v>
      </c>
      <c r="AV515" s="55">
        <f>AW515+AX515</f>
        <v>0</v>
      </c>
      <c r="AW515" s="55">
        <f>G515*AO515</f>
        <v>0</v>
      </c>
      <c r="AX515" s="55">
        <f>G515*AP515</f>
        <v>0</v>
      </c>
      <c r="AY515" s="58" t="s">
        <v>1875</v>
      </c>
      <c r="AZ515" s="58" t="s">
        <v>3185</v>
      </c>
      <c r="BA515" s="34" t="s">
        <v>2634</v>
      </c>
      <c r="BC515" s="55">
        <f>AW515+AX515</f>
        <v>0</v>
      </c>
      <c r="BD515" s="55">
        <f>H515/(100-BE515)*100</f>
        <v>0</v>
      </c>
      <c r="BE515" s="55">
        <v>0</v>
      </c>
      <c r="BF515" s="55">
        <f>K515</f>
        <v>0.1665</v>
      </c>
      <c r="BH515" s="55">
        <f>G515*AO515</f>
        <v>0</v>
      </c>
      <c r="BI515" s="55">
        <f>G515*AP515</f>
        <v>0</v>
      </c>
      <c r="BJ515" s="55">
        <f>G515*H515</f>
        <v>0</v>
      </c>
      <c r="BK515" s="55"/>
      <c r="BL515" s="55">
        <v>764</v>
      </c>
      <c r="BW515" s="55">
        <v>21</v>
      </c>
    </row>
    <row r="516" spans="1:12" ht="13.5" customHeight="1">
      <c r="A516" s="59"/>
      <c r="D516" s="218" t="s">
        <v>3525</v>
      </c>
      <c r="E516" s="219"/>
      <c r="F516" s="219"/>
      <c r="G516" s="219"/>
      <c r="H516" s="219"/>
      <c r="I516" s="219"/>
      <c r="J516" s="219"/>
      <c r="K516" s="219"/>
      <c r="L516" s="221"/>
    </row>
    <row r="517" spans="1:12" ht="14.4">
      <c r="A517" s="76"/>
      <c r="D517" s="77" t="s">
        <v>478</v>
      </c>
      <c r="E517" s="77" t="s">
        <v>4</v>
      </c>
      <c r="G517" s="78">
        <v>111</v>
      </c>
      <c r="L517" s="79"/>
    </row>
    <row r="518" spans="1:75" ht="13.5" customHeight="1">
      <c r="A518" s="80" t="s">
        <v>1080</v>
      </c>
      <c r="B518" s="81" t="s">
        <v>2629</v>
      </c>
      <c r="C518" s="81" t="s">
        <v>3493</v>
      </c>
      <c r="D518" s="226" t="s">
        <v>3527</v>
      </c>
      <c r="E518" s="227"/>
      <c r="F518" s="81" t="s">
        <v>174</v>
      </c>
      <c r="G518" s="82">
        <f>'Stavební rozpočet-vyplnit'!G1896</f>
        <v>231.5</v>
      </c>
      <c r="H518" s="82">
        <f>'Stavební rozpočet-vyplnit'!H1896</f>
        <v>0</v>
      </c>
      <c r="I518" s="82">
        <f>G518*H518</f>
        <v>0</v>
      </c>
      <c r="J518" s="82">
        <f>'Stavební rozpočet-vyplnit'!J1896</f>
        <v>0.005</v>
      </c>
      <c r="K518" s="82">
        <f>G518*J518</f>
        <v>1.1575</v>
      </c>
      <c r="L518" s="84" t="s">
        <v>124</v>
      </c>
      <c r="Z518" s="55">
        <f>IF(AQ518="5",BJ518,0)</f>
        <v>0</v>
      </c>
      <c r="AB518" s="55">
        <f>IF(AQ518="1",BH518,0)</f>
        <v>0</v>
      </c>
      <c r="AC518" s="55">
        <f>IF(AQ518="1",BI518,0)</f>
        <v>0</v>
      </c>
      <c r="AD518" s="55">
        <f>IF(AQ518="7",BH518,0)</f>
        <v>0</v>
      </c>
      <c r="AE518" s="55">
        <f>IF(AQ518="7",BI518,0)</f>
        <v>0</v>
      </c>
      <c r="AF518" s="55">
        <f>IF(AQ518="2",BH518,0)</f>
        <v>0</v>
      </c>
      <c r="AG518" s="55">
        <f>IF(AQ518="2",BI518,0)</f>
        <v>0</v>
      </c>
      <c r="AH518" s="55">
        <f>IF(AQ518="0",BJ518,0)</f>
        <v>0</v>
      </c>
      <c r="AI518" s="34" t="s">
        <v>2629</v>
      </c>
      <c r="AJ518" s="55">
        <f>IF(AN518=0,I518,0)</f>
        <v>0</v>
      </c>
      <c r="AK518" s="55">
        <f>IF(AN518=12,I518,0)</f>
        <v>0</v>
      </c>
      <c r="AL518" s="55">
        <f>IF(AN518=21,I518,0)</f>
        <v>0</v>
      </c>
      <c r="AN518" s="55">
        <v>21</v>
      </c>
      <c r="AO518" s="55">
        <f>H518*0.764128286</f>
        <v>0</v>
      </c>
      <c r="AP518" s="55">
        <f>H518*(1-0.764128286)</f>
        <v>0</v>
      </c>
      <c r="AQ518" s="58" t="s">
        <v>125</v>
      </c>
      <c r="AV518" s="55">
        <f>AW518+AX518</f>
        <v>0</v>
      </c>
      <c r="AW518" s="55">
        <f>G518*AO518</f>
        <v>0</v>
      </c>
      <c r="AX518" s="55">
        <f>G518*AP518</f>
        <v>0</v>
      </c>
      <c r="AY518" s="58" t="s">
        <v>1875</v>
      </c>
      <c r="AZ518" s="58" t="s">
        <v>3185</v>
      </c>
      <c r="BA518" s="34" t="s">
        <v>2634</v>
      </c>
      <c r="BC518" s="55">
        <f>AW518+AX518</f>
        <v>0</v>
      </c>
      <c r="BD518" s="55">
        <f>H518/(100-BE518)*100</f>
        <v>0</v>
      </c>
      <c r="BE518" s="55">
        <v>0</v>
      </c>
      <c r="BF518" s="55">
        <f>K518</f>
        <v>1.1575</v>
      </c>
      <c r="BH518" s="55">
        <f>G518*AO518</f>
        <v>0</v>
      </c>
      <c r="BI518" s="55">
        <f>G518*AP518</f>
        <v>0</v>
      </c>
      <c r="BJ518" s="55">
        <f>G518*H518</f>
        <v>0</v>
      </c>
      <c r="BK518" s="55"/>
      <c r="BL518" s="55">
        <v>764</v>
      </c>
      <c r="BW518" s="55">
        <v>21</v>
      </c>
    </row>
    <row r="519" spans="1:12" ht="13.5" customHeight="1">
      <c r="A519" s="85"/>
      <c r="D519" s="228" t="s">
        <v>3528</v>
      </c>
      <c r="E519" s="229"/>
      <c r="F519" s="229"/>
      <c r="G519" s="229"/>
      <c r="H519" s="229"/>
      <c r="I519" s="229"/>
      <c r="J519" s="229"/>
      <c r="K519" s="229"/>
      <c r="L519" s="231"/>
    </row>
    <row r="520" spans="1:12" ht="14.4">
      <c r="A520" s="86"/>
      <c r="B520" s="87"/>
      <c r="C520" s="87"/>
      <c r="D520" s="88" t="s">
        <v>3529</v>
      </c>
      <c r="E520" s="88" t="s">
        <v>3522</v>
      </c>
      <c r="F520" s="87"/>
      <c r="G520" s="89">
        <v>171.4</v>
      </c>
      <c r="H520" s="87"/>
      <c r="I520" s="87"/>
      <c r="J520" s="87"/>
      <c r="K520" s="87"/>
      <c r="L520" s="91"/>
    </row>
    <row r="521" spans="1:12" ht="14.4">
      <c r="A521" s="102"/>
      <c r="B521" s="103"/>
      <c r="C521" s="103"/>
      <c r="D521" s="104" t="s">
        <v>3530</v>
      </c>
      <c r="E521" s="104" t="s">
        <v>3525</v>
      </c>
      <c r="F521" s="103"/>
      <c r="G521" s="105">
        <v>60.1</v>
      </c>
      <c r="H521" s="103"/>
      <c r="I521" s="103"/>
      <c r="J521" s="103"/>
      <c r="K521" s="103"/>
      <c r="L521" s="107"/>
    </row>
    <row r="522" spans="1:75" ht="13.5" customHeight="1">
      <c r="A522" s="92" t="s">
        <v>1087</v>
      </c>
      <c r="B522" s="93" t="s">
        <v>2629</v>
      </c>
      <c r="C522" s="93" t="s">
        <v>3532</v>
      </c>
      <c r="D522" s="232" t="s">
        <v>3533</v>
      </c>
      <c r="E522" s="233"/>
      <c r="F522" s="93" t="s">
        <v>729</v>
      </c>
      <c r="G522" s="94">
        <f>'Stavební rozpočet-vyplnit'!G1900</f>
        <v>1301.2</v>
      </c>
      <c r="H522" s="94">
        <f>'Stavební rozpočet-vyplnit'!H1900</f>
        <v>0</v>
      </c>
      <c r="I522" s="94">
        <f>G522*H522</f>
        <v>0</v>
      </c>
      <c r="J522" s="94">
        <f>'Stavební rozpočet-vyplnit'!J1900</f>
        <v>0.0022</v>
      </c>
      <c r="K522" s="94">
        <f>G522*J522</f>
        <v>2.8626400000000003</v>
      </c>
      <c r="L522" s="96" t="s">
        <v>785</v>
      </c>
      <c r="Z522" s="55">
        <f>IF(AQ522="5",BJ522,0)</f>
        <v>0</v>
      </c>
      <c r="AB522" s="55">
        <f>IF(AQ522="1",BH522,0)</f>
        <v>0</v>
      </c>
      <c r="AC522" s="55">
        <f>IF(AQ522="1",BI522,0)</f>
        <v>0</v>
      </c>
      <c r="AD522" s="55">
        <f>IF(AQ522="7",BH522,0)</f>
        <v>0</v>
      </c>
      <c r="AE522" s="55">
        <f>IF(AQ522="7",BI522,0)</f>
        <v>0</v>
      </c>
      <c r="AF522" s="55">
        <f>IF(AQ522="2",BH522,0)</f>
        <v>0</v>
      </c>
      <c r="AG522" s="55">
        <f>IF(AQ522="2",BI522,0)</f>
        <v>0</v>
      </c>
      <c r="AH522" s="55">
        <f>IF(AQ522="0",BJ522,0)</f>
        <v>0</v>
      </c>
      <c r="AI522" s="34" t="s">
        <v>2629</v>
      </c>
      <c r="AJ522" s="55">
        <f>IF(AN522=0,I522,0)</f>
        <v>0</v>
      </c>
      <c r="AK522" s="55">
        <f>IF(AN522=12,I522,0)</f>
        <v>0</v>
      </c>
      <c r="AL522" s="55">
        <f>IF(AN522=21,I522,0)</f>
        <v>0</v>
      </c>
      <c r="AN522" s="55">
        <v>21</v>
      </c>
      <c r="AO522" s="55">
        <f>H522*0</f>
        <v>0</v>
      </c>
      <c r="AP522" s="55">
        <f>H522*(1-0)</f>
        <v>0</v>
      </c>
      <c r="AQ522" s="58" t="s">
        <v>125</v>
      </c>
      <c r="AV522" s="55">
        <f>AW522+AX522</f>
        <v>0</v>
      </c>
      <c r="AW522" s="55">
        <f>G522*AO522</f>
        <v>0</v>
      </c>
      <c r="AX522" s="55">
        <f>G522*AP522</f>
        <v>0</v>
      </c>
      <c r="AY522" s="58" t="s">
        <v>1875</v>
      </c>
      <c r="AZ522" s="58" t="s">
        <v>3185</v>
      </c>
      <c r="BA522" s="34" t="s">
        <v>2634</v>
      </c>
      <c r="BB522" s="67">
        <v>100011</v>
      </c>
      <c r="BC522" s="55">
        <f>AW522+AX522</f>
        <v>0</v>
      </c>
      <c r="BD522" s="55">
        <f>H522/(100-BE522)*100</f>
        <v>0</v>
      </c>
      <c r="BE522" s="55">
        <v>0</v>
      </c>
      <c r="BF522" s="55">
        <f>K522</f>
        <v>2.8626400000000003</v>
      </c>
      <c r="BH522" s="55">
        <f>G522*AO522</f>
        <v>0</v>
      </c>
      <c r="BI522" s="55">
        <f>G522*AP522</f>
        <v>0</v>
      </c>
      <c r="BJ522" s="55">
        <f>G522*H522</f>
        <v>0</v>
      </c>
      <c r="BK522" s="55"/>
      <c r="BL522" s="55">
        <v>764</v>
      </c>
      <c r="BW522" s="55">
        <v>21</v>
      </c>
    </row>
    <row r="523" spans="1:12" ht="14.4">
      <c r="A523" s="59"/>
      <c r="D523" s="60" t="s">
        <v>3534</v>
      </c>
      <c r="E523" s="60" t="s">
        <v>3535</v>
      </c>
      <c r="G523" s="68">
        <v>1234.1</v>
      </c>
      <c r="L523" s="69"/>
    </row>
    <row r="524" spans="1:12" ht="14.4">
      <c r="A524" s="59"/>
      <c r="D524" s="60" t="s">
        <v>3536</v>
      </c>
      <c r="E524" s="60" t="s">
        <v>3537</v>
      </c>
      <c r="G524" s="68">
        <v>43.2</v>
      </c>
      <c r="L524" s="69"/>
    </row>
    <row r="525" spans="1:12" ht="14.4">
      <c r="A525" s="59"/>
      <c r="D525" s="60" t="s">
        <v>3538</v>
      </c>
      <c r="E525" s="60" t="s">
        <v>3539</v>
      </c>
      <c r="G525" s="68">
        <v>23.9</v>
      </c>
      <c r="L525" s="69"/>
    </row>
    <row r="526" spans="1:75" ht="13.5" customHeight="1">
      <c r="A526" s="1" t="s">
        <v>1093</v>
      </c>
      <c r="B526" s="2" t="s">
        <v>2629</v>
      </c>
      <c r="C526" s="2" t="s">
        <v>3541</v>
      </c>
      <c r="D526" s="147" t="s">
        <v>3542</v>
      </c>
      <c r="E526" s="148"/>
      <c r="F526" s="2" t="s">
        <v>174</v>
      </c>
      <c r="G526" s="55">
        <f>'Stavební rozpočet-vyplnit'!G1904</f>
        <v>256.2</v>
      </c>
      <c r="H526" s="55">
        <f>'Stavební rozpočet-vyplnit'!H1904</f>
        <v>0</v>
      </c>
      <c r="I526" s="55">
        <f>G526*H526</f>
        <v>0</v>
      </c>
      <c r="J526" s="55">
        <f>'Stavební rozpočet-vyplnit'!J1904</f>
        <v>0.00384</v>
      </c>
      <c r="K526" s="55">
        <f>G526*J526</f>
        <v>0.983808</v>
      </c>
      <c r="L526" s="57" t="s">
        <v>785</v>
      </c>
      <c r="Z526" s="55">
        <f>IF(AQ526="5",BJ526,0)</f>
        <v>0</v>
      </c>
      <c r="AB526" s="55">
        <f>IF(AQ526="1",BH526,0)</f>
        <v>0</v>
      </c>
      <c r="AC526" s="55">
        <f>IF(AQ526="1",BI526,0)</f>
        <v>0</v>
      </c>
      <c r="AD526" s="55">
        <f>IF(AQ526="7",BH526,0)</f>
        <v>0</v>
      </c>
      <c r="AE526" s="55">
        <f>IF(AQ526="7",BI526,0)</f>
        <v>0</v>
      </c>
      <c r="AF526" s="55">
        <f>IF(AQ526="2",BH526,0)</f>
        <v>0</v>
      </c>
      <c r="AG526" s="55">
        <f>IF(AQ526="2",BI526,0)</f>
        <v>0</v>
      </c>
      <c r="AH526" s="55">
        <f>IF(AQ526="0",BJ526,0)</f>
        <v>0</v>
      </c>
      <c r="AI526" s="34" t="s">
        <v>2629</v>
      </c>
      <c r="AJ526" s="55">
        <f>IF(AN526=0,I526,0)</f>
        <v>0</v>
      </c>
      <c r="AK526" s="55">
        <f>IF(AN526=12,I526,0)</f>
        <v>0</v>
      </c>
      <c r="AL526" s="55">
        <f>IF(AN526=21,I526,0)</f>
        <v>0</v>
      </c>
      <c r="AN526" s="55">
        <v>21</v>
      </c>
      <c r="AO526" s="55">
        <f>H526*0</f>
        <v>0</v>
      </c>
      <c r="AP526" s="55">
        <f>H526*(1-0)</f>
        <v>0</v>
      </c>
      <c r="AQ526" s="58" t="s">
        <v>125</v>
      </c>
      <c r="AV526" s="55">
        <f>AW526+AX526</f>
        <v>0</v>
      </c>
      <c r="AW526" s="55">
        <f>G526*AO526</f>
        <v>0</v>
      </c>
      <c r="AX526" s="55">
        <f>G526*AP526</f>
        <v>0</v>
      </c>
      <c r="AY526" s="58" t="s">
        <v>1875</v>
      </c>
      <c r="AZ526" s="58" t="s">
        <v>3185</v>
      </c>
      <c r="BA526" s="34" t="s">
        <v>2634</v>
      </c>
      <c r="BB526" s="67">
        <v>100011</v>
      </c>
      <c r="BC526" s="55">
        <f>AW526+AX526</f>
        <v>0</v>
      </c>
      <c r="BD526" s="55">
        <f>H526/(100-BE526)*100</f>
        <v>0</v>
      </c>
      <c r="BE526" s="55">
        <v>0</v>
      </c>
      <c r="BF526" s="55">
        <f>K526</f>
        <v>0.983808</v>
      </c>
      <c r="BH526" s="55">
        <f>G526*AO526</f>
        <v>0</v>
      </c>
      <c r="BI526" s="55">
        <f>G526*AP526</f>
        <v>0</v>
      </c>
      <c r="BJ526" s="55">
        <f>G526*H526</f>
        <v>0</v>
      </c>
      <c r="BK526" s="55"/>
      <c r="BL526" s="55">
        <v>764</v>
      </c>
      <c r="BW526" s="55">
        <v>21</v>
      </c>
    </row>
    <row r="527" spans="1:12" ht="14.4">
      <c r="A527" s="59"/>
      <c r="D527" s="60" t="s">
        <v>3543</v>
      </c>
      <c r="E527" s="60" t="s">
        <v>4</v>
      </c>
      <c r="G527" s="68">
        <v>256.2</v>
      </c>
      <c r="L527" s="69"/>
    </row>
    <row r="528" spans="1:75" ht="13.5" customHeight="1">
      <c r="A528" s="1" t="s">
        <v>1099</v>
      </c>
      <c r="B528" s="2" t="s">
        <v>2629</v>
      </c>
      <c r="C528" s="2" t="s">
        <v>3545</v>
      </c>
      <c r="D528" s="147" t="s">
        <v>3546</v>
      </c>
      <c r="E528" s="148"/>
      <c r="F528" s="2" t="s">
        <v>174</v>
      </c>
      <c r="G528" s="55">
        <f>'Stavební rozpočet-vyplnit'!G1906</f>
        <v>185.8</v>
      </c>
      <c r="H528" s="55">
        <f>'Stavební rozpočet-vyplnit'!H1906</f>
        <v>0</v>
      </c>
      <c r="I528" s="55">
        <f>G528*H528</f>
        <v>0</v>
      </c>
      <c r="J528" s="55">
        <f>'Stavební rozpočet-vyplnit'!J1906</f>
        <v>0.00197</v>
      </c>
      <c r="K528" s="55">
        <f>G528*J528</f>
        <v>0.366026</v>
      </c>
      <c r="L528" s="57" t="s">
        <v>785</v>
      </c>
      <c r="Z528" s="55">
        <f>IF(AQ528="5",BJ528,0)</f>
        <v>0</v>
      </c>
      <c r="AB528" s="55">
        <f>IF(AQ528="1",BH528,0)</f>
        <v>0</v>
      </c>
      <c r="AC528" s="55">
        <f>IF(AQ528="1",BI528,0)</f>
        <v>0</v>
      </c>
      <c r="AD528" s="55">
        <f>IF(AQ528="7",BH528,0)</f>
        <v>0</v>
      </c>
      <c r="AE528" s="55">
        <f>IF(AQ528="7",BI528,0)</f>
        <v>0</v>
      </c>
      <c r="AF528" s="55">
        <f>IF(AQ528="2",BH528,0)</f>
        <v>0</v>
      </c>
      <c r="AG528" s="55">
        <f>IF(AQ528="2",BI528,0)</f>
        <v>0</v>
      </c>
      <c r="AH528" s="55">
        <f>IF(AQ528="0",BJ528,0)</f>
        <v>0</v>
      </c>
      <c r="AI528" s="34" t="s">
        <v>2629</v>
      </c>
      <c r="AJ528" s="55">
        <f>IF(AN528=0,I528,0)</f>
        <v>0</v>
      </c>
      <c r="AK528" s="55">
        <f>IF(AN528=12,I528,0)</f>
        <v>0</v>
      </c>
      <c r="AL528" s="55">
        <f>IF(AN528=21,I528,0)</f>
        <v>0</v>
      </c>
      <c r="AN528" s="55">
        <v>21</v>
      </c>
      <c r="AO528" s="55">
        <f>H528*0</f>
        <v>0</v>
      </c>
      <c r="AP528" s="55">
        <f>H528*(1-0)</f>
        <v>0</v>
      </c>
      <c r="AQ528" s="58" t="s">
        <v>125</v>
      </c>
      <c r="AV528" s="55">
        <f>AW528+AX528</f>
        <v>0</v>
      </c>
      <c r="AW528" s="55">
        <f>G528*AO528</f>
        <v>0</v>
      </c>
      <c r="AX528" s="55">
        <f>G528*AP528</f>
        <v>0</v>
      </c>
      <c r="AY528" s="58" t="s">
        <v>1875</v>
      </c>
      <c r="AZ528" s="58" t="s">
        <v>3185</v>
      </c>
      <c r="BA528" s="34" t="s">
        <v>2634</v>
      </c>
      <c r="BB528" s="67">
        <v>100011</v>
      </c>
      <c r="BC528" s="55">
        <f>AW528+AX528</f>
        <v>0</v>
      </c>
      <c r="BD528" s="55">
        <f>H528/(100-BE528)*100</f>
        <v>0</v>
      </c>
      <c r="BE528" s="55">
        <v>0</v>
      </c>
      <c r="BF528" s="55">
        <f>K528</f>
        <v>0.366026</v>
      </c>
      <c r="BH528" s="55">
        <f>G528*AO528</f>
        <v>0</v>
      </c>
      <c r="BI528" s="55">
        <f>G528*AP528</f>
        <v>0</v>
      </c>
      <c r="BJ528" s="55">
        <f>G528*H528</f>
        <v>0</v>
      </c>
      <c r="BK528" s="55"/>
      <c r="BL528" s="55">
        <v>764</v>
      </c>
      <c r="BW528" s="55">
        <v>21</v>
      </c>
    </row>
    <row r="529" spans="1:12" ht="14.4">
      <c r="A529" s="59"/>
      <c r="D529" s="60" t="s">
        <v>3547</v>
      </c>
      <c r="E529" s="60" t="s">
        <v>3548</v>
      </c>
      <c r="G529" s="68">
        <v>57</v>
      </c>
      <c r="L529" s="69"/>
    </row>
    <row r="530" spans="1:12" ht="14.4">
      <c r="A530" s="59"/>
      <c r="D530" s="60" t="s">
        <v>3549</v>
      </c>
      <c r="E530" s="60" t="s">
        <v>3550</v>
      </c>
      <c r="G530" s="68">
        <v>83.8</v>
      </c>
      <c r="L530" s="69"/>
    </row>
    <row r="531" spans="1:12" ht="14.4">
      <c r="A531" s="59"/>
      <c r="D531" s="60" t="s">
        <v>3551</v>
      </c>
      <c r="E531" s="60" t="s">
        <v>3552</v>
      </c>
      <c r="G531" s="68">
        <v>45</v>
      </c>
      <c r="L531" s="69"/>
    </row>
    <row r="532" spans="1:75" ht="13.5" customHeight="1">
      <c r="A532" s="1" t="s">
        <v>1107</v>
      </c>
      <c r="B532" s="2" t="s">
        <v>2629</v>
      </c>
      <c r="C532" s="2" t="s">
        <v>3554</v>
      </c>
      <c r="D532" s="147" t="s">
        <v>3555</v>
      </c>
      <c r="E532" s="148"/>
      <c r="F532" s="2" t="s">
        <v>174</v>
      </c>
      <c r="G532" s="55">
        <f>'Stavební rozpočet-vyplnit'!G1910</f>
        <v>27.3</v>
      </c>
      <c r="H532" s="55">
        <f>'Stavební rozpočet-vyplnit'!H1910</f>
        <v>0</v>
      </c>
      <c r="I532" s="55">
        <f>G532*H532</f>
        <v>0</v>
      </c>
      <c r="J532" s="55">
        <f>'Stavební rozpočet-vyplnit'!J1910</f>
        <v>0.00307</v>
      </c>
      <c r="K532" s="55">
        <f>G532*J532</f>
        <v>0.083811</v>
      </c>
      <c r="L532" s="57" t="s">
        <v>785</v>
      </c>
      <c r="Z532" s="55">
        <f>IF(AQ532="5",BJ532,0)</f>
        <v>0</v>
      </c>
      <c r="AB532" s="55">
        <f>IF(AQ532="1",BH532,0)</f>
        <v>0</v>
      </c>
      <c r="AC532" s="55">
        <f>IF(AQ532="1",BI532,0)</f>
        <v>0</v>
      </c>
      <c r="AD532" s="55">
        <f>IF(AQ532="7",BH532,0)</f>
        <v>0</v>
      </c>
      <c r="AE532" s="55">
        <f>IF(AQ532="7",BI532,0)</f>
        <v>0</v>
      </c>
      <c r="AF532" s="55">
        <f>IF(AQ532="2",BH532,0)</f>
        <v>0</v>
      </c>
      <c r="AG532" s="55">
        <f>IF(AQ532="2",BI532,0)</f>
        <v>0</v>
      </c>
      <c r="AH532" s="55">
        <f>IF(AQ532="0",BJ532,0)</f>
        <v>0</v>
      </c>
      <c r="AI532" s="34" t="s">
        <v>2629</v>
      </c>
      <c r="AJ532" s="55">
        <f>IF(AN532=0,I532,0)</f>
        <v>0</v>
      </c>
      <c r="AK532" s="55">
        <f>IF(AN532=12,I532,0)</f>
        <v>0</v>
      </c>
      <c r="AL532" s="55">
        <f>IF(AN532=21,I532,0)</f>
        <v>0</v>
      </c>
      <c r="AN532" s="55">
        <v>21</v>
      </c>
      <c r="AO532" s="55">
        <f>H532*0</f>
        <v>0</v>
      </c>
      <c r="AP532" s="55">
        <f>H532*(1-0)</f>
        <v>0</v>
      </c>
      <c r="AQ532" s="58" t="s">
        <v>125</v>
      </c>
      <c r="AV532" s="55">
        <f>AW532+AX532</f>
        <v>0</v>
      </c>
      <c r="AW532" s="55">
        <f>G532*AO532</f>
        <v>0</v>
      </c>
      <c r="AX532" s="55">
        <f>G532*AP532</f>
        <v>0</v>
      </c>
      <c r="AY532" s="58" t="s">
        <v>1875</v>
      </c>
      <c r="AZ532" s="58" t="s">
        <v>3185</v>
      </c>
      <c r="BA532" s="34" t="s">
        <v>2634</v>
      </c>
      <c r="BB532" s="67">
        <v>100011</v>
      </c>
      <c r="BC532" s="55">
        <f>AW532+AX532</f>
        <v>0</v>
      </c>
      <c r="BD532" s="55">
        <f>H532/(100-BE532)*100</f>
        <v>0</v>
      </c>
      <c r="BE532" s="55">
        <v>0</v>
      </c>
      <c r="BF532" s="55">
        <f>K532</f>
        <v>0.083811</v>
      </c>
      <c r="BH532" s="55">
        <f>G532*AO532</f>
        <v>0</v>
      </c>
      <c r="BI532" s="55">
        <f>G532*AP532</f>
        <v>0</v>
      </c>
      <c r="BJ532" s="55">
        <f>G532*H532</f>
        <v>0</v>
      </c>
      <c r="BK532" s="55"/>
      <c r="BL532" s="55">
        <v>764</v>
      </c>
      <c r="BW532" s="55">
        <v>21</v>
      </c>
    </row>
    <row r="533" spans="1:12" ht="14.4">
      <c r="A533" s="59"/>
      <c r="D533" s="60" t="s">
        <v>3556</v>
      </c>
      <c r="E533" s="60" t="s">
        <v>4</v>
      </c>
      <c r="G533" s="68">
        <v>27.3</v>
      </c>
      <c r="L533" s="69"/>
    </row>
    <row r="534" spans="1:75" ht="13.5" customHeight="1">
      <c r="A534" s="1" t="s">
        <v>1112</v>
      </c>
      <c r="B534" s="2" t="s">
        <v>2629</v>
      </c>
      <c r="C534" s="2" t="s">
        <v>3558</v>
      </c>
      <c r="D534" s="147" t="s">
        <v>3559</v>
      </c>
      <c r="E534" s="148"/>
      <c r="F534" s="2" t="s">
        <v>374</v>
      </c>
      <c r="G534" s="55">
        <f>'Stavební rozpočet-vyplnit'!G1912</f>
        <v>119</v>
      </c>
      <c r="H534" s="55">
        <f>'Stavební rozpočet-vyplnit'!H1912</f>
        <v>0</v>
      </c>
      <c r="I534" s="55">
        <f>G534*H534</f>
        <v>0</v>
      </c>
      <c r="J534" s="55">
        <f>'Stavební rozpočet-vyplnit'!J1912</f>
        <v>0.00416</v>
      </c>
      <c r="K534" s="55">
        <f>G534*J534</f>
        <v>0.49504</v>
      </c>
      <c r="L534" s="57" t="s">
        <v>785</v>
      </c>
      <c r="Z534" s="55">
        <f>IF(AQ534="5",BJ534,0)</f>
        <v>0</v>
      </c>
      <c r="AB534" s="55">
        <f>IF(AQ534="1",BH534,0)</f>
        <v>0</v>
      </c>
      <c r="AC534" s="55">
        <f>IF(AQ534="1",BI534,0)</f>
        <v>0</v>
      </c>
      <c r="AD534" s="55">
        <f>IF(AQ534="7",BH534,0)</f>
        <v>0</v>
      </c>
      <c r="AE534" s="55">
        <f>IF(AQ534="7",BI534,0)</f>
        <v>0</v>
      </c>
      <c r="AF534" s="55">
        <f>IF(AQ534="2",BH534,0)</f>
        <v>0</v>
      </c>
      <c r="AG534" s="55">
        <f>IF(AQ534="2",BI534,0)</f>
        <v>0</v>
      </c>
      <c r="AH534" s="55">
        <f>IF(AQ534="0",BJ534,0)</f>
        <v>0</v>
      </c>
      <c r="AI534" s="34" t="s">
        <v>2629</v>
      </c>
      <c r="AJ534" s="55">
        <f>IF(AN534=0,I534,0)</f>
        <v>0</v>
      </c>
      <c r="AK534" s="55">
        <f>IF(AN534=12,I534,0)</f>
        <v>0</v>
      </c>
      <c r="AL534" s="55">
        <f>IF(AN534=21,I534,0)</f>
        <v>0</v>
      </c>
      <c r="AN534" s="55">
        <v>21</v>
      </c>
      <c r="AO534" s="55">
        <f>H534*0</f>
        <v>0</v>
      </c>
      <c r="AP534" s="55">
        <f>H534*(1-0)</f>
        <v>0</v>
      </c>
      <c r="AQ534" s="58" t="s">
        <v>125</v>
      </c>
      <c r="AV534" s="55">
        <f>AW534+AX534</f>
        <v>0</v>
      </c>
      <c r="AW534" s="55">
        <f>G534*AO534</f>
        <v>0</v>
      </c>
      <c r="AX534" s="55">
        <f>G534*AP534</f>
        <v>0</v>
      </c>
      <c r="AY534" s="58" t="s">
        <v>1875</v>
      </c>
      <c r="AZ534" s="58" t="s">
        <v>3185</v>
      </c>
      <c r="BA534" s="34" t="s">
        <v>2634</v>
      </c>
      <c r="BB534" s="67">
        <v>100011</v>
      </c>
      <c r="BC534" s="55">
        <f>AW534+AX534</f>
        <v>0</v>
      </c>
      <c r="BD534" s="55">
        <f>H534/(100-BE534)*100</f>
        <v>0</v>
      </c>
      <c r="BE534" s="55">
        <v>0</v>
      </c>
      <c r="BF534" s="55">
        <f>K534</f>
        <v>0.49504</v>
      </c>
      <c r="BH534" s="55">
        <f>G534*AO534</f>
        <v>0</v>
      </c>
      <c r="BI534" s="55">
        <f>G534*AP534</f>
        <v>0</v>
      </c>
      <c r="BJ534" s="55">
        <f>G534*H534</f>
        <v>0</v>
      </c>
      <c r="BK534" s="55"/>
      <c r="BL534" s="55">
        <v>764</v>
      </c>
      <c r="BW534" s="55">
        <v>21</v>
      </c>
    </row>
    <row r="535" spans="1:12" ht="14.4">
      <c r="A535" s="59"/>
      <c r="D535" s="60" t="s">
        <v>502</v>
      </c>
      <c r="E535" s="60" t="s">
        <v>1709</v>
      </c>
      <c r="G535" s="68">
        <v>119</v>
      </c>
      <c r="L535" s="69"/>
    </row>
    <row r="536" spans="1:75" ht="13.5" customHeight="1">
      <c r="A536" s="1" t="s">
        <v>1116</v>
      </c>
      <c r="B536" s="2" t="s">
        <v>2629</v>
      </c>
      <c r="C536" s="2" t="s">
        <v>3561</v>
      </c>
      <c r="D536" s="147" t="s">
        <v>3562</v>
      </c>
      <c r="E536" s="148"/>
      <c r="F536" s="2" t="s">
        <v>374</v>
      </c>
      <c r="G536" s="55">
        <f>'Stavební rozpočet-vyplnit'!G1914</f>
        <v>8</v>
      </c>
      <c r="H536" s="55">
        <f>'Stavební rozpočet-vyplnit'!H1914</f>
        <v>0</v>
      </c>
      <c r="I536" s="55">
        <f>G536*H536</f>
        <v>0</v>
      </c>
      <c r="J536" s="55">
        <f>'Stavební rozpočet-vyplnit'!J1914</f>
        <v>0.00115</v>
      </c>
      <c r="K536" s="55">
        <f>G536*J536</f>
        <v>0.0092</v>
      </c>
      <c r="L536" s="57" t="s">
        <v>785</v>
      </c>
      <c r="Z536" s="55">
        <f>IF(AQ536="5",BJ536,0)</f>
        <v>0</v>
      </c>
      <c r="AB536" s="55">
        <f>IF(AQ536="1",BH536,0)</f>
        <v>0</v>
      </c>
      <c r="AC536" s="55">
        <f>IF(AQ536="1",BI536,0)</f>
        <v>0</v>
      </c>
      <c r="AD536" s="55">
        <f>IF(AQ536="7",BH536,0)</f>
        <v>0</v>
      </c>
      <c r="AE536" s="55">
        <f>IF(AQ536="7",BI536,0)</f>
        <v>0</v>
      </c>
      <c r="AF536" s="55">
        <f>IF(AQ536="2",BH536,0)</f>
        <v>0</v>
      </c>
      <c r="AG536" s="55">
        <f>IF(AQ536="2",BI536,0)</f>
        <v>0</v>
      </c>
      <c r="AH536" s="55">
        <f>IF(AQ536="0",BJ536,0)</f>
        <v>0</v>
      </c>
      <c r="AI536" s="34" t="s">
        <v>2629</v>
      </c>
      <c r="AJ536" s="55">
        <f>IF(AN536=0,I536,0)</f>
        <v>0</v>
      </c>
      <c r="AK536" s="55">
        <f>IF(AN536=12,I536,0)</f>
        <v>0</v>
      </c>
      <c r="AL536" s="55">
        <f>IF(AN536=21,I536,0)</f>
        <v>0</v>
      </c>
      <c r="AN536" s="55">
        <v>21</v>
      </c>
      <c r="AO536" s="55">
        <f>H536*0</f>
        <v>0</v>
      </c>
      <c r="AP536" s="55">
        <f>H536*(1-0)</f>
        <v>0</v>
      </c>
      <c r="AQ536" s="58" t="s">
        <v>125</v>
      </c>
      <c r="AV536" s="55">
        <f>AW536+AX536</f>
        <v>0</v>
      </c>
      <c r="AW536" s="55">
        <f>G536*AO536</f>
        <v>0</v>
      </c>
      <c r="AX536" s="55">
        <f>G536*AP536</f>
        <v>0</v>
      </c>
      <c r="AY536" s="58" t="s">
        <v>1875</v>
      </c>
      <c r="AZ536" s="58" t="s">
        <v>3185</v>
      </c>
      <c r="BA536" s="34" t="s">
        <v>2634</v>
      </c>
      <c r="BB536" s="67">
        <v>100011</v>
      </c>
      <c r="BC536" s="55">
        <f>AW536+AX536</f>
        <v>0</v>
      </c>
      <c r="BD536" s="55">
        <f>H536/(100-BE536)*100</f>
        <v>0</v>
      </c>
      <c r="BE536" s="55">
        <v>0</v>
      </c>
      <c r="BF536" s="55">
        <f>K536</f>
        <v>0.0092</v>
      </c>
      <c r="BH536" s="55">
        <f>G536*AO536</f>
        <v>0</v>
      </c>
      <c r="BI536" s="55">
        <f>G536*AP536</f>
        <v>0</v>
      </c>
      <c r="BJ536" s="55">
        <f>G536*H536</f>
        <v>0</v>
      </c>
      <c r="BK536" s="55"/>
      <c r="BL536" s="55">
        <v>764</v>
      </c>
      <c r="BW536" s="55">
        <v>21</v>
      </c>
    </row>
    <row r="537" spans="1:12" ht="14.4">
      <c r="A537" s="59"/>
      <c r="D537" s="60" t="s">
        <v>147</v>
      </c>
      <c r="E537" s="60" t="s">
        <v>4</v>
      </c>
      <c r="G537" s="68">
        <v>8</v>
      </c>
      <c r="L537" s="69"/>
    </row>
    <row r="538" spans="1:75" ht="13.5" customHeight="1">
      <c r="A538" s="1" t="s">
        <v>1120</v>
      </c>
      <c r="B538" s="2" t="s">
        <v>2629</v>
      </c>
      <c r="C538" s="2" t="s">
        <v>3564</v>
      </c>
      <c r="D538" s="147" t="s">
        <v>3565</v>
      </c>
      <c r="E538" s="148"/>
      <c r="F538" s="2" t="s">
        <v>174</v>
      </c>
      <c r="G538" s="55">
        <f>'Stavební rozpočet-vyplnit'!G1916</f>
        <v>128.5</v>
      </c>
      <c r="H538" s="55">
        <f>'Stavební rozpočet-vyplnit'!H1916</f>
        <v>0</v>
      </c>
      <c r="I538" s="55">
        <f>G538*H538</f>
        <v>0</v>
      </c>
      <c r="J538" s="55">
        <f>'Stavební rozpočet-vyplnit'!J1916</f>
        <v>0.00432</v>
      </c>
      <c r="K538" s="55">
        <f>G538*J538</f>
        <v>0.5551200000000001</v>
      </c>
      <c r="L538" s="57" t="s">
        <v>785</v>
      </c>
      <c r="Z538" s="55">
        <f>IF(AQ538="5",BJ538,0)</f>
        <v>0</v>
      </c>
      <c r="AB538" s="55">
        <f>IF(AQ538="1",BH538,0)</f>
        <v>0</v>
      </c>
      <c r="AC538" s="55">
        <f>IF(AQ538="1",BI538,0)</f>
        <v>0</v>
      </c>
      <c r="AD538" s="55">
        <f>IF(AQ538="7",BH538,0)</f>
        <v>0</v>
      </c>
      <c r="AE538" s="55">
        <f>IF(AQ538="7",BI538,0)</f>
        <v>0</v>
      </c>
      <c r="AF538" s="55">
        <f>IF(AQ538="2",BH538,0)</f>
        <v>0</v>
      </c>
      <c r="AG538" s="55">
        <f>IF(AQ538="2",BI538,0)</f>
        <v>0</v>
      </c>
      <c r="AH538" s="55">
        <f>IF(AQ538="0",BJ538,0)</f>
        <v>0</v>
      </c>
      <c r="AI538" s="34" t="s">
        <v>2629</v>
      </c>
      <c r="AJ538" s="55">
        <f>IF(AN538=0,I538,0)</f>
        <v>0</v>
      </c>
      <c r="AK538" s="55">
        <f>IF(AN538=12,I538,0)</f>
        <v>0</v>
      </c>
      <c r="AL538" s="55">
        <f>IF(AN538=21,I538,0)</f>
        <v>0</v>
      </c>
      <c r="AN538" s="55">
        <v>21</v>
      </c>
      <c r="AO538" s="55">
        <f>H538*0</f>
        <v>0</v>
      </c>
      <c r="AP538" s="55">
        <f>H538*(1-0)</f>
        <v>0</v>
      </c>
      <c r="AQ538" s="58" t="s">
        <v>125</v>
      </c>
      <c r="AV538" s="55">
        <f>AW538+AX538</f>
        <v>0</v>
      </c>
      <c r="AW538" s="55">
        <f>G538*AO538</f>
        <v>0</v>
      </c>
      <c r="AX538" s="55">
        <f>G538*AP538</f>
        <v>0</v>
      </c>
      <c r="AY538" s="58" t="s">
        <v>1875</v>
      </c>
      <c r="AZ538" s="58" t="s">
        <v>3185</v>
      </c>
      <c r="BA538" s="34" t="s">
        <v>2634</v>
      </c>
      <c r="BB538" s="67">
        <v>100011</v>
      </c>
      <c r="BC538" s="55">
        <f>AW538+AX538</f>
        <v>0</v>
      </c>
      <c r="BD538" s="55">
        <f>H538/(100-BE538)*100</f>
        <v>0</v>
      </c>
      <c r="BE538" s="55">
        <v>0</v>
      </c>
      <c r="BF538" s="55">
        <f>K538</f>
        <v>0.5551200000000001</v>
      </c>
      <c r="BH538" s="55">
        <f>G538*AO538</f>
        <v>0</v>
      </c>
      <c r="BI538" s="55">
        <f>G538*AP538</f>
        <v>0</v>
      </c>
      <c r="BJ538" s="55">
        <f>G538*H538</f>
        <v>0</v>
      </c>
      <c r="BK538" s="55"/>
      <c r="BL538" s="55">
        <v>764</v>
      </c>
      <c r="BW538" s="55">
        <v>21</v>
      </c>
    </row>
    <row r="539" spans="1:12" ht="14.4">
      <c r="A539" s="59"/>
      <c r="D539" s="60" t="s">
        <v>3566</v>
      </c>
      <c r="E539" s="60" t="s">
        <v>4</v>
      </c>
      <c r="G539" s="68">
        <v>128.5</v>
      </c>
      <c r="L539" s="69"/>
    </row>
    <row r="540" spans="1:75" ht="13.5" customHeight="1">
      <c r="A540" s="1" t="s">
        <v>1125</v>
      </c>
      <c r="B540" s="2" t="s">
        <v>2629</v>
      </c>
      <c r="C540" s="2" t="s">
        <v>3568</v>
      </c>
      <c r="D540" s="147" t="s">
        <v>3569</v>
      </c>
      <c r="E540" s="148"/>
      <c r="F540" s="2" t="s">
        <v>174</v>
      </c>
      <c r="G540" s="55">
        <f>'Stavební rozpočet-vyplnit'!G1918</f>
        <v>198</v>
      </c>
      <c r="H540" s="55">
        <f>'Stavební rozpočet-vyplnit'!H1918</f>
        <v>0</v>
      </c>
      <c r="I540" s="55">
        <f>G540*H540</f>
        <v>0</v>
      </c>
      <c r="J540" s="55">
        <f>'Stavební rozpočet-vyplnit'!J1918</f>
        <v>0.00445</v>
      </c>
      <c r="K540" s="55">
        <f>G540*J540</f>
        <v>0.8811</v>
      </c>
      <c r="L540" s="57" t="s">
        <v>785</v>
      </c>
      <c r="Z540" s="55">
        <f>IF(AQ540="5",BJ540,0)</f>
        <v>0</v>
      </c>
      <c r="AB540" s="55">
        <f>IF(AQ540="1",BH540,0)</f>
        <v>0</v>
      </c>
      <c r="AC540" s="55">
        <f>IF(AQ540="1",BI540,0)</f>
        <v>0</v>
      </c>
      <c r="AD540" s="55">
        <f>IF(AQ540="7",BH540,0)</f>
        <v>0</v>
      </c>
      <c r="AE540" s="55">
        <f>IF(AQ540="7",BI540,0)</f>
        <v>0</v>
      </c>
      <c r="AF540" s="55">
        <f>IF(AQ540="2",BH540,0)</f>
        <v>0</v>
      </c>
      <c r="AG540" s="55">
        <f>IF(AQ540="2",BI540,0)</f>
        <v>0</v>
      </c>
      <c r="AH540" s="55">
        <f>IF(AQ540="0",BJ540,0)</f>
        <v>0</v>
      </c>
      <c r="AI540" s="34" t="s">
        <v>2629</v>
      </c>
      <c r="AJ540" s="55">
        <f>IF(AN540=0,I540,0)</f>
        <v>0</v>
      </c>
      <c r="AK540" s="55">
        <f>IF(AN540=12,I540,0)</f>
        <v>0</v>
      </c>
      <c r="AL540" s="55">
        <f>IF(AN540=21,I540,0)</f>
        <v>0</v>
      </c>
      <c r="AN540" s="55">
        <v>21</v>
      </c>
      <c r="AO540" s="55">
        <f>H540*0</f>
        <v>0</v>
      </c>
      <c r="AP540" s="55">
        <f>H540*(1-0)</f>
        <v>0</v>
      </c>
      <c r="AQ540" s="58" t="s">
        <v>125</v>
      </c>
      <c r="AV540" s="55">
        <f>AW540+AX540</f>
        <v>0</v>
      </c>
      <c r="AW540" s="55">
        <f>G540*AO540</f>
        <v>0</v>
      </c>
      <c r="AX540" s="55">
        <f>G540*AP540</f>
        <v>0</v>
      </c>
      <c r="AY540" s="58" t="s">
        <v>1875</v>
      </c>
      <c r="AZ540" s="58" t="s">
        <v>3185</v>
      </c>
      <c r="BA540" s="34" t="s">
        <v>2634</v>
      </c>
      <c r="BB540" s="67">
        <v>100011</v>
      </c>
      <c r="BC540" s="55">
        <f>AW540+AX540</f>
        <v>0</v>
      </c>
      <c r="BD540" s="55">
        <f>H540/(100-BE540)*100</f>
        <v>0</v>
      </c>
      <c r="BE540" s="55">
        <v>0</v>
      </c>
      <c r="BF540" s="55">
        <f>K540</f>
        <v>0.8811</v>
      </c>
      <c r="BH540" s="55">
        <f>G540*AO540</f>
        <v>0</v>
      </c>
      <c r="BI540" s="55">
        <f>G540*AP540</f>
        <v>0</v>
      </c>
      <c r="BJ540" s="55">
        <f>G540*H540</f>
        <v>0</v>
      </c>
      <c r="BK540" s="55"/>
      <c r="BL540" s="55">
        <v>764</v>
      </c>
      <c r="BW540" s="55">
        <v>21</v>
      </c>
    </row>
    <row r="541" spans="1:12" ht="14.4">
      <c r="A541" s="59"/>
      <c r="D541" s="60" t="s">
        <v>749</v>
      </c>
      <c r="E541" s="60" t="s">
        <v>4</v>
      </c>
      <c r="G541" s="68">
        <v>198</v>
      </c>
      <c r="L541" s="69"/>
    </row>
    <row r="542" spans="1:75" ht="13.5" customHeight="1">
      <c r="A542" s="1" t="s">
        <v>1129</v>
      </c>
      <c r="B542" s="2" t="s">
        <v>2629</v>
      </c>
      <c r="C542" s="2" t="s">
        <v>3571</v>
      </c>
      <c r="D542" s="147" t="s">
        <v>3572</v>
      </c>
      <c r="E542" s="148"/>
      <c r="F542" s="2" t="s">
        <v>374</v>
      </c>
      <c r="G542" s="55">
        <f>'Stavební rozpočet-vyplnit'!G1920</f>
        <v>198</v>
      </c>
      <c r="H542" s="55">
        <f>'Stavební rozpočet-vyplnit'!H1920</f>
        <v>0</v>
      </c>
      <c r="I542" s="55">
        <f>G542*H542</f>
        <v>0</v>
      </c>
      <c r="J542" s="55">
        <f>'Stavební rozpočet-vyplnit'!J1920</f>
        <v>0.00096</v>
      </c>
      <c r="K542" s="55">
        <f>G542*J542</f>
        <v>0.19008</v>
      </c>
      <c r="L542" s="57" t="s">
        <v>785</v>
      </c>
      <c r="Z542" s="55">
        <f>IF(AQ542="5",BJ542,0)</f>
        <v>0</v>
      </c>
      <c r="AB542" s="55">
        <f>IF(AQ542="1",BH542,0)</f>
        <v>0</v>
      </c>
      <c r="AC542" s="55">
        <f>IF(AQ542="1",BI542,0)</f>
        <v>0</v>
      </c>
      <c r="AD542" s="55">
        <f>IF(AQ542="7",BH542,0)</f>
        <v>0</v>
      </c>
      <c r="AE542" s="55">
        <f>IF(AQ542="7",BI542,0)</f>
        <v>0</v>
      </c>
      <c r="AF542" s="55">
        <f>IF(AQ542="2",BH542,0)</f>
        <v>0</v>
      </c>
      <c r="AG542" s="55">
        <f>IF(AQ542="2",BI542,0)</f>
        <v>0</v>
      </c>
      <c r="AH542" s="55">
        <f>IF(AQ542="0",BJ542,0)</f>
        <v>0</v>
      </c>
      <c r="AI542" s="34" t="s">
        <v>2629</v>
      </c>
      <c r="AJ542" s="55">
        <f>IF(AN542=0,I542,0)</f>
        <v>0</v>
      </c>
      <c r="AK542" s="55">
        <f>IF(AN542=12,I542,0)</f>
        <v>0</v>
      </c>
      <c r="AL542" s="55">
        <f>IF(AN542=21,I542,0)</f>
        <v>0</v>
      </c>
      <c r="AN542" s="55">
        <v>21</v>
      </c>
      <c r="AO542" s="55">
        <f>H542*0</f>
        <v>0</v>
      </c>
      <c r="AP542" s="55">
        <f>H542*(1-0)</f>
        <v>0</v>
      </c>
      <c r="AQ542" s="58" t="s">
        <v>125</v>
      </c>
      <c r="AV542" s="55">
        <f>AW542+AX542</f>
        <v>0</v>
      </c>
      <c r="AW542" s="55">
        <f>G542*AO542</f>
        <v>0</v>
      </c>
      <c r="AX542" s="55">
        <f>G542*AP542</f>
        <v>0</v>
      </c>
      <c r="AY542" s="58" t="s">
        <v>1875</v>
      </c>
      <c r="AZ542" s="58" t="s">
        <v>3185</v>
      </c>
      <c r="BA542" s="34" t="s">
        <v>2634</v>
      </c>
      <c r="BB542" s="67">
        <v>100011</v>
      </c>
      <c r="BC542" s="55">
        <f>AW542+AX542</f>
        <v>0</v>
      </c>
      <c r="BD542" s="55">
        <f>H542/(100-BE542)*100</f>
        <v>0</v>
      </c>
      <c r="BE542" s="55">
        <v>0</v>
      </c>
      <c r="BF542" s="55">
        <f>K542</f>
        <v>0.19008</v>
      </c>
      <c r="BH542" s="55">
        <f>G542*AO542</f>
        <v>0</v>
      </c>
      <c r="BI542" s="55">
        <f>G542*AP542</f>
        <v>0</v>
      </c>
      <c r="BJ542" s="55">
        <f>G542*H542</f>
        <v>0</v>
      </c>
      <c r="BK542" s="55"/>
      <c r="BL542" s="55">
        <v>764</v>
      </c>
      <c r="BW542" s="55">
        <v>21</v>
      </c>
    </row>
    <row r="543" spans="1:12" ht="14.4">
      <c r="A543" s="59"/>
      <c r="D543" s="60" t="s">
        <v>749</v>
      </c>
      <c r="E543" s="60" t="s">
        <v>4</v>
      </c>
      <c r="G543" s="68">
        <v>198</v>
      </c>
      <c r="L543" s="69"/>
    </row>
    <row r="544" spans="1:75" ht="13.5" customHeight="1">
      <c r="A544" s="1" t="s">
        <v>1133</v>
      </c>
      <c r="B544" s="2" t="s">
        <v>2629</v>
      </c>
      <c r="C544" s="2" t="s">
        <v>3574</v>
      </c>
      <c r="D544" s="147" t="s">
        <v>3575</v>
      </c>
      <c r="E544" s="148"/>
      <c r="F544" s="2" t="s">
        <v>374</v>
      </c>
      <c r="G544" s="55">
        <f>'Stavební rozpočet-vyplnit'!G1922</f>
        <v>5</v>
      </c>
      <c r="H544" s="55">
        <f>'Stavební rozpočet-vyplnit'!H1922</f>
        <v>0</v>
      </c>
      <c r="I544" s="55">
        <f>G544*H544</f>
        <v>0</v>
      </c>
      <c r="J544" s="55">
        <f>'Stavební rozpočet-vyplnit'!J1922</f>
        <v>0.00303</v>
      </c>
      <c r="K544" s="55">
        <f>G544*J544</f>
        <v>0.01515</v>
      </c>
      <c r="L544" s="57" t="s">
        <v>785</v>
      </c>
      <c r="Z544" s="55">
        <f>IF(AQ544="5",BJ544,0)</f>
        <v>0</v>
      </c>
      <c r="AB544" s="55">
        <f>IF(AQ544="1",BH544,0)</f>
        <v>0</v>
      </c>
      <c r="AC544" s="55">
        <f>IF(AQ544="1",BI544,0)</f>
        <v>0</v>
      </c>
      <c r="AD544" s="55">
        <f>IF(AQ544="7",BH544,0)</f>
        <v>0</v>
      </c>
      <c r="AE544" s="55">
        <f>IF(AQ544="7",BI544,0)</f>
        <v>0</v>
      </c>
      <c r="AF544" s="55">
        <f>IF(AQ544="2",BH544,0)</f>
        <v>0</v>
      </c>
      <c r="AG544" s="55">
        <f>IF(AQ544="2",BI544,0)</f>
        <v>0</v>
      </c>
      <c r="AH544" s="55">
        <f>IF(AQ544="0",BJ544,0)</f>
        <v>0</v>
      </c>
      <c r="AI544" s="34" t="s">
        <v>2629</v>
      </c>
      <c r="AJ544" s="55">
        <f>IF(AN544=0,I544,0)</f>
        <v>0</v>
      </c>
      <c r="AK544" s="55">
        <f>IF(AN544=12,I544,0)</f>
        <v>0</v>
      </c>
      <c r="AL544" s="55">
        <f>IF(AN544=21,I544,0)</f>
        <v>0</v>
      </c>
      <c r="AN544" s="55">
        <v>21</v>
      </c>
      <c r="AO544" s="55">
        <f>H544*0</f>
        <v>0</v>
      </c>
      <c r="AP544" s="55">
        <f>H544*(1-0)</f>
        <v>0</v>
      </c>
      <c r="AQ544" s="58" t="s">
        <v>125</v>
      </c>
      <c r="AV544" s="55">
        <f>AW544+AX544</f>
        <v>0</v>
      </c>
      <c r="AW544" s="55">
        <f>G544*AO544</f>
        <v>0</v>
      </c>
      <c r="AX544" s="55">
        <f>G544*AP544</f>
        <v>0</v>
      </c>
      <c r="AY544" s="58" t="s">
        <v>1875</v>
      </c>
      <c r="AZ544" s="58" t="s">
        <v>3185</v>
      </c>
      <c r="BA544" s="34" t="s">
        <v>2634</v>
      </c>
      <c r="BB544" s="67">
        <v>100011</v>
      </c>
      <c r="BC544" s="55">
        <f>AW544+AX544</f>
        <v>0</v>
      </c>
      <c r="BD544" s="55">
        <f>H544/(100-BE544)*100</f>
        <v>0</v>
      </c>
      <c r="BE544" s="55">
        <v>0</v>
      </c>
      <c r="BF544" s="55">
        <f>K544</f>
        <v>0.01515</v>
      </c>
      <c r="BH544" s="55">
        <f>G544*AO544</f>
        <v>0</v>
      </c>
      <c r="BI544" s="55">
        <f>G544*AP544</f>
        <v>0</v>
      </c>
      <c r="BJ544" s="55">
        <f>G544*H544</f>
        <v>0</v>
      </c>
      <c r="BK544" s="55"/>
      <c r="BL544" s="55">
        <v>764</v>
      </c>
      <c r="BW544" s="55">
        <v>21</v>
      </c>
    </row>
    <row r="545" spans="1:12" ht="14.4">
      <c r="A545" s="59"/>
      <c r="D545" s="60" t="s">
        <v>139</v>
      </c>
      <c r="E545" s="60" t="s">
        <v>4</v>
      </c>
      <c r="G545" s="68">
        <v>5</v>
      </c>
      <c r="L545" s="69"/>
    </row>
    <row r="546" spans="1:75" ht="13.5" customHeight="1">
      <c r="A546" s="1" t="s">
        <v>1137</v>
      </c>
      <c r="B546" s="2" t="s">
        <v>2629</v>
      </c>
      <c r="C546" s="2" t="s">
        <v>3577</v>
      </c>
      <c r="D546" s="147" t="s">
        <v>3578</v>
      </c>
      <c r="E546" s="148"/>
      <c r="F546" s="2" t="s">
        <v>374</v>
      </c>
      <c r="G546" s="55">
        <f>'Stavební rozpočet-vyplnit'!G1924</f>
        <v>5</v>
      </c>
      <c r="H546" s="55">
        <f>'Stavební rozpočet-vyplnit'!H1924</f>
        <v>0</v>
      </c>
      <c r="I546" s="55">
        <f>G546*H546</f>
        <v>0</v>
      </c>
      <c r="J546" s="55">
        <f>'Stavební rozpočet-vyplnit'!J1924</f>
        <v>0.00081</v>
      </c>
      <c r="K546" s="55">
        <f>G546*J546</f>
        <v>0.00405</v>
      </c>
      <c r="L546" s="57" t="s">
        <v>785</v>
      </c>
      <c r="Z546" s="55">
        <f>IF(AQ546="5",BJ546,0)</f>
        <v>0</v>
      </c>
      <c r="AB546" s="55">
        <f>IF(AQ546="1",BH546,0)</f>
        <v>0</v>
      </c>
      <c r="AC546" s="55">
        <f>IF(AQ546="1",BI546,0)</f>
        <v>0</v>
      </c>
      <c r="AD546" s="55">
        <f>IF(AQ546="7",BH546,0)</f>
        <v>0</v>
      </c>
      <c r="AE546" s="55">
        <f>IF(AQ546="7",BI546,0)</f>
        <v>0</v>
      </c>
      <c r="AF546" s="55">
        <f>IF(AQ546="2",BH546,0)</f>
        <v>0</v>
      </c>
      <c r="AG546" s="55">
        <f>IF(AQ546="2",BI546,0)</f>
        <v>0</v>
      </c>
      <c r="AH546" s="55">
        <f>IF(AQ546="0",BJ546,0)</f>
        <v>0</v>
      </c>
      <c r="AI546" s="34" t="s">
        <v>2629</v>
      </c>
      <c r="AJ546" s="55">
        <f>IF(AN546=0,I546,0)</f>
        <v>0</v>
      </c>
      <c r="AK546" s="55">
        <f>IF(AN546=12,I546,0)</f>
        <v>0</v>
      </c>
      <c r="AL546" s="55">
        <f>IF(AN546=21,I546,0)</f>
        <v>0</v>
      </c>
      <c r="AN546" s="55">
        <v>21</v>
      </c>
      <c r="AO546" s="55">
        <f>H546*0</f>
        <v>0</v>
      </c>
      <c r="AP546" s="55">
        <f>H546*(1-0)</f>
        <v>0</v>
      </c>
      <c r="AQ546" s="58" t="s">
        <v>125</v>
      </c>
      <c r="AV546" s="55">
        <f>AW546+AX546</f>
        <v>0</v>
      </c>
      <c r="AW546" s="55">
        <f>G546*AO546</f>
        <v>0</v>
      </c>
      <c r="AX546" s="55">
        <f>G546*AP546</f>
        <v>0</v>
      </c>
      <c r="AY546" s="58" t="s">
        <v>1875</v>
      </c>
      <c r="AZ546" s="58" t="s">
        <v>3185</v>
      </c>
      <c r="BA546" s="34" t="s">
        <v>2634</v>
      </c>
      <c r="BB546" s="67">
        <v>100011</v>
      </c>
      <c r="BC546" s="55">
        <f>AW546+AX546</f>
        <v>0</v>
      </c>
      <c r="BD546" s="55">
        <f>H546/(100-BE546)*100</f>
        <v>0</v>
      </c>
      <c r="BE546" s="55">
        <v>0</v>
      </c>
      <c r="BF546" s="55">
        <f>K546</f>
        <v>0.00405</v>
      </c>
      <c r="BH546" s="55">
        <f>G546*AO546</f>
        <v>0</v>
      </c>
      <c r="BI546" s="55">
        <f>G546*AP546</f>
        <v>0</v>
      </c>
      <c r="BJ546" s="55">
        <f>G546*H546</f>
        <v>0</v>
      </c>
      <c r="BK546" s="55"/>
      <c r="BL546" s="55">
        <v>764</v>
      </c>
      <c r="BW546" s="55">
        <v>21</v>
      </c>
    </row>
    <row r="547" spans="1:12" ht="14.4">
      <c r="A547" s="59"/>
      <c r="D547" s="60" t="s">
        <v>139</v>
      </c>
      <c r="E547" s="60" t="s">
        <v>4</v>
      </c>
      <c r="G547" s="68">
        <v>5</v>
      </c>
      <c r="L547" s="69"/>
    </row>
    <row r="548" spans="1:75" ht="13.5" customHeight="1">
      <c r="A548" s="1" t="s">
        <v>1146</v>
      </c>
      <c r="B548" s="2" t="s">
        <v>2629</v>
      </c>
      <c r="C548" s="2" t="s">
        <v>3580</v>
      </c>
      <c r="D548" s="147" t="s">
        <v>3581</v>
      </c>
      <c r="E548" s="148"/>
      <c r="F548" s="2" t="s">
        <v>729</v>
      </c>
      <c r="G548" s="55">
        <f>'Stavební rozpočet-vyplnit'!G1926</f>
        <v>7.2</v>
      </c>
      <c r="H548" s="55">
        <f>'Stavební rozpočet-vyplnit'!H1926</f>
        <v>0</v>
      </c>
      <c r="I548" s="55">
        <f>G548*H548</f>
        <v>0</v>
      </c>
      <c r="J548" s="55">
        <f>'Stavební rozpočet-vyplnit'!J1926</f>
        <v>0.00721</v>
      </c>
      <c r="K548" s="55">
        <f>G548*J548</f>
        <v>0.051912</v>
      </c>
      <c r="L548" s="57" t="s">
        <v>785</v>
      </c>
      <c r="Z548" s="55">
        <f>IF(AQ548="5",BJ548,0)</f>
        <v>0</v>
      </c>
      <c r="AB548" s="55">
        <f>IF(AQ548="1",BH548,0)</f>
        <v>0</v>
      </c>
      <c r="AC548" s="55">
        <f>IF(AQ548="1",BI548,0)</f>
        <v>0</v>
      </c>
      <c r="AD548" s="55">
        <f>IF(AQ548="7",BH548,0)</f>
        <v>0</v>
      </c>
      <c r="AE548" s="55">
        <f>IF(AQ548="7",BI548,0)</f>
        <v>0</v>
      </c>
      <c r="AF548" s="55">
        <f>IF(AQ548="2",BH548,0)</f>
        <v>0</v>
      </c>
      <c r="AG548" s="55">
        <f>IF(AQ548="2",BI548,0)</f>
        <v>0</v>
      </c>
      <c r="AH548" s="55">
        <f>IF(AQ548="0",BJ548,0)</f>
        <v>0</v>
      </c>
      <c r="AI548" s="34" t="s">
        <v>2629</v>
      </c>
      <c r="AJ548" s="55">
        <f>IF(AN548=0,I548,0)</f>
        <v>0</v>
      </c>
      <c r="AK548" s="55">
        <f>IF(AN548=12,I548,0)</f>
        <v>0</v>
      </c>
      <c r="AL548" s="55">
        <f>IF(AN548=21,I548,0)</f>
        <v>0</v>
      </c>
      <c r="AN548" s="55">
        <v>21</v>
      </c>
      <c r="AO548" s="55">
        <f>H548*0</f>
        <v>0</v>
      </c>
      <c r="AP548" s="55">
        <f>H548*(1-0)</f>
        <v>0</v>
      </c>
      <c r="AQ548" s="58" t="s">
        <v>125</v>
      </c>
      <c r="AV548" s="55">
        <f>AW548+AX548</f>
        <v>0</v>
      </c>
      <c r="AW548" s="55">
        <f>G548*AO548</f>
        <v>0</v>
      </c>
      <c r="AX548" s="55">
        <f>G548*AP548</f>
        <v>0</v>
      </c>
      <c r="AY548" s="58" t="s">
        <v>1875</v>
      </c>
      <c r="AZ548" s="58" t="s">
        <v>3185</v>
      </c>
      <c r="BA548" s="34" t="s">
        <v>2634</v>
      </c>
      <c r="BB548" s="67">
        <v>100011</v>
      </c>
      <c r="BC548" s="55">
        <f>AW548+AX548</f>
        <v>0</v>
      </c>
      <c r="BD548" s="55">
        <f>H548/(100-BE548)*100</f>
        <v>0</v>
      </c>
      <c r="BE548" s="55">
        <v>0</v>
      </c>
      <c r="BF548" s="55">
        <f>K548</f>
        <v>0.051912</v>
      </c>
      <c r="BH548" s="55">
        <f>G548*AO548</f>
        <v>0</v>
      </c>
      <c r="BI548" s="55">
        <f>G548*AP548</f>
        <v>0</v>
      </c>
      <c r="BJ548" s="55">
        <f>G548*H548</f>
        <v>0</v>
      </c>
      <c r="BK548" s="55"/>
      <c r="BL548" s="55">
        <v>764</v>
      </c>
      <c r="BW548" s="55">
        <v>21</v>
      </c>
    </row>
    <row r="549" spans="1:12" ht="14.4">
      <c r="A549" s="59"/>
      <c r="D549" s="60" t="s">
        <v>3582</v>
      </c>
      <c r="E549" s="60" t="s">
        <v>4</v>
      </c>
      <c r="G549" s="68">
        <v>7.2</v>
      </c>
      <c r="L549" s="69"/>
    </row>
    <row r="550" spans="1:75" ht="13.5" customHeight="1">
      <c r="A550" s="1" t="s">
        <v>1152</v>
      </c>
      <c r="B550" s="2" t="s">
        <v>2629</v>
      </c>
      <c r="C550" s="2" t="s">
        <v>3584</v>
      </c>
      <c r="D550" s="147" t="s">
        <v>3585</v>
      </c>
      <c r="E550" s="148"/>
      <c r="F550" s="2" t="s">
        <v>374</v>
      </c>
      <c r="G550" s="55">
        <f>'Stavební rozpočet-vyplnit'!G1928</f>
        <v>8</v>
      </c>
      <c r="H550" s="55">
        <f>'Stavební rozpočet-vyplnit'!H1928</f>
        <v>0</v>
      </c>
      <c r="I550" s="55">
        <f>G550*H550</f>
        <v>0</v>
      </c>
      <c r="J550" s="55">
        <f>'Stavební rozpočet-vyplnit'!J1928</f>
        <v>0.02008</v>
      </c>
      <c r="K550" s="55">
        <f>G550*J550</f>
        <v>0.16064</v>
      </c>
      <c r="L550" s="57" t="s">
        <v>785</v>
      </c>
      <c r="Z550" s="55">
        <f>IF(AQ550="5",BJ550,0)</f>
        <v>0</v>
      </c>
      <c r="AB550" s="55">
        <f>IF(AQ550="1",BH550,0)</f>
        <v>0</v>
      </c>
      <c r="AC550" s="55">
        <f>IF(AQ550="1",BI550,0)</f>
        <v>0</v>
      </c>
      <c r="AD550" s="55">
        <f>IF(AQ550="7",BH550,0)</f>
        <v>0</v>
      </c>
      <c r="AE550" s="55">
        <f>IF(AQ550="7",BI550,0)</f>
        <v>0</v>
      </c>
      <c r="AF550" s="55">
        <f>IF(AQ550="2",BH550,0)</f>
        <v>0</v>
      </c>
      <c r="AG550" s="55">
        <f>IF(AQ550="2",BI550,0)</f>
        <v>0</v>
      </c>
      <c r="AH550" s="55">
        <f>IF(AQ550="0",BJ550,0)</f>
        <v>0</v>
      </c>
      <c r="AI550" s="34" t="s">
        <v>2629</v>
      </c>
      <c r="AJ550" s="55">
        <f>IF(AN550=0,I550,0)</f>
        <v>0</v>
      </c>
      <c r="AK550" s="55">
        <f>IF(AN550=12,I550,0)</f>
        <v>0</v>
      </c>
      <c r="AL550" s="55">
        <f>IF(AN550=21,I550,0)</f>
        <v>0</v>
      </c>
      <c r="AN550" s="55">
        <v>21</v>
      </c>
      <c r="AO550" s="55">
        <f>H550*0</f>
        <v>0</v>
      </c>
      <c r="AP550" s="55">
        <f>H550*(1-0)</f>
        <v>0</v>
      </c>
      <c r="AQ550" s="58" t="s">
        <v>125</v>
      </c>
      <c r="AV550" s="55">
        <f>AW550+AX550</f>
        <v>0</v>
      </c>
      <c r="AW550" s="55">
        <f>G550*AO550</f>
        <v>0</v>
      </c>
      <c r="AX550" s="55">
        <f>G550*AP550</f>
        <v>0</v>
      </c>
      <c r="AY550" s="58" t="s">
        <v>1875</v>
      </c>
      <c r="AZ550" s="58" t="s">
        <v>3185</v>
      </c>
      <c r="BA550" s="34" t="s">
        <v>2634</v>
      </c>
      <c r="BB550" s="67">
        <v>100011</v>
      </c>
      <c r="BC550" s="55">
        <f>AW550+AX550</f>
        <v>0</v>
      </c>
      <c r="BD550" s="55">
        <f>H550/(100-BE550)*100</f>
        <v>0</v>
      </c>
      <c r="BE550" s="55">
        <v>0</v>
      </c>
      <c r="BF550" s="55">
        <f>K550</f>
        <v>0.16064</v>
      </c>
      <c r="BH550" s="55">
        <f>G550*AO550</f>
        <v>0</v>
      </c>
      <c r="BI550" s="55">
        <f>G550*AP550</f>
        <v>0</v>
      </c>
      <c r="BJ550" s="55">
        <f>G550*H550</f>
        <v>0</v>
      </c>
      <c r="BK550" s="55"/>
      <c r="BL550" s="55">
        <v>764</v>
      </c>
      <c r="BW550" s="55">
        <v>21</v>
      </c>
    </row>
    <row r="551" spans="1:12" ht="14.4">
      <c r="A551" s="59"/>
      <c r="D551" s="60" t="s">
        <v>147</v>
      </c>
      <c r="E551" s="60" t="s">
        <v>4</v>
      </c>
      <c r="G551" s="68">
        <v>8</v>
      </c>
      <c r="L551" s="69"/>
    </row>
    <row r="552" spans="1:75" ht="13.5" customHeight="1">
      <c r="A552" s="1" t="s">
        <v>1157</v>
      </c>
      <c r="B552" s="2" t="s">
        <v>2629</v>
      </c>
      <c r="C552" s="2" t="s">
        <v>1897</v>
      </c>
      <c r="D552" s="147" t="s">
        <v>1898</v>
      </c>
      <c r="E552" s="148"/>
      <c r="F552" s="2" t="s">
        <v>939</v>
      </c>
      <c r="G552" s="55">
        <f>'Stavební rozpočet-vyplnit'!G1930</f>
        <v>6.41</v>
      </c>
      <c r="H552" s="55">
        <f>'Stavební rozpočet-vyplnit'!H1930</f>
        <v>0</v>
      </c>
      <c r="I552" s="55">
        <f>G552*H552</f>
        <v>0</v>
      </c>
      <c r="J552" s="55">
        <f>'Stavební rozpočet-vyplnit'!J1930</f>
        <v>0</v>
      </c>
      <c r="K552" s="55">
        <f>G552*J552</f>
        <v>0</v>
      </c>
      <c r="L552" s="57" t="s">
        <v>785</v>
      </c>
      <c r="Z552" s="55">
        <f>IF(AQ552="5",BJ552,0)</f>
        <v>0</v>
      </c>
      <c r="AB552" s="55">
        <f>IF(AQ552="1",BH552,0)</f>
        <v>0</v>
      </c>
      <c r="AC552" s="55">
        <f>IF(AQ552="1",BI552,0)</f>
        <v>0</v>
      </c>
      <c r="AD552" s="55">
        <f>IF(AQ552="7",BH552,0)</f>
        <v>0</v>
      </c>
      <c r="AE552" s="55">
        <f>IF(AQ552="7",BI552,0)</f>
        <v>0</v>
      </c>
      <c r="AF552" s="55">
        <f>IF(AQ552="2",BH552,0)</f>
        <v>0</v>
      </c>
      <c r="AG552" s="55">
        <f>IF(AQ552="2",BI552,0)</f>
        <v>0</v>
      </c>
      <c r="AH552" s="55">
        <f>IF(AQ552="0",BJ552,0)</f>
        <v>0</v>
      </c>
      <c r="AI552" s="34" t="s">
        <v>2629</v>
      </c>
      <c r="AJ552" s="55">
        <f>IF(AN552=0,I552,0)</f>
        <v>0</v>
      </c>
      <c r="AK552" s="55">
        <f>IF(AN552=12,I552,0)</f>
        <v>0</v>
      </c>
      <c r="AL552" s="55">
        <f>IF(AN552=21,I552,0)</f>
        <v>0</v>
      </c>
      <c r="AN552" s="55">
        <v>21</v>
      </c>
      <c r="AO552" s="55">
        <f>H552*0</f>
        <v>0</v>
      </c>
      <c r="AP552" s="55">
        <f>H552*(1-0)</f>
        <v>0</v>
      </c>
      <c r="AQ552" s="58" t="s">
        <v>139</v>
      </c>
      <c r="AV552" s="55">
        <f>AW552+AX552</f>
        <v>0</v>
      </c>
      <c r="AW552" s="55">
        <f>G552*AO552</f>
        <v>0</v>
      </c>
      <c r="AX552" s="55">
        <f>G552*AP552</f>
        <v>0</v>
      </c>
      <c r="AY552" s="58" t="s">
        <v>1875</v>
      </c>
      <c r="AZ552" s="58" t="s">
        <v>3185</v>
      </c>
      <c r="BA552" s="34" t="s">
        <v>2634</v>
      </c>
      <c r="BC552" s="55">
        <f>AW552+AX552</f>
        <v>0</v>
      </c>
      <c r="BD552" s="55">
        <f>H552/(100-BE552)*100</f>
        <v>0</v>
      </c>
      <c r="BE552" s="55">
        <v>0</v>
      </c>
      <c r="BF552" s="55">
        <f>K552</f>
        <v>0</v>
      </c>
      <c r="BH552" s="55">
        <f>G552*AO552</f>
        <v>0</v>
      </c>
      <c r="BI552" s="55">
        <f>G552*AP552</f>
        <v>0</v>
      </c>
      <c r="BJ552" s="55">
        <f>G552*H552</f>
        <v>0</v>
      </c>
      <c r="BK552" s="55"/>
      <c r="BL552" s="55">
        <v>764</v>
      </c>
      <c r="BW552" s="55">
        <v>21</v>
      </c>
    </row>
    <row r="553" spans="1:12" ht="14.4">
      <c r="A553" s="59"/>
      <c r="D553" s="60" t="s">
        <v>3587</v>
      </c>
      <c r="E553" s="60" t="s">
        <v>4</v>
      </c>
      <c r="G553" s="68">
        <v>6.41</v>
      </c>
      <c r="L553" s="69"/>
    </row>
    <row r="554" spans="1:47" ht="14.4">
      <c r="A554" s="50" t="s">
        <v>4</v>
      </c>
      <c r="B554" s="51" t="s">
        <v>2629</v>
      </c>
      <c r="C554" s="51" t="s">
        <v>1900</v>
      </c>
      <c r="D554" s="222" t="s">
        <v>1901</v>
      </c>
      <c r="E554" s="223"/>
      <c r="F554" s="52" t="s">
        <v>79</v>
      </c>
      <c r="G554" s="52" t="s">
        <v>79</v>
      </c>
      <c r="H554" s="52" t="s">
        <v>79</v>
      </c>
      <c r="I554" s="27">
        <f>SUM(I555:I572)</f>
        <v>0</v>
      </c>
      <c r="J554" s="34" t="s">
        <v>4</v>
      </c>
      <c r="K554" s="27">
        <f>SUM(K555:K572)</f>
        <v>0.42424720000000005</v>
      </c>
      <c r="L554" s="54" t="s">
        <v>4</v>
      </c>
      <c r="AI554" s="34" t="s">
        <v>2629</v>
      </c>
      <c r="AS554" s="27">
        <f>SUM(AJ555:AJ572)</f>
        <v>0</v>
      </c>
      <c r="AT554" s="27">
        <f>SUM(AK555:AK572)</f>
        <v>0</v>
      </c>
      <c r="AU554" s="27">
        <f>SUM(AL555:AL572)</f>
        <v>0</v>
      </c>
    </row>
    <row r="555" spans="1:75" ht="13.5" customHeight="1">
      <c r="A555" s="1" t="s">
        <v>1161</v>
      </c>
      <c r="B555" s="2" t="s">
        <v>2629</v>
      </c>
      <c r="C555" s="2" t="s">
        <v>3589</v>
      </c>
      <c r="D555" s="147" t="s">
        <v>3590</v>
      </c>
      <c r="E555" s="148"/>
      <c r="F555" s="2" t="s">
        <v>729</v>
      </c>
      <c r="G555" s="55">
        <f>'Stavební rozpočet-vyplnit'!G1933</f>
        <v>10.24</v>
      </c>
      <c r="H555" s="55">
        <f>'Stavební rozpočet-vyplnit'!H1933</f>
        <v>0</v>
      </c>
      <c r="I555" s="55">
        <f>G555*H555</f>
        <v>0</v>
      </c>
      <c r="J555" s="55">
        <f>'Stavební rozpočet-vyplnit'!J1933</f>
        <v>0.0003</v>
      </c>
      <c r="K555" s="55">
        <f>G555*J555</f>
        <v>0.0030719999999999996</v>
      </c>
      <c r="L555" s="57" t="s">
        <v>785</v>
      </c>
      <c r="Z555" s="55">
        <f>IF(AQ555="5",BJ555,0)</f>
        <v>0</v>
      </c>
      <c r="AB555" s="55">
        <f>IF(AQ555="1",BH555,0)</f>
        <v>0</v>
      </c>
      <c r="AC555" s="55">
        <f>IF(AQ555="1",BI555,0)</f>
        <v>0</v>
      </c>
      <c r="AD555" s="55">
        <f>IF(AQ555="7",BH555,0)</f>
        <v>0</v>
      </c>
      <c r="AE555" s="55">
        <f>IF(AQ555="7",BI555,0)</f>
        <v>0</v>
      </c>
      <c r="AF555" s="55">
        <f>IF(AQ555="2",BH555,0)</f>
        <v>0</v>
      </c>
      <c r="AG555" s="55">
        <f>IF(AQ555="2",BI555,0)</f>
        <v>0</v>
      </c>
      <c r="AH555" s="55">
        <f>IF(AQ555="0",BJ555,0)</f>
        <v>0</v>
      </c>
      <c r="AI555" s="34" t="s">
        <v>2629</v>
      </c>
      <c r="AJ555" s="55">
        <f>IF(AN555=0,I555,0)</f>
        <v>0</v>
      </c>
      <c r="AK555" s="55">
        <f>IF(AN555=12,I555,0)</f>
        <v>0</v>
      </c>
      <c r="AL555" s="55">
        <f>IF(AN555=21,I555,0)</f>
        <v>0</v>
      </c>
      <c r="AN555" s="55">
        <v>21</v>
      </c>
      <c r="AO555" s="55">
        <f>H555*0.037239461</f>
        <v>0</v>
      </c>
      <c r="AP555" s="55">
        <f>H555*(1-0.037239461)</f>
        <v>0</v>
      </c>
      <c r="AQ555" s="58" t="s">
        <v>125</v>
      </c>
      <c r="AV555" s="55">
        <f>AW555+AX555</f>
        <v>0</v>
      </c>
      <c r="AW555" s="55">
        <f>G555*AO555</f>
        <v>0</v>
      </c>
      <c r="AX555" s="55">
        <f>G555*AP555</f>
        <v>0</v>
      </c>
      <c r="AY555" s="58" t="s">
        <v>1905</v>
      </c>
      <c r="AZ555" s="58" t="s">
        <v>3185</v>
      </c>
      <c r="BA555" s="34" t="s">
        <v>2634</v>
      </c>
      <c r="BB555" s="67">
        <v>100007</v>
      </c>
      <c r="BC555" s="55">
        <f>AW555+AX555</f>
        <v>0</v>
      </c>
      <c r="BD555" s="55">
        <f>H555/(100-BE555)*100</f>
        <v>0</v>
      </c>
      <c r="BE555" s="55">
        <v>0</v>
      </c>
      <c r="BF555" s="55">
        <f>K555</f>
        <v>0.0030719999999999996</v>
      </c>
      <c r="BH555" s="55">
        <f>G555*AO555</f>
        <v>0</v>
      </c>
      <c r="BI555" s="55">
        <f>G555*AP555</f>
        <v>0</v>
      </c>
      <c r="BJ555" s="55">
        <f>G555*H555</f>
        <v>0</v>
      </c>
      <c r="BK555" s="55"/>
      <c r="BL555" s="55">
        <v>766</v>
      </c>
      <c r="BW555" s="55">
        <v>21</v>
      </c>
    </row>
    <row r="556" spans="1:12" ht="14.4">
      <c r="A556" s="59"/>
      <c r="D556" s="60" t="s">
        <v>3591</v>
      </c>
      <c r="E556" s="60" t="s">
        <v>816</v>
      </c>
      <c r="G556" s="68">
        <v>10.24</v>
      </c>
      <c r="L556" s="69"/>
    </row>
    <row r="557" spans="1:75" ht="13.5" customHeight="1">
      <c r="A557" s="61" t="s">
        <v>1165</v>
      </c>
      <c r="B557" s="62" t="s">
        <v>2629</v>
      </c>
      <c r="C557" s="62" t="s">
        <v>3593</v>
      </c>
      <c r="D557" s="224" t="s">
        <v>3594</v>
      </c>
      <c r="E557" s="225"/>
      <c r="F557" s="62" t="s">
        <v>729</v>
      </c>
      <c r="G557" s="63">
        <f>'Stavební rozpočet-vyplnit'!G1935</f>
        <v>11.26</v>
      </c>
      <c r="H557" s="63">
        <f>'Stavební rozpočet-vyplnit'!H1935</f>
        <v>0</v>
      </c>
      <c r="I557" s="63">
        <f>G557*H557</f>
        <v>0</v>
      </c>
      <c r="J557" s="63">
        <f>'Stavební rozpočet-vyplnit'!J1935</f>
        <v>0.0098</v>
      </c>
      <c r="K557" s="63">
        <f>G557*J557</f>
        <v>0.11034799999999999</v>
      </c>
      <c r="L557" s="65" t="s">
        <v>785</v>
      </c>
      <c r="Z557" s="55">
        <f>IF(AQ557="5",BJ557,0)</f>
        <v>0</v>
      </c>
      <c r="AB557" s="55">
        <f>IF(AQ557="1",BH557,0)</f>
        <v>0</v>
      </c>
      <c r="AC557" s="55">
        <f>IF(AQ557="1",BI557,0)</f>
        <v>0</v>
      </c>
      <c r="AD557" s="55">
        <f>IF(AQ557="7",BH557,0)</f>
        <v>0</v>
      </c>
      <c r="AE557" s="55">
        <f>IF(AQ557="7",BI557,0)</f>
        <v>0</v>
      </c>
      <c r="AF557" s="55">
        <f>IF(AQ557="2",BH557,0)</f>
        <v>0</v>
      </c>
      <c r="AG557" s="55">
        <f>IF(AQ557="2",BI557,0)</f>
        <v>0</v>
      </c>
      <c r="AH557" s="55">
        <f>IF(AQ557="0",BJ557,0)</f>
        <v>0</v>
      </c>
      <c r="AI557" s="34" t="s">
        <v>2629</v>
      </c>
      <c r="AJ557" s="63">
        <f>IF(AN557=0,I557,0)</f>
        <v>0</v>
      </c>
      <c r="AK557" s="63">
        <f>IF(AN557=12,I557,0)</f>
        <v>0</v>
      </c>
      <c r="AL557" s="63">
        <f>IF(AN557=21,I557,0)</f>
        <v>0</v>
      </c>
      <c r="AN557" s="55">
        <v>21</v>
      </c>
      <c r="AO557" s="55">
        <f>H557*1</f>
        <v>0</v>
      </c>
      <c r="AP557" s="55">
        <f>H557*(1-1)</f>
        <v>0</v>
      </c>
      <c r="AQ557" s="66" t="s">
        <v>125</v>
      </c>
      <c r="AV557" s="55">
        <f>AW557+AX557</f>
        <v>0</v>
      </c>
      <c r="AW557" s="55">
        <f>G557*AO557</f>
        <v>0</v>
      </c>
      <c r="AX557" s="55">
        <f>G557*AP557</f>
        <v>0</v>
      </c>
      <c r="AY557" s="58" t="s">
        <v>1905</v>
      </c>
      <c r="AZ557" s="58" t="s">
        <v>3185</v>
      </c>
      <c r="BA557" s="34" t="s">
        <v>2634</v>
      </c>
      <c r="BC557" s="55">
        <f>AW557+AX557</f>
        <v>0</v>
      </c>
      <c r="BD557" s="55">
        <f>H557/(100-BE557)*100</f>
        <v>0</v>
      </c>
      <c r="BE557" s="55">
        <v>0</v>
      </c>
      <c r="BF557" s="55">
        <f>K557</f>
        <v>0.11034799999999999</v>
      </c>
      <c r="BH557" s="63">
        <f>G557*AO557</f>
        <v>0</v>
      </c>
      <c r="BI557" s="63">
        <f>G557*AP557</f>
        <v>0</v>
      </c>
      <c r="BJ557" s="63">
        <f>G557*H557</f>
        <v>0</v>
      </c>
      <c r="BK557" s="63"/>
      <c r="BL557" s="55">
        <v>766</v>
      </c>
      <c r="BW557" s="55">
        <v>21</v>
      </c>
    </row>
    <row r="558" spans="1:12" ht="14.4">
      <c r="A558" s="59"/>
      <c r="D558" s="60" t="s">
        <v>3595</v>
      </c>
      <c r="E558" s="60" t="s">
        <v>4</v>
      </c>
      <c r="G558" s="68">
        <v>10.24</v>
      </c>
      <c r="L558" s="69"/>
    </row>
    <row r="559" spans="1:12" ht="14.4">
      <c r="A559" s="59"/>
      <c r="D559" s="60" t="s">
        <v>3596</v>
      </c>
      <c r="E559" s="60" t="s">
        <v>4</v>
      </c>
      <c r="G559" s="68">
        <v>1.02</v>
      </c>
      <c r="L559" s="69"/>
    </row>
    <row r="560" spans="1:75" ht="13.5" customHeight="1">
      <c r="A560" s="1" t="s">
        <v>1168</v>
      </c>
      <c r="B560" s="2" t="s">
        <v>2629</v>
      </c>
      <c r="C560" s="2" t="s">
        <v>3598</v>
      </c>
      <c r="D560" s="147" t="s">
        <v>3599</v>
      </c>
      <c r="E560" s="148"/>
      <c r="F560" s="2" t="s">
        <v>174</v>
      </c>
      <c r="G560" s="55">
        <f>'Stavební rozpočet-vyplnit'!G1938</f>
        <v>10.24</v>
      </c>
      <c r="H560" s="55">
        <f>'Stavební rozpočet-vyplnit'!H1938</f>
        <v>0</v>
      </c>
      <c r="I560" s="55">
        <f>G560*H560</f>
        <v>0</v>
      </c>
      <c r="J560" s="55">
        <f>'Stavební rozpočet-vyplnit'!J1938</f>
        <v>0.00028</v>
      </c>
      <c r="K560" s="55">
        <f>G560*J560</f>
        <v>0.0028672</v>
      </c>
      <c r="L560" s="57" t="s">
        <v>124</v>
      </c>
      <c r="Z560" s="55">
        <f>IF(AQ560="5",BJ560,0)</f>
        <v>0</v>
      </c>
      <c r="AB560" s="55">
        <f>IF(AQ560="1",BH560,0)</f>
        <v>0</v>
      </c>
      <c r="AC560" s="55">
        <f>IF(AQ560="1",BI560,0)</f>
        <v>0</v>
      </c>
      <c r="AD560" s="55">
        <f>IF(AQ560="7",BH560,0)</f>
        <v>0</v>
      </c>
      <c r="AE560" s="55">
        <f>IF(AQ560="7",BI560,0)</f>
        <v>0</v>
      </c>
      <c r="AF560" s="55">
        <f>IF(AQ560="2",BH560,0)</f>
        <v>0</v>
      </c>
      <c r="AG560" s="55">
        <f>IF(AQ560="2",BI560,0)</f>
        <v>0</v>
      </c>
      <c r="AH560" s="55">
        <f>IF(AQ560="0",BJ560,0)</f>
        <v>0</v>
      </c>
      <c r="AI560" s="34" t="s">
        <v>2629</v>
      </c>
      <c r="AJ560" s="55">
        <f>IF(AN560=0,I560,0)</f>
        <v>0</v>
      </c>
      <c r="AK560" s="55">
        <f>IF(AN560=12,I560,0)</f>
        <v>0</v>
      </c>
      <c r="AL560" s="55">
        <f>IF(AN560=21,I560,0)</f>
        <v>0</v>
      </c>
      <c r="AN560" s="55">
        <v>21</v>
      </c>
      <c r="AO560" s="55">
        <f>H560*0.320416672</f>
        <v>0</v>
      </c>
      <c r="AP560" s="55">
        <f>H560*(1-0.320416672)</f>
        <v>0</v>
      </c>
      <c r="AQ560" s="58" t="s">
        <v>125</v>
      </c>
      <c r="AV560" s="55">
        <f>AW560+AX560</f>
        <v>0</v>
      </c>
      <c r="AW560" s="55">
        <f>G560*AO560</f>
        <v>0</v>
      </c>
      <c r="AX560" s="55">
        <f>G560*AP560</f>
        <v>0</v>
      </c>
      <c r="AY560" s="58" t="s">
        <v>1905</v>
      </c>
      <c r="AZ560" s="58" t="s">
        <v>3185</v>
      </c>
      <c r="BA560" s="34" t="s">
        <v>2634</v>
      </c>
      <c r="BB560" s="67">
        <v>100007</v>
      </c>
      <c r="BC560" s="55">
        <f>AW560+AX560</f>
        <v>0</v>
      </c>
      <c r="BD560" s="55">
        <f>H560/(100-BE560)*100</f>
        <v>0</v>
      </c>
      <c r="BE560" s="55">
        <v>0</v>
      </c>
      <c r="BF560" s="55">
        <f>K560</f>
        <v>0.0028672</v>
      </c>
      <c r="BH560" s="55">
        <f>G560*AO560</f>
        <v>0</v>
      </c>
      <c r="BI560" s="55">
        <f>G560*AP560</f>
        <v>0</v>
      </c>
      <c r="BJ560" s="55">
        <f>G560*H560</f>
        <v>0</v>
      </c>
      <c r="BK560" s="55"/>
      <c r="BL560" s="55">
        <v>766</v>
      </c>
      <c r="BW560" s="55">
        <v>21</v>
      </c>
    </row>
    <row r="561" spans="1:12" ht="14.4">
      <c r="A561" s="59"/>
      <c r="D561" s="60" t="s">
        <v>3595</v>
      </c>
      <c r="E561" s="60" t="s">
        <v>4</v>
      </c>
      <c r="G561" s="68">
        <v>10.24</v>
      </c>
      <c r="L561" s="69"/>
    </row>
    <row r="562" spans="1:75" ht="13.5" customHeight="1">
      <c r="A562" s="1" t="s">
        <v>1171</v>
      </c>
      <c r="B562" s="2" t="s">
        <v>2629</v>
      </c>
      <c r="C562" s="2" t="s">
        <v>3601</v>
      </c>
      <c r="D562" s="147" t="s">
        <v>3602</v>
      </c>
      <c r="E562" s="148"/>
      <c r="F562" s="2" t="s">
        <v>374</v>
      </c>
      <c r="G562" s="55">
        <f>'Stavební rozpočet-vyplnit'!G1940</f>
        <v>3</v>
      </c>
      <c r="H562" s="55">
        <f>'Stavební rozpočet-vyplnit'!H1940</f>
        <v>0</v>
      </c>
      <c r="I562" s="55">
        <f>G562*H562</f>
        <v>0</v>
      </c>
      <c r="J562" s="55">
        <f>'Stavební rozpočet-vyplnit'!J1940</f>
        <v>0.00028</v>
      </c>
      <c r="K562" s="55">
        <f>G562*J562</f>
        <v>0.0008399999999999999</v>
      </c>
      <c r="L562" s="57" t="s">
        <v>785</v>
      </c>
      <c r="Z562" s="55">
        <f>IF(AQ562="5",BJ562,0)</f>
        <v>0</v>
      </c>
      <c r="AB562" s="55">
        <f>IF(AQ562="1",BH562,0)</f>
        <v>0</v>
      </c>
      <c r="AC562" s="55">
        <f>IF(AQ562="1",BI562,0)</f>
        <v>0</v>
      </c>
      <c r="AD562" s="55">
        <f>IF(AQ562="7",BH562,0)</f>
        <v>0</v>
      </c>
      <c r="AE562" s="55">
        <f>IF(AQ562="7",BI562,0)</f>
        <v>0</v>
      </c>
      <c r="AF562" s="55">
        <f>IF(AQ562="2",BH562,0)</f>
        <v>0</v>
      </c>
      <c r="AG562" s="55">
        <f>IF(AQ562="2",BI562,0)</f>
        <v>0</v>
      </c>
      <c r="AH562" s="55">
        <f>IF(AQ562="0",BJ562,0)</f>
        <v>0</v>
      </c>
      <c r="AI562" s="34" t="s">
        <v>2629</v>
      </c>
      <c r="AJ562" s="55">
        <f>IF(AN562=0,I562,0)</f>
        <v>0</v>
      </c>
      <c r="AK562" s="55">
        <f>IF(AN562=12,I562,0)</f>
        <v>0</v>
      </c>
      <c r="AL562" s="55">
        <f>IF(AN562=21,I562,0)</f>
        <v>0</v>
      </c>
      <c r="AN562" s="55">
        <v>21</v>
      </c>
      <c r="AO562" s="55">
        <f>H562*0.00825332</f>
        <v>0</v>
      </c>
      <c r="AP562" s="55">
        <f>H562*(1-0.00825332)</f>
        <v>0</v>
      </c>
      <c r="AQ562" s="58" t="s">
        <v>125</v>
      </c>
      <c r="AV562" s="55">
        <f>AW562+AX562</f>
        <v>0</v>
      </c>
      <c r="AW562" s="55">
        <f>G562*AO562</f>
        <v>0</v>
      </c>
      <c r="AX562" s="55">
        <f>G562*AP562</f>
        <v>0</v>
      </c>
      <c r="AY562" s="58" t="s">
        <v>1905</v>
      </c>
      <c r="AZ562" s="58" t="s">
        <v>3185</v>
      </c>
      <c r="BA562" s="34" t="s">
        <v>2634</v>
      </c>
      <c r="BB562" s="67">
        <v>100007</v>
      </c>
      <c r="BC562" s="55">
        <f>AW562+AX562</f>
        <v>0</v>
      </c>
      <c r="BD562" s="55">
        <f>H562/(100-BE562)*100</f>
        <v>0</v>
      </c>
      <c r="BE562" s="55">
        <v>0</v>
      </c>
      <c r="BF562" s="55">
        <f>K562</f>
        <v>0.0008399999999999999</v>
      </c>
      <c r="BH562" s="55">
        <f>G562*AO562</f>
        <v>0</v>
      </c>
      <c r="BI562" s="55">
        <f>G562*AP562</f>
        <v>0</v>
      </c>
      <c r="BJ562" s="55">
        <f>G562*H562</f>
        <v>0</v>
      </c>
      <c r="BK562" s="55"/>
      <c r="BL562" s="55">
        <v>766</v>
      </c>
      <c r="BW562" s="55">
        <v>21</v>
      </c>
    </row>
    <row r="563" spans="1:12" ht="14.4">
      <c r="A563" s="59"/>
      <c r="D563" s="60" t="s">
        <v>133</v>
      </c>
      <c r="E563" s="60" t="s">
        <v>4</v>
      </c>
      <c r="G563" s="68">
        <v>3</v>
      </c>
      <c r="L563" s="69"/>
    </row>
    <row r="564" spans="1:75" ht="27" customHeight="1">
      <c r="A564" s="61" t="s">
        <v>1183</v>
      </c>
      <c r="B564" s="62" t="s">
        <v>2629</v>
      </c>
      <c r="C564" s="62" t="s">
        <v>3604</v>
      </c>
      <c r="D564" s="224" t="s">
        <v>3605</v>
      </c>
      <c r="E564" s="225"/>
      <c r="F564" s="62" t="s">
        <v>374</v>
      </c>
      <c r="G564" s="63">
        <f>'Stavební rozpočet-vyplnit'!G1942</f>
        <v>3</v>
      </c>
      <c r="H564" s="63">
        <f>'Stavební rozpočet-vyplnit'!H1942</f>
        <v>0</v>
      </c>
      <c r="I564" s="63">
        <f>G564*H564</f>
        <v>0</v>
      </c>
      <c r="J564" s="63">
        <f>'Stavební rozpočet-vyplnit'!J1942</f>
        <v>0.006</v>
      </c>
      <c r="K564" s="63">
        <f>G564*J564</f>
        <v>0.018000000000000002</v>
      </c>
      <c r="L564" s="65" t="s">
        <v>785</v>
      </c>
      <c r="Z564" s="55">
        <f>IF(AQ564="5",BJ564,0)</f>
        <v>0</v>
      </c>
      <c r="AB564" s="55">
        <f>IF(AQ564="1",BH564,0)</f>
        <v>0</v>
      </c>
      <c r="AC564" s="55">
        <f>IF(AQ564="1",BI564,0)</f>
        <v>0</v>
      </c>
      <c r="AD564" s="55">
        <f>IF(AQ564="7",BH564,0)</f>
        <v>0</v>
      </c>
      <c r="AE564" s="55">
        <f>IF(AQ564="7",BI564,0)</f>
        <v>0</v>
      </c>
      <c r="AF564" s="55">
        <f>IF(AQ564="2",BH564,0)</f>
        <v>0</v>
      </c>
      <c r="AG564" s="55">
        <f>IF(AQ564="2",BI564,0)</f>
        <v>0</v>
      </c>
      <c r="AH564" s="55">
        <f>IF(AQ564="0",BJ564,0)</f>
        <v>0</v>
      </c>
      <c r="AI564" s="34" t="s">
        <v>2629</v>
      </c>
      <c r="AJ564" s="63">
        <f>IF(AN564=0,I564,0)</f>
        <v>0</v>
      </c>
      <c r="AK564" s="63">
        <f>IF(AN564=12,I564,0)</f>
        <v>0</v>
      </c>
      <c r="AL564" s="63">
        <f>IF(AN564=21,I564,0)</f>
        <v>0</v>
      </c>
      <c r="AN564" s="55">
        <v>21</v>
      </c>
      <c r="AO564" s="55">
        <f>H564*1</f>
        <v>0</v>
      </c>
      <c r="AP564" s="55">
        <f>H564*(1-1)</f>
        <v>0</v>
      </c>
      <c r="AQ564" s="66" t="s">
        <v>125</v>
      </c>
      <c r="AV564" s="55">
        <f>AW564+AX564</f>
        <v>0</v>
      </c>
      <c r="AW564" s="55">
        <f>G564*AO564</f>
        <v>0</v>
      </c>
      <c r="AX564" s="55">
        <f>G564*AP564</f>
        <v>0</v>
      </c>
      <c r="AY564" s="58" t="s">
        <v>1905</v>
      </c>
      <c r="AZ564" s="58" t="s">
        <v>3185</v>
      </c>
      <c r="BA564" s="34" t="s">
        <v>2634</v>
      </c>
      <c r="BC564" s="55">
        <f>AW564+AX564</f>
        <v>0</v>
      </c>
      <c r="BD564" s="55">
        <f>H564/(100-BE564)*100</f>
        <v>0</v>
      </c>
      <c r="BE564" s="55">
        <v>0</v>
      </c>
      <c r="BF564" s="55">
        <f>K564</f>
        <v>0.018000000000000002</v>
      </c>
      <c r="BH564" s="63">
        <f>G564*AO564</f>
        <v>0</v>
      </c>
      <c r="BI564" s="63">
        <f>G564*AP564</f>
        <v>0</v>
      </c>
      <c r="BJ564" s="63">
        <f>G564*H564</f>
        <v>0</v>
      </c>
      <c r="BK564" s="63"/>
      <c r="BL564" s="55">
        <v>766</v>
      </c>
      <c r="BW564" s="55">
        <v>21</v>
      </c>
    </row>
    <row r="565" spans="1:12" ht="14.4">
      <c r="A565" s="59"/>
      <c r="D565" s="60" t="s">
        <v>133</v>
      </c>
      <c r="E565" s="60" t="s">
        <v>4</v>
      </c>
      <c r="G565" s="68">
        <v>3</v>
      </c>
      <c r="L565" s="69"/>
    </row>
    <row r="566" spans="1:75" ht="27" customHeight="1">
      <c r="A566" s="1" t="s">
        <v>1187</v>
      </c>
      <c r="B566" s="2" t="s">
        <v>2629</v>
      </c>
      <c r="C566" s="2" t="s">
        <v>3607</v>
      </c>
      <c r="D566" s="147" t="s">
        <v>3608</v>
      </c>
      <c r="E566" s="148"/>
      <c r="F566" s="2" t="s">
        <v>123</v>
      </c>
      <c r="G566" s="55">
        <f>'Stavební rozpočet-vyplnit'!G1944</f>
        <v>4</v>
      </c>
      <c r="H566" s="55">
        <f>'Stavební rozpočet-vyplnit'!H1944</f>
        <v>0</v>
      </c>
      <c r="I566" s="55">
        <f>G566*H566</f>
        <v>0</v>
      </c>
      <c r="J566" s="55">
        <f>'Stavební rozpočet-vyplnit'!J1944</f>
        <v>0.067</v>
      </c>
      <c r="K566" s="55">
        <f>G566*J566</f>
        <v>0.268</v>
      </c>
      <c r="L566" s="57" t="s">
        <v>124</v>
      </c>
      <c r="Z566" s="55">
        <f>IF(AQ566="5",BJ566,0)</f>
        <v>0</v>
      </c>
      <c r="AB566" s="55">
        <f>IF(AQ566="1",BH566,0)</f>
        <v>0</v>
      </c>
      <c r="AC566" s="55">
        <f>IF(AQ566="1",BI566,0)</f>
        <v>0</v>
      </c>
      <c r="AD566" s="55">
        <f>IF(AQ566="7",BH566,0)</f>
        <v>0</v>
      </c>
      <c r="AE566" s="55">
        <f>IF(AQ566="7",BI566,0)</f>
        <v>0</v>
      </c>
      <c r="AF566" s="55">
        <f>IF(AQ566="2",BH566,0)</f>
        <v>0</v>
      </c>
      <c r="AG566" s="55">
        <f>IF(AQ566="2",BI566,0)</f>
        <v>0</v>
      </c>
      <c r="AH566" s="55">
        <f>IF(AQ566="0",BJ566,0)</f>
        <v>0</v>
      </c>
      <c r="AI566" s="34" t="s">
        <v>2629</v>
      </c>
      <c r="AJ566" s="55">
        <f>IF(AN566=0,I566,0)</f>
        <v>0</v>
      </c>
      <c r="AK566" s="55">
        <f>IF(AN566=12,I566,0)</f>
        <v>0</v>
      </c>
      <c r="AL566" s="55">
        <f>IF(AN566=21,I566,0)</f>
        <v>0</v>
      </c>
      <c r="AN566" s="55">
        <v>21</v>
      </c>
      <c r="AO566" s="55">
        <f>H566*0.901685393</f>
        <v>0</v>
      </c>
      <c r="AP566" s="55">
        <f>H566*(1-0.901685393)</f>
        <v>0</v>
      </c>
      <c r="AQ566" s="58" t="s">
        <v>125</v>
      </c>
      <c r="AV566" s="55">
        <f>AW566+AX566</f>
        <v>0</v>
      </c>
      <c r="AW566" s="55">
        <f>G566*AO566</f>
        <v>0</v>
      </c>
      <c r="AX566" s="55">
        <f>G566*AP566</f>
        <v>0</v>
      </c>
      <c r="AY566" s="58" t="s">
        <v>1905</v>
      </c>
      <c r="AZ566" s="58" t="s">
        <v>3185</v>
      </c>
      <c r="BA566" s="34" t="s">
        <v>2634</v>
      </c>
      <c r="BB566" s="67">
        <v>100007</v>
      </c>
      <c r="BC566" s="55">
        <f>AW566+AX566</f>
        <v>0</v>
      </c>
      <c r="BD566" s="55">
        <f>H566/(100-BE566)*100</f>
        <v>0</v>
      </c>
      <c r="BE566" s="55">
        <v>0</v>
      </c>
      <c r="BF566" s="55">
        <f>K566</f>
        <v>0.268</v>
      </c>
      <c r="BH566" s="55">
        <f>G566*AO566</f>
        <v>0</v>
      </c>
      <c r="BI566" s="55">
        <f>G566*AP566</f>
        <v>0</v>
      </c>
      <c r="BJ566" s="55">
        <f>G566*H566</f>
        <v>0</v>
      </c>
      <c r="BK566" s="55"/>
      <c r="BL566" s="55">
        <v>766</v>
      </c>
      <c r="BW566" s="55">
        <v>21</v>
      </c>
    </row>
    <row r="567" spans="1:12" ht="13.5" customHeight="1">
      <c r="A567" s="59"/>
      <c r="D567" s="218" t="s">
        <v>3609</v>
      </c>
      <c r="E567" s="219"/>
      <c r="F567" s="219"/>
      <c r="G567" s="219"/>
      <c r="H567" s="219"/>
      <c r="I567" s="219"/>
      <c r="J567" s="219"/>
      <c r="K567" s="219"/>
      <c r="L567" s="221"/>
    </row>
    <row r="568" spans="1:12" ht="14.4">
      <c r="A568" s="59"/>
      <c r="D568" s="60" t="s">
        <v>136</v>
      </c>
      <c r="E568" s="60" t="s">
        <v>4</v>
      </c>
      <c r="G568" s="68">
        <v>4</v>
      </c>
      <c r="L568" s="69"/>
    </row>
    <row r="569" spans="1:75" ht="13.5" customHeight="1">
      <c r="A569" s="1" t="s">
        <v>1191</v>
      </c>
      <c r="B569" s="2" t="s">
        <v>2629</v>
      </c>
      <c r="C569" s="2" t="s">
        <v>3611</v>
      </c>
      <c r="D569" s="147" t="s">
        <v>3612</v>
      </c>
      <c r="E569" s="148"/>
      <c r="F569" s="2" t="s">
        <v>374</v>
      </c>
      <c r="G569" s="55">
        <f>'Stavební rozpočet-vyplnit'!G1947</f>
        <v>0</v>
      </c>
      <c r="H569" s="55">
        <f>'Stavební rozpočet-vyplnit'!H1947</f>
        <v>0</v>
      </c>
      <c r="I569" s="55">
        <f>G569*H569</f>
        <v>0</v>
      </c>
      <c r="J569" s="55">
        <f>'Stavební rozpočet-vyplnit'!J1947</f>
        <v>2E-05</v>
      </c>
      <c r="K569" s="55">
        <f>G569*J569</f>
        <v>0</v>
      </c>
      <c r="L569" s="57" t="s">
        <v>785</v>
      </c>
      <c r="Z569" s="55">
        <f>IF(AQ569="5",BJ569,0)</f>
        <v>0</v>
      </c>
      <c r="AB569" s="55">
        <f>IF(AQ569="1",BH569,0)</f>
        <v>0</v>
      </c>
      <c r="AC569" s="55">
        <f>IF(AQ569="1",BI569,0)</f>
        <v>0</v>
      </c>
      <c r="AD569" s="55">
        <f>IF(AQ569="7",BH569,0)</f>
        <v>0</v>
      </c>
      <c r="AE569" s="55">
        <f>IF(AQ569="7",BI569,0)</f>
        <v>0</v>
      </c>
      <c r="AF569" s="55">
        <f>IF(AQ569="2",BH569,0)</f>
        <v>0</v>
      </c>
      <c r="AG569" s="55">
        <f>IF(AQ569="2",BI569,0)</f>
        <v>0</v>
      </c>
      <c r="AH569" s="55">
        <f>IF(AQ569="0",BJ569,0)</f>
        <v>0</v>
      </c>
      <c r="AI569" s="34" t="s">
        <v>2629</v>
      </c>
      <c r="AJ569" s="55">
        <f>IF(AN569=0,I569,0)</f>
        <v>0</v>
      </c>
      <c r="AK569" s="55">
        <f>IF(AN569=12,I569,0)</f>
        <v>0</v>
      </c>
      <c r="AL569" s="55">
        <f>IF(AN569=21,I569,0)</f>
        <v>0</v>
      </c>
      <c r="AN569" s="55">
        <v>21</v>
      </c>
      <c r="AO569" s="55">
        <f>H569*0</f>
        <v>0</v>
      </c>
      <c r="AP569" s="55">
        <f>H569*(1-0)</f>
        <v>0</v>
      </c>
      <c r="AQ569" s="58" t="s">
        <v>125</v>
      </c>
      <c r="AV569" s="55">
        <f>AW569+AX569</f>
        <v>0</v>
      </c>
      <c r="AW569" s="55">
        <f>G569*AO569</f>
        <v>0</v>
      </c>
      <c r="AX569" s="55">
        <f>G569*AP569</f>
        <v>0</v>
      </c>
      <c r="AY569" s="58" t="s">
        <v>1905</v>
      </c>
      <c r="AZ569" s="58" t="s">
        <v>3185</v>
      </c>
      <c r="BA569" s="34" t="s">
        <v>2634</v>
      </c>
      <c r="BB569" s="67">
        <v>100007</v>
      </c>
      <c r="BC569" s="55">
        <f>AW569+AX569</f>
        <v>0</v>
      </c>
      <c r="BD569" s="55">
        <f>H569/(100-BE569)*100</f>
        <v>0</v>
      </c>
      <c r="BE569" s="55">
        <v>0</v>
      </c>
      <c r="BF569" s="55">
        <f>K569</f>
        <v>0</v>
      </c>
      <c r="BH569" s="55">
        <f>G569*AO569</f>
        <v>0</v>
      </c>
      <c r="BI569" s="55">
        <f>G569*AP569</f>
        <v>0</v>
      </c>
      <c r="BJ569" s="55">
        <f>G569*H569</f>
        <v>0</v>
      </c>
      <c r="BK569" s="55"/>
      <c r="BL569" s="55">
        <v>766</v>
      </c>
      <c r="BW569" s="55">
        <v>21</v>
      </c>
    </row>
    <row r="570" spans="1:75" ht="13.5" customHeight="1">
      <c r="A570" s="61" t="s">
        <v>1196</v>
      </c>
      <c r="B570" s="62" t="s">
        <v>2629</v>
      </c>
      <c r="C570" s="62" t="s">
        <v>3614</v>
      </c>
      <c r="D570" s="224" t="s">
        <v>3615</v>
      </c>
      <c r="E570" s="225"/>
      <c r="F570" s="62" t="s">
        <v>174</v>
      </c>
      <c r="G570" s="63">
        <f>'Stavební rozpočet-vyplnit'!G1948</f>
        <v>6.4</v>
      </c>
      <c r="H570" s="63">
        <f>'Stavební rozpočet-vyplnit'!H1948</f>
        <v>0</v>
      </c>
      <c r="I570" s="63">
        <f>G570*H570</f>
        <v>0</v>
      </c>
      <c r="J570" s="63">
        <f>'Stavební rozpočet-vyplnit'!J1948</f>
        <v>0.0033</v>
      </c>
      <c r="K570" s="63">
        <f>G570*J570</f>
        <v>0.02112</v>
      </c>
      <c r="L570" s="65" t="s">
        <v>124</v>
      </c>
      <c r="Z570" s="55">
        <f>IF(AQ570="5",BJ570,0)</f>
        <v>0</v>
      </c>
      <c r="AB570" s="55">
        <f>IF(AQ570="1",BH570,0)</f>
        <v>0</v>
      </c>
      <c r="AC570" s="55">
        <f>IF(AQ570="1",BI570,0)</f>
        <v>0</v>
      </c>
      <c r="AD570" s="55">
        <f>IF(AQ570="7",BH570,0)</f>
        <v>0</v>
      </c>
      <c r="AE570" s="55">
        <f>IF(AQ570="7",BI570,0)</f>
        <v>0</v>
      </c>
      <c r="AF570" s="55">
        <f>IF(AQ570="2",BH570,0)</f>
        <v>0</v>
      </c>
      <c r="AG570" s="55">
        <f>IF(AQ570="2",BI570,0)</f>
        <v>0</v>
      </c>
      <c r="AH570" s="55">
        <f>IF(AQ570="0",BJ570,0)</f>
        <v>0</v>
      </c>
      <c r="AI570" s="34" t="s">
        <v>2629</v>
      </c>
      <c r="AJ570" s="63">
        <f>IF(AN570=0,I570,0)</f>
        <v>0</v>
      </c>
      <c r="AK570" s="63">
        <f>IF(AN570=12,I570,0)</f>
        <v>0</v>
      </c>
      <c r="AL570" s="63">
        <f>IF(AN570=21,I570,0)</f>
        <v>0</v>
      </c>
      <c r="AN570" s="55">
        <v>21</v>
      </c>
      <c r="AO570" s="55">
        <f>H570*1</f>
        <v>0</v>
      </c>
      <c r="AP570" s="55">
        <f>H570*(1-1)</f>
        <v>0</v>
      </c>
      <c r="AQ570" s="66" t="s">
        <v>125</v>
      </c>
      <c r="AV570" s="55">
        <f>AW570+AX570</f>
        <v>0</v>
      </c>
      <c r="AW570" s="55">
        <f>G570*AO570</f>
        <v>0</v>
      </c>
      <c r="AX570" s="55">
        <f>G570*AP570</f>
        <v>0</v>
      </c>
      <c r="AY570" s="58" t="s">
        <v>1905</v>
      </c>
      <c r="AZ570" s="58" t="s">
        <v>3185</v>
      </c>
      <c r="BA570" s="34" t="s">
        <v>2634</v>
      </c>
      <c r="BC570" s="55">
        <f>AW570+AX570</f>
        <v>0</v>
      </c>
      <c r="BD570" s="55">
        <f>H570/(100-BE570)*100</f>
        <v>0</v>
      </c>
      <c r="BE570" s="55">
        <v>0</v>
      </c>
      <c r="BF570" s="55">
        <f>K570</f>
        <v>0.02112</v>
      </c>
      <c r="BH570" s="63">
        <f>G570*AO570</f>
        <v>0</v>
      </c>
      <c r="BI570" s="63">
        <f>G570*AP570</f>
        <v>0</v>
      </c>
      <c r="BJ570" s="63">
        <f>G570*H570</f>
        <v>0</v>
      </c>
      <c r="BK570" s="63"/>
      <c r="BL570" s="55">
        <v>766</v>
      </c>
      <c r="BW570" s="55">
        <v>21</v>
      </c>
    </row>
    <row r="571" spans="1:12" ht="14.4">
      <c r="A571" s="59"/>
      <c r="D571" s="60" t="s">
        <v>3616</v>
      </c>
      <c r="E571" s="60" t="s">
        <v>4</v>
      </c>
      <c r="G571" s="68">
        <v>6.4</v>
      </c>
      <c r="L571" s="69"/>
    </row>
    <row r="572" spans="1:75" ht="13.5" customHeight="1">
      <c r="A572" s="1" t="s">
        <v>1200</v>
      </c>
      <c r="B572" s="2" t="s">
        <v>2629</v>
      </c>
      <c r="C572" s="2" t="s">
        <v>2021</v>
      </c>
      <c r="D572" s="147" t="s">
        <v>2022</v>
      </c>
      <c r="E572" s="148"/>
      <c r="F572" s="2" t="s">
        <v>939</v>
      </c>
      <c r="G572" s="55">
        <f>'Stavební rozpočet-vyplnit'!G1950</f>
        <v>0.42</v>
      </c>
      <c r="H572" s="55">
        <f>'Stavební rozpočet-vyplnit'!H1950</f>
        <v>0</v>
      </c>
      <c r="I572" s="55">
        <f>G572*H572</f>
        <v>0</v>
      </c>
      <c r="J572" s="55">
        <f>'Stavební rozpočet-vyplnit'!J1950</f>
        <v>0</v>
      </c>
      <c r="K572" s="55">
        <f>G572*J572</f>
        <v>0</v>
      </c>
      <c r="L572" s="57" t="s">
        <v>785</v>
      </c>
      <c r="Z572" s="55">
        <f>IF(AQ572="5",BJ572,0)</f>
        <v>0</v>
      </c>
      <c r="AB572" s="55">
        <f>IF(AQ572="1",BH572,0)</f>
        <v>0</v>
      </c>
      <c r="AC572" s="55">
        <f>IF(AQ572="1",BI572,0)</f>
        <v>0</v>
      </c>
      <c r="AD572" s="55">
        <f>IF(AQ572="7",BH572,0)</f>
        <v>0</v>
      </c>
      <c r="AE572" s="55">
        <f>IF(AQ572="7",BI572,0)</f>
        <v>0</v>
      </c>
      <c r="AF572" s="55">
        <f>IF(AQ572="2",BH572,0)</f>
        <v>0</v>
      </c>
      <c r="AG572" s="55">
        <f>IF(AQ572="2",BI572,0)</f>
        <v>0</v>
      </c>
      <c r="AH572" s="55">
        <f>IF(AQ572="0",BJ572,0)</f>
        <v>0</v>
      </c>
      <c r="AI572" s="34" t="s">
        <v>2629</v>
      </c>
      <c r="AJ572" s="55">
        <f>IF(AN572=0,I572,0)</f>
        <v>0</v>
      </c>
      <c r="AK572" s="55">
        <f>IF(AN572=12,I572,0)</f>
        <v>0</v>
      </c>
      <c r="AL572" s="55">
        <f>IF(AN572=21,I572,0)</f>
        <v>0</v>
      </c>
      <c r="AN572" s="55">
        <v>21</v>
      </c>
      <c r="AO572" s="55">
        <f>H572*0</f>
        <v>0</v>
      </c>
      <c r="AP572" s="55">
        <f>H572*(1-0)</f>
        <v>0</v>
      </c>
      <c r="AQ572" s="58" t="s">
        <v>139</v>
      </c>
      <c r="AV572" s="55">
        <f>AW572+AX572</f>
        <v>0</v>
      </c>
      <c r="AW572" s="55">
        <f>G572*AO572</f>
        <v>0</v>
      </c>
      <c r="AX572" s="55">
        <f>G572*AP572</f>
        <v>0</v>
      </c>
      <c r="AY572" s="58" t="s">
        <v>1905</v>
      </c>
      <c r="AZ572" s="58" t="s">
        <v>3185</v>
      </c>
      <c r="BA572" s="34" t="s">
        <v>2634</v>
      </c>
      <c r="BC572" s="55">
        <f>AW572+AX572</f>
        <v>0</v>
      </c>
      <c r="BD572" s="55">
        <f>H572/(100-BE572)*100</f>
        <v>0</v>
      </c>
      <c r="BE572" s="55">
        <v>0</v>
      </c>
      <c r="BF572" s="55">
        <f>K572</f>
        <v>0</v>
      </c>
      <c r="BH572" s="55">
        <f>G572*AO572</f>
        <v>0</v>
      </c>
      <c r="BI572" s="55">
        <f>G572*AP572</f>
        <v>0</v>
      </c>
      <c r="BJ572" s="55">
        <f>G572*H572</f>
        <v>0</v>
      </c>
      <c r="BK572" s="55"/>
      <c r="BL572" s="55">
        <v>766</v>
      </c>
      <c r="BW572" s="55">
        <v>21</v>
      </c>
    </row>
    <row r="573" spans="1:12" ht="14.4">
      <c r="A573" s="59"/>
      <c r="D573" s="60" t="s">
        <v>3618</v>
      </c>
      <c r="E573" s="60" t="s">
        <v>4</v>
      </c>
      <c r="G573" s="68">
        <v>0.42</v>
      </c>
      <c r="L573" s="69"/>
    </row>
    <row r="574" spans="1:47" ht="14.4">
      <c r="A574" s="50" t="s">
        <v>4</v>
      </c>
      <c r="B574" s="51" t="s">
        <v>2629</v>
      </c>
      <c r="C574" s="51" t="s">
        <v>3065</v>
      </c>
      <c r="D574" s="222" t="s">
        <v>3619</v>
      </c>
      <c r="E574" s="223"/>
      <c r="F574" s="52" t="s">
        <v>79</v>
      </c>
      <c r="G574" s="52" t="s">
        <v>79</v>
      </c>
      <c r="H574" s="52" t="s">
        <v>79</v>
      </c>
      <c r="I574" s="27">
        <f>SUM(I575:I580)</f>
        <v>0</v>
      </c>
      <c r="J574" s="34" t="s">
        <v>4</v>
      </c>
      <c r="K574" s="27">
        <f>SUM(K575:K580)</f>
        <v>0.010752000000000001</v>
      </c>
      <c r="L574" s="54" t="s">
        <v>4</v>
      </c>
      <c r="AI574" s="34" t="s">
        <v>2629</v>
      </c>
      <c r="AS574" s="27">
        <f>SUM(AJ575:AJ580)</f>
        <v>0</v>
      </c>
      <c r="AT574" s="27">
        <f>SUM(AK575:AK580)</f>
        <v>0</v>
      </c>
      <c r="AU574" s="27">
        <f>SUM(AL575:AL580)</f>
        <v>0</v>
      </c>
    </row>
    <row r="575" spans="1:75" ht="13.5" customHeight="1">
      <c r="A575" s="1" t="s">
        <v>1209</v>
      </c>
      <c r="B575" s="2" t="s">
        <v>2629</v>
      </c>
      <c r="C575" s="2" t="s">
        <v>3621</v>
      </c>
      <c r="D575" s="147" t="s">
        <v>3622</v>
      </c>
      <c r="E575" s="148"/>
      <c r="F575" s="2" t="s">
        <v>729</v>
      </c>
      <c r="G575" s="55">
        <f>'Stavební rozpočet-vyplnit'!G1953</f>
        <v>3.84</v>
      </c>
      <c r="H575" s="55">
        <f>'Stavební rozpočet-vyplnit'!H1953</f>
        <v>0</v>
      </c>
      <c r="I575" s="55">
        <f>G575*H575</f>
        <v>0</v>
      </c>
      <c r="J575" s="55">
        <f>'Stavební rozpočet-vyplnit'!J1953</f>
        <v>0.0003</v>
      </c>
      <c r="K575" s="55">
        <f>G575*J575</f>
        <v>0.0011519999999999998</v>
      </c>
      <c r="L575" s="57" t="s">
        <v>785</v>
      </c>
      <c r="Z575" s="55">
        <f>IF(AQ575="5",BJ575,0)</f>
        <v>0</v>
      </c>
      <c r="AB575" s="55">
        <f>IF(AQ575="1",BH575,0)</f>
        <v>0</v>
      </c>
      <c r="AC575" s="55">
        <f>IF(AQ575="1",BI575,0)</f>
        <v>0</v>
      </c>
      <c r="AD575" s="55">
        <f>IF(AQ575="7",BH575,0)</f>
        <v>0</v>
      </c>
      <c r="AE575" s="55">
        <f>IF(AQ575="7",BI575,0)</f>
        <v>0</v>
      </c>
      <c r="AF575" s="55">
        <f>IF(AQ575="2",BH575,0)</f>
        <v>0</v>
      </c>
      <c r="AG575" s="55">
        <f>IF(AQ575="2",BI575,0)</f>
        <v>0</v>
      </c>
      <c r="AH575" s="55">
        <f>IF(AQ575="0",BJ575,0)</f>
        <v>0</v>
      </c>
      <c r="AI575" s="34" t="s">
        <v>2629</v>
      </c>
      <c r="AJ575" s="55">
        <f>IF(AN575=0,I575,0)</f>
        <v>0</v>
      </c>
      <c r="AK575" s="55">
        <f>IF(AN575=12,I575,0)</f>
        <v>0</v>
      </c>
      <c r="AL575" s="55">
        <f>IF(AN575=21,I575,0)</f>
        <v>0</v>
      </c>
      <c r="AN575" s="55">
        <v>21</v>
      </c>
      <c r="AO575" s="55">
        <f>H575*0.563419071</f>
        <v>0</v>
      </c>
      <c r="AP575" s="55">
        <f>H575*(1-0.563419071)</f>
        <v>0</v>
      </c>
      <c r="AQ575" s="58" t="s">
        <v>125</v>
      </c>
      <c r="AV575" s="55">
        <f>AW575+AX575</f>
        <v>0</v>
      </c>
      <c r="AW575" s="55">
        <f>G575*AO575</f>
        <v>0</v>
      </c>
      <c r="AX575" s="55">
        <f>G575*AP575</f>
        <v>0</v>
      </c>
      <c r="AY575" s="58" t="s">
        <v>3623</v>
      </c>
      <c r="AZ575" s="58" t="s">
        <v>3624</v>
      </c>
      <c r="BA575" s="34" t="s">
        <v>2634</v>
      </c>
      <c r="BB575" s="67">
        <v>100045</v>
      </c>
      <c r="BC575" s="55">
        <f>AW575+AX575</f>
        <v>0</v>
      </c>
      <c r="BD575" s="55">
        <f>H575/(100-BE575)*100</f>
        <v>0</v>
      </c>
      <c r="BE575" s="55">
        <v>0</v>
      </c>
      <c r="BF575" s="55">
        <f>K575</f>
        <v>0.0011519999999999998</v>
      </c>
      <c r="BH575" s="55">
        <f>G575*AO575</f>
        <v>0</v>
      </c>
      <c r="BI575" s="55">
        <f>G575*AP575</f>
        <v>0</v>
      </c>
      <c r="BJ575" s="55">
        <f>G575*H575</f>
        <v>0</v>
      </c>
      <c r="BK575" s="55"/>
      <c r="BL575" s="55">
        <v>786</v>
      </c>
      <c r="BW575" s="55">
        <v>21</v>
      </c>
    </row>
    <row r="576" spans="1:12" ht="13.5" customHeight="1">
      <c r="A576" s="59"/>
      <c r="D576" s="218" t="s">
        <v>3625</v>
      </c>
      <c r="E576" s="219"/>
      <c r="F576" s="219"/>
      <c r="G576" s="219"/>
      <c r="H576" s="219"/>
      <c r="I576" s="219"/>
      <c r="J576" s="219"/>
      <c r="K576" s="219"/>
      <c r="L576" s="221"/>
    </row>
    <row r="577" spans="1:12" ht="14.4">
      <c r="A577" s="59"/>
      <c r="D577" s="60" t="s">
        <v>3626</v>
      </c>
      <c r="E577" s="60" t="s">
        <v>4</v>
      </c>
      <c r="G577" s="68">
        <v>3.84</v>
      </c>
      <c r="L577" s="69"/>
    </row>
    <row r="578" spans="1:75" ht="13.5" customHeight="1">
      <c r="A578" s="61" t="s">
        <v>1213</v>
      </c>
      <c r="B578" s="62" t="s">
        <v>2629</v>
      </c>
      <c r="C578" s="62" t="s">
        <v>3628</v>
      </c>
      <c r="D578" s="224" t="s">
        <v>3629</v>
      </c>
      <c r="E578" s="225"/>
      <c r="F578" s="62" t="s">
        <v>374</v>
      </c>
      <c r="G578" s="63">
        <f>'Stavební rozpočet-vyplnit'!G1956</f>
        <v>6</v>
      </c>
      <c r="H578" s="63">
        <f>'Stavební rozpočet-vyplnit'!H1956</f>
        <v>0</v>
      </c>
      <c r="I578" s="63">
        <f>G578*H578</f>
        <v>0</v>
      </c>
      <c r="J578" s="63">
        <f>'Stavební rozpočet-vyplnit'!J1956</f>
        <v>0.0016</v>
      </c>
      <c r="K578" s="63">
        <f>G578*J578</f>
        <v>0.009600000000000001</v>
      </c>
      <c r="L578" s="65" t="s">
        <v>124</v>
      </c>
      <c r="Z578" s="55">
        <f>IF(AQ578="5",BJ578,0)</f>
        <v>0</v>
      </c>
      <c r="AB578" s="55">
        <f>IF(AQ578="1",BH578,0)</f>
        <v>0</v>
      </c>
      <c r="AC578" s="55">
        <f>IF(AQ578="1",BI578,0)</f>
        <v>0</v>
      </c>
      <c r="AD578" s="55">
        <f>IF(AQ578="7",BH578,0)</f>
        <v>0</v>
      </c>
      <c r="AE578" s="55">
        <f>IF(AQ578="7",BI578,0)</f>
        <v>0</v>
      </c>
      <c r="AF578" s="55">
        <f>IF(AQ578="2",BH578,0)</f>
        <v>0</v>
      </c>
      <c r="AG578" s="55">
        <f>IF(AQ578="2",BI578,0)</f>
        <v>0</v>
      </c>
      <c r="AH578" s="55">
        <f>IF(AQ578="0",BJ578,0)</f>
        <v>0</v>
      </c>
      <c r="AI578" s="34" t="s">
        <v>2629</v>
      </c>
      <c r="AJ578" s="63">
        <f>IF(AN578=0,I578,0)</f>
        <v>0</v>
      </c>
      <c r="AK578" s="63">
        <f>IF(AN578=12,I578,0)</f>
        <v>0</v>
      </c>
      <c r="AL578" s="63">
        <f>IF(AN578=21,I578,0)</f>
        <v>0</v>
      </c>
      <c r="AN578" s="55">
        <v>21</v>
      </c>
      <c r="AO578" s="55">
        <f>H578*1</f>
        <v>0</v>
      </c>
      <c r="AP578" s="55">
        <f>H578*(1-1)</f>
        <v>0</v>
      </c>
      <c r="AQ578" s="66" t="s">
        <v>125</v>
      </c>
      <c r="AV578" s="55">
        <f>AW578+AX578</f>
        <v>0</v>
      </c>
      <c r="AW578" s="55">
        <f>G578*AO578</f>
        <v>0</v>
      </c>
      <c r="AX578" s="55">
        <f>G578*AP578</f>
        <v>0</v>
      </c>
      <c r="AY578" s="58" t="s">
        <v>3623</v>
      </c>
      <c r="AZ578" s="58" t="s">
        <v>3624</v>
      </c>
      <c r="BA578" s="34" t="s">
        <v>2634</v>
      </c>
      <c r="BC578" s="55">
        <f>AW578+AX578</f>
        <v>0</v>
      </c>
      <c r="BD578" s="55">
        <f>H578/(100-BE578)*100</f>
        <v>0</v>
      </c>
      <c r="BE578" s="55">
        <v>0</v>
      </c>
      <c r="BF578" s="55">
        <f>K578</f>
        <v>0.009600000000000001</v>
      </c>
      <c r="BH578" s="63">
        <f>G578*AO578</f>
        <v>0</v>
      </c>
      <c r="BI578" s="63">
        <f>G578*AP578</f>
        <v>0</v>
      </c>
      <c r="BJ578" s="63">
        <f>G578*H578</f>
        <v>0</v>
      </c>
      <c r="BK578" s="63"/>
      <c r="BL578" s="55">
        <v>786</v>
      </c>
      <c r="BW578" s="55">
        <v>21</v>
      </c>
    </row>
    <row r="579" spans="1:12" ht="14.4">
      <c r="A579" s="59"/>
      <c r="D579" s="60" t="s">
        <v>142</v>
      </c>
      <c r="E579" s="60" t="s">
        <v>4</v>
      </c>
      <c r="G579" s="68">
        <v>6</v>
      </c>
      <c r="L579" s="69"/>
    </row>
    <row r="580" spans="1:75" ht="13.5" customHeight="1">
      <c r="A580" s="1" t="s">
        <v>1217</v>
      </c>
      <c r="B580" s="2" t="s">
        <v>2629</v>
      </c>
      <c r="C580" s="2" t="s">
        <v>3631</v>
      </c>
      <c r="D580" s="147" t="s">
        <v>3632</v>
      </c>
      <c r="E580" s="148"/>
      <c r="F580" s="2" t="s">
        <v>939</v>
      </c>
      <c r="G580" s="55">
        <f>'Stavební rozpočet-vyplnit'!G1958</f>
        <v>0.01</v>
      </c>
      <c r="H580" s="55">
        <f>'Stavební rozpočet-vyplnit'!H1958</f>
        <v>0</v>
      </c>
      <c r="I580" s="55">
        <f>G580*H580</f>
        <v>0</v>
      </c>
      <c r="J580" s="55">
        <f>'Stavební rozpočet-vyplnit'!J1958</f>
        <v>0</v>
      </c>
      <c r="K580" s="55">
        <f>G580*J580</f>
        <v>0</v>
      </c>
      <c r="L580" s="57" t="s">
        <v>785</v>
      </c>
      <c r="Z580" s="55">
        <f>IF(AQ580="5",BJ580,0)</f>
        <v>0</v>
      </c>
      <c r="AB580" s="55">
        <f>IF(AQ580="1",BH580,0)</f>
        <v>0</v>
      </c>
      <c r="AC580" s="55">
        <f>IF(AQ580="1",BI580,0)</f>
        <v>0</v>
      </c>
      <c r="AD580" s="55">
        <f>IF(AQ580="7",BH580,0)</f>
        <v>0</v>
      </c>
      <c r="AE580" s="55">
        <f>IF(AQ580="7",BI580,0)</f>
        <v>0</v>
      </c>
      <c r="AF580" s="55">
        <f>IF(AQ580="2",BH580,0)</f>
        <v>0</v>
      </c>
      <c r="AG580" s="55">
        <f>IF(AQ580="2",BI580,0)</f>
        <v>0</v>
      </c>
      <c r="AH580" s="55">
        <f>IF(AQ580="0",BJ580,0)</f>
        <v>0</v>
      </c>
      <c r="AI580" s="34" t="s">
        <v>2629</v>
      </c>
      <c r="AJ580" s="55">
        <f>IF(AN580=0,I580,0)</f>
        <v>0</v>
      </c>
      <c r="AK580" s="55">
        <f>IF(AN580=12,I580,0)</f>
        <v>0</v>
      </c>
      <c r="AL580" s="55">
        <f>IF(AN580=21,I580,0)</f>
        <v>0</v>
      </c>
      <c r="AN580" s="55">
        <v>21</v>
      </c>
      <c r="AO580" s="55">
        <f>H580*0</f>
        <v>0</v>
      </c>
      <c r="AP580" s="55">
        <f>H580*(1-0)</f>
        <v>0</v>
      </c>
      <c r="AQ580" s="58" t="s">
        <v>139</v>
      </c>
      <c r="AV580" s="55">
        <f>AW580+AX580</f>
        <v>0</v>
      </c>
      <c r="AW580" s="55">
        <f>G580*AO580</f>
        <v>0</v>
      </c>
      <c r="AX580" s="55">
        <f>G580*AP580</f>
        <v>0</v>
      </c>
      <c r="AY580" s="58" t="s">
        <v>3623</v>
      </c>
      <c r="AZ580" s="58" t="s">
        <v>3624</v>
      </c>
      <c r="BA580" s="34" t="s">
        <v>2634</v>
      </c>
      <c r="BC580" s="55">
        <f>AW580+AX580</f>
        <v>0</v>
      </c>
      <c r="BD580" s="55">
        <f>H580/(100-BE580)*100</f>
        <v>0</v>
      </c>
      <c r="BE580" s="55">
        <v>0</v>
      </c>
      <c r="BF580" s="55">
        <f>K580</f>
        <v>0</v>
      </c>
      <c r="BH580" s="55">
        <f>G580*AO580</f>
        <v>0</v>
      </c>
      <c r="BI580" s="55">
        <f>G580*AP580</f>
        <v>0</v>
      </c>
      <c r="BJ580" s="55">
        <f>G580*H580</f>
        <v>0</v>
      </c>
      <c r="BK580" s="55"/>
      <c r="BL580" s="55">
        <v>786</v>
      </c>
      <c r="BW580" s="55">
        <v>21</v>
      </c>
    </row>
    <row r="581" spans="1:12" ht="14.4">
      <c r="A581" s="59"/>
      <c r="D581" s="60" t="s">
        <v>3633</v>
      </c>
      <c r="E581" s="60" t="s">
        <v>4</v>
      </c>
      <c r="G581" s="68">
        <v>0.01</v>
      </c>
      <c r="L581" s="69"/>
    </row>
    <row r="582" spans="1:47" ht="14.4">
      <c r="A582" s="50" t="s">
        <v>4</v>
      </c>
      <c r="B582" s="51" t="s">
        <v>2629</v>
      </c>
      <c r="C582" s="51" t="s">
        <v>2329</v>
      </c>
      <c r="D582" s="222" t="s">
        <v>2330</v>
      </c>
      <c r="E582" s="223"/>
      <c r="F582" s="52" t="s">
        <v>79</v>
      </c>
      <c r="G582" s="52" t="s">
        <v>79</v>
      </c>
      <c r="H582" s="52" t="s">
        <v>79</v>
      </c>
      <c r="I582" s="27">
        <f>SUM(I583:I601)</f>
        <v>0</v>
      </c>
      <c r="J582" s="34" t="s">
        <v>4</v>
      </c>
      <c r="K582" s="27">
        <f>SUM(K583:K601)</f>
        <v>0</v>
      </c>
      <c r="L582" s="54" t="s">
        <v>4</v>
      </c>
      <c r="AI582" s="34" t="s">
        <v>2629</v>
      </c>
      <c r="AS582" s="27">
        <f>SUM(AJ583:AJ601)</f>
        <v>0</v>
      </c>
      <c r="AT582" s="27">
        <f>SUM(AK583:AK601)</f>
        <v>0</v>
      </c>
      <c r="AU582" s="27">
        <f>SUM(AL583:AL601)</f>
        <v>0</v>
      </c>
    </row>
    <row r="583" spans="1:75" ht="13.5" customHeight="1">
      <c r="A583" s="1" t="s">
        <v>1220</v>
      </c>
      <c r="B583" s="2" t="s">
        <v>2629</v>
      </c>
      <c r="C583" s="2" t="s">
        <v>2817</v>
      </c>
      <c r="D583" s="147" t="s">
        <v>2818</v>
      </c>
      <c r="E583" s="148"/>
      <c r="F583" s="2" t="s">
        <v>360</v>
      </c>
      <c r="G583" s="55">
        <f>'Stavební rozpočet-vyplnit'!G1961</f>
        <v>27</v>
      </c>
      <c r="H583" s="55">
        <f>'Stavební rozpočet-vyplnit'!H1961</f>
        <v>0</v>
      </c>
      <c r="I583" s="55">
        <f>G583*H583</f>
        <v>0</v>
      </c>
      <c r="J583" s="55">
        <f>'Stavební rozpočet-vyplnit'!J1961</f>
        <v>0</v>
      </c>
      <c r="K583" s="55">
        <f>G583*J583</f>
        <v>0</v>
      </c>
      <c r="L583" s="57" t="s">
        <v>124</v>
      </c>
      <c r="Z583" s="55">
        <f>IF(AQ583="5",BJ583,0)</f>
        <v>0</v>
      </c>
      <c r="AB583" s="55">
        <f>IF(AQ583="1",BH583,0)</f>
        <v>0</v>
      </c>
      <c r="AC583" s="55">
        <f>IF(AQ583="1",BI583,0)</f>
        <v>0</v>
      </c>
      <c r="AD583" s="55">
        <f>IF(AQ583="7",BH583,0)</f>
        <v>0</v>
      </c>
      <c r="AE583" s="55">
        <f>IF(AQ583="7",BI583,0)</f>
        <v>0</v>
      </c>
      <c r="AF583" s="55">
        <f>IF(AQ583="2",BH583,0)</f>
        <v>0</v>
      </c>
      <c r="AG583" s="55">
        <f>IF(AQ583="2",BI583,0)</f>
        <v>0</v>
      </c>
      <c r="AH583" s="55">
        <f>IF(AQ583="0",BJ583,0)</f>
        <v>0</v>
      </c>
      <c r="AI583" s="34" t="s">
        <v>2629</v>
      </c>
      <c r="AJ583" s="55">
        <f>IF(AN583=0,I583,0)</f>
        <v>0</v>
      </c>
      <c r="AK583" s="55">
        <f>IF(AN583=12,I583,0)</f>
        <v>0</v>
      </c>
      <c r="AL583" s="55">
        <f>IF(AN583=21,I583,0)</f>
        <v>0</v>
      </c>
      <c r="AN583" s="55">
        <v>21</v>
      </c>
      <c r="AO583" s="55">
        <f>H583*0</f>
        <v>0</v>
      </c>
      <c r="AP583" s="55">
        <f>H583*(1-0)</f>
        <v>0</v>
      </c>
      <c r="AQ583" s="58" t="s">
        <v>125</v>
      </c>
      <c r="AV583" s="55">
        <f>AW583+AX583</f>
        <v>0</v>
      </c>
      <c r="AW583" s="55">
        <f>G583*AO583</f>
        <v>0</v>
      </c>
      <c r="AX583" s="55">
        <f>G583*AP583</f>
        <v>0</v>
      </c>
      <c r="AY583" s="58" t="s">
        <v>2334</v>
      </c>
      <c r="AZ583" s="58" t="s">
        <v>2633</v>
      </c>
      <c r="BA583" s="34" t="s">
        <v>2634</v>
      </c>
      <c r="BC583" s="55">
        <f>AW583+AX583</f>
        <v>0</v>
      </c>
      <c r="BD583" s="55">
        <f>H583/(100-BE583)*100</f>
        <v>0</v>
      </c>
      <c r="BE583" s="55">
        <v>0</v>
      </c>
      <c r="BF583" s="55">
        <f>K583</f>
        <v>0</v>
      </c>
      <c r="BH583" s="55">
        <f>G583*AO583</f>
        <v>0</v>
      </c>
      <c r="BI583" s="55">
        <f>G583*AP583</f>
        <v>0</v>
      </c>
      <c r="BJ583" s="55">
        <f>G583*H583</f>
        <v>0</v>
      </c>
      <c r="BK583" s="55"/>
      <c r="BL583" s="55"/>
      <c r="BW583" s="55">
        <v>21</v>
      </c>
    </row>
    <row r="584" spans="1:12" ht="13.5" customHeight="1">
      <c r="A584" s="59"/>
      <c r="D584" s="218" t="s">
        <v>3635</v>
      </c>
      <c r="E584" s="219"/>
      <c r="F584" s="219"/>
      <c r="G584" s="219"/>
      <c r="H584" s="219"/>
      <c r="I584" s="219"/>
      <c r="J584" s="219"/>
      <c r="K584" s="219"/>
      <c r="L584" s="221"/>
    </row>
    <row r="585" spans="1:75" ht="13.5" customHeight="1">
      <c r="A585" s="61" t="s">
        <v>1224</v>
      </c>
      <c r="B585" s="62" t="s">
        <v>2629</v>
      </c>
      <c r="C585" s="62" t="s">
        <v>3637</v>
      </c>
      <c r="D585" s="224" t="s">
        <v>3638</v>
      </c>
      <c r="E585" s="225"/>
      <c r="F585" s="62" t="s">
        <v>2936</v>
      </c>
      <c r="G585" s="63">
        <f>'Stavební rozpočet-vyplnit'!G1963</f>
        <v>51</v>
      </c>
      <c r="H585" s="63">
        <f>'Stavební rozpočet-vyplnit'!H1963</f>
        <v>0</v>
      </c>
      <c r="I585" s="63">
        <f>G585*H585</f>
        <v>0</v>
      </c>
      <c r="J585" s="63">
        <f>'Stavební rozpočet-vyplnit'!J1963</f>
        <v>0</v>
      </c>
      <c r="K585" s="63">
        <f>G585*J585</f>
        <v>0</v>
      </c>
      <c r="L585" s="65" t="s">
        <v>124</v>
      </c>
      <c r="Z585" s="55">
        <f>IF(AQ585="5",BJ585,0)</f>
        <v>0</v>
      </c>
      <c r="AB585" s="55">
        <f>IF(AQ585="1",BH585,0)</f>
        <v>0</v>
      </c>
      <c r="AC585" s="55">
        <f>IF(AQ585="1",BI585,0)</f>
        <v>0</v>
      </c>
      <c r="AD585" s="55">
        <f>IF(AQ585="7",BH585,0)</f>
        <v>0</v>
      </c>
      <c r="AE585" s="55">
        <f>IF(AQ585="7",BI585,0)</f>
        <v>0</v>
      </c>
      <c r="AF585" s="55">
        <f>IF(AQ585="2",BH585,0)</f>
        <v>0</v>
      </c>
      <c r="AG585" s="55">
        <f>IF(AQ585="2",BI585,0)</f>
        <v>0</v>
      </c>
      <c r="AH585" s="55">
        <f>IF(AQ585="0",BJ585,0)</f>
        <v>0</v>
      </c>
      <c r="AI585" s="34" t="s">
        <v>2629</v>
      </c>
      <c r="AJ585" s="63">
        <f>IF(AN585=0,I585,0)</f>
        <v>0</v>
      </c>
      <c r="AK585" s="63">
        <f>IF(AN585=12,I585,0)</f>
        <v>0</v>
      </c>
      <c r="AL585" s="63">
        <f>IF(AN585=21,I585,0)</f>
        <v>0</v>
      </c>
      <c r="AN585" s="55">
        <v>21</v>
      </c>
      <c r="AO585" s="55">
        <f>H585*1</f>
        <v>0</v>
      </c>
      <c r="AP585" s="55">
        <f>H585*(1-1)</f>
        <v>0</v>
      </c>
      <c r="AQ585" s="66" t="s">
        <v>125</v>
      </c>
      <c r="AV585" s="55">
        <f>AW585+AX585</f>
        <v>0</v>
      </c>
      <c r="AW585" s="55">
        <f>G585*AO585</f>
        <v>0</v>
      </c>
      <c r="AX585" s="55">
        <f>G585*AP585</f>
        <v>0</v>
      </c>
      <c r="AY585" s="58" t="s">
        <v>2334</v>
      </c>
      <c r="AZ585" s="58" t="s">
        <v>2633</v>
      </c>
      <c r="BA585" s="34" t="s">
        <v>2634</v>
      </c>
      <c r="BC585" s="55">
        <f>AW585+AX585</f>
        <v>0</v>
      </c>
      <c r="BD585" s="55">
        <f>H585/(100-BE585)*100</f>
        <v>0</v>
      </c>
      <c r="BE585" s="55">
        <v>0</v>
      </c>
      <c r="BF585" s="55">
        <f>K585</f>
        <v>0</v>
      </c>
      <c r="BH585" s="63">
        <f>G585*AO585</f>
        <v>0</v>
      </c>
      <c r="BI585" s="63">
        <f>G585*AP585</f>
        <v>0</v>
      </c>
      <c r="BJ585" s="63">
        <f>G585*H585</f>
        <v>0</v>
      </c>
      <c r="BK585" s="63"/>
      <c r="BL585" s="55"/>
      <c r="BW585" s="55">
        <v>21</v>
      </c>
    </row>
    <row r="586" spans="1:75" ht="27" customHeight="1">
      <c r="A586" s="61" t="s">
        <v>1227</v>
      </c>
      <c r="B586" s="62" t="s">
        <v>2629</v>
      </c>
      <c r="C586" s="62" t="s">
        <v>3058</v>
      </c>
      <c r="D586" s="224" t="s">
        <v>3059</v>
      </c>
      <c r="E586" s="225"/>
      <c r="F586" s="62" t="s">
        <v>2936</v>
      </c>
      <c r="G586" s="63">
        <f>'Stavební rozpočet-vyplnit'!G1964</f>
        <v>1</v>
      </c>
      <c r="H586" s="63">
        <f>'Stavební rozpočet-vyplnit'!H1964</f>
        <v>0</v>
      </c>
      <c r="I586" s="63">
        <f>G586*H586</f>
        <v>0</v>
      </c>
      <c r="J586" s="63">
        <f>'Stavební rozpočet-vyplnit'!J1964</f>
        <v>0</v>
      </c>
      <c r="K586" s="63">
        <f>G586*J586</f>
        <v>0</v>
      </c>
      <c r="L586" s="65" t="s">
        <v>124</v>
      </c>
      <c r="Z586" s="55">
        <f>IF(AQ586="5",BJ586,0)</f>
        <v>0</v>
      </c>
      <c r="AB586" s="55">
        <f>IF(AQ586="1",BH586,0)</f>
        <v>0</v>
      </c>
      <c r="AC586" s="55">
        <f>IF(AQ586="1",BI586,0)</f>
        <v>0</v>
      </c>
      <c r="AD586" s="55">
        <f>IF(AQ586="7",BH586,0)</f>
        <v>0</v>
      </c>
      <c r="AE586" s="55">
        <f>IF(AQ586="7",BI586,0)</f>
        <v>0</v>
      </c>
      <c r="AF586" s="55">
        <f>IF(AQ586="2",BH586,0)</f>
        <v>0</v>
      </c>
      <c r="AG586" s="55">
        <f>IF(AQ586="2",BI586,0)</f>
        <v>0</v>
      </c>
      <c r="AH586" s="55">
        <f>IF(AQ586="0",BJ586,0)</f>
        <v>0</v>
      </c>
      <c r="AI586" s="34" t="s">
        <v>2629</v>
      </c>
      <c r="AJ586" s="63">
        <f>IF(AN586=0,I586,0)</f>
        <v>0</v>
      </c>
      <c r="AK586" s="63">
        <f>IF(AN586=12,I586,0)</f>
        <v>0</v>
      </c>
      <c r="AL586" s="63">
        <f>IF(AN586=21,I586,0)</f>
        <v>0</v>
      </c>
      <c r="AN586" s="55">
        <v>21</v>
      </c>
      <c r="AO586" s="55">
        <f>H586*1</f>
        <v>0</v>
      </c>
      <c r="AP586" s="55">
        <f>H586*(1-1)</f>
        <v>0</v>
      </c>
      <c r="AQ586" s="66" t="s">
        <v>125</v>
      </c>
      <c r="AV586" s="55">
        <f>AW586+AX586</f>
        <v>0</v>
      </c>
      <c r="AW586" s="55">
        <f>G586*AO586</f>
        <v>0</v>
      </c>
      <c r="AX586" s="55">
        <f>G586*AP586</f>
        <v>0</v>
      </c>
      <c r="AY586" s="58" t="s">
        <v>2334</v>
      </c>
      <c r="AZ586" s="58" t="s">
        <v>2633</v>
      </c>
      <c r="BA586" s="34" t="s">
        <v>2634</v>
      </c>
      <c r="BC586" s="55">
        <f>AW586+AX586</f>
        <v>0</v>
      </c>
      <c r="BD586" s="55">
        <f>H586/(100-BE586)*100</f>
        <v>0</v>
      </c>
      <c r="BE586" s="55">
        <v>0</v>
      </c>
      <c r="BF586" s="55">
        <f>K586</f>
        <v>0</v>
      </c>
      <c r="BH586" s="63">
        <f>G586*AO586</f>
        <v>0</v>
      </c>
      <c r="BI586" s="63">
        <f>G586*AP586</f>
        <v>0</v>
      </c>
      <c r="BJ586" s="63">
        <f>G586*H586</f>
        <v>0</v>
      </c>
      <c r="BK586" s="63"/>
      <c r="BL586" s="55"/>
      <c r="BW586" s="55">
        <v>21</v>
      </c>
    </row>
    <row r="587" spans="1:75" ht="27" customHeight="1">
      <c r="A587" s="61" t="s">
        <v>1232</v>
      </c>
      <c r="B587" s="62" t="s">
        <v>2629</v>
      </c>
      <c r="C587" s="62" t="s">
        <v>3641</v>
      </c>
      <c r="D587" s="224" t="s">
        <v>3642</v>
      </c>
      <c r="E587" s="225"/>
      <c r="F587" s="62" t="s">
        <v>2936</v>
      </c>
      <c r="G587" s="63">
        <f>'Stavební rozpočet-vyplnit'!G1965</f>
        <v>1</v>
      </c>
      <c r="H587" s="63">
        <f>'Stavební rozpočet-vyplnit'!H1965</f>
        <v>0</v>
      </c>
      <c r="I587" s="63">
        <f>G587*H587</f>
        <v>0</v>
      </c>
      <c r="J587" s="63">
        <f>'Stavební rozpočet-vyplnit'!J1965</f>
        <v>0</v>
      </c>
      <c r="K587" s="63">
        <f>G587*J587</f>
        <v>0</v>
      </c>
      <c r="L587" s="65" t="s">
        <v>124</v>
      </c>
      <c r="Z587" s="55">
        <f>IF(AQ587="5",BJ587,0)</f>
        <v>0</v>
      </c>
      <c r="AB587" s="55">
        <f>IF(AQ587="1",BH587,0)</f>
        <v>0</v>
      </c>
      <c r="AC587" s="55">
        <f>IF(AQ587="1",BI587,0)</f>
        <v>0</v>
      </c>
      <c r="AD587" s="55">
        <f>IF(AQ587="7",BH587,0)</f>
        <v>0</v>
      </c>
      <c r="AE587" s="55">
        <f>IF(AQ587="7",BI587,0)</f>
        <v>0</v>
      </c>
      <c r="AF587" s="55">
        <f>IF(AQ587="2",BH587,0)</f>
        <v>0</v>
      </c>
      <c r="AG587" s="55">
        <f>IF(AQ587="2",BI587,0)</f>
        <v>0</v>
      </c>
      <c r="AH587" s="55">
        <f>IF(AQ587="0",BJ587,0)</f>
        <v>0</v>
      </c>
      <c r="AI587" s="34" t="s">
        <v>2629</v>
      </c>
      <c r="AJ587" s="63">
        <f>IF(AN587=0,I587,0)</f>
        <v>0</v>
      </c>
      <c r="AK587" s="63">
        <f>IF(AN587=12,I587,0)</f>
        <v>0</v>
      </c>
      <c r="AL587" s="63">
        <f>IF(AN587=21,I587,0)</f>
        <v>0</v>
      </c>
      <c r="AN587" s="55">
        <v>21</v>
      </c>
      <c r="AO587" s="55">
        <f>H587*1</f>
        <v>0</v>
      </c>
      <c r="AP587" s="55">
        <f>H587*(1-1)</f>
        <v>0</v>
      </c>
      <c r="AQ587" s="66" t="s">
        <v>125</v>
      </c>
      <c r="AV587" s="55">
        <f>AW587+AX587</f>
        <v>0</v>
      </c>
      <c r="AW587" s="55">
        <f>G587*AO587</f>
        <v>0</v>
      </c>
      <c r="AX587" s="55">
        <f>G587*AP587</f>
        <v>0</v>
      </c>
      <c r="AY587" s="58" t="s">
        <v>2334</v>
      </c>
      <c r="AZ587" s="58" t="s">
        <v>2633</v>
      </c>
      <c r="BA587" s="34" t="s">
        <v>2634</v>
      </c>
      <c r="BC587" s="55">
        <f>AW587+AX587</f>
        <v>0</v>
      </c>
      <c r="BD587" s="55">
        <f>H587/(100-BE587)*100</f>
        <v>0</v>
      </c>
      <c r="BE587" s="55">
        <v>0</v>
      </c>
      <c r="BF587" s="55">
        <f>K587</f>
        <v>0</v>
      </c>
      <c r="BH587" s="63">
        <f>G587*AO587</f>
        <v>0</v>
      </c>
      <c r="BI587" s="63">
        <f>G587*AP587</f>
        <v>0</v>
      </c>
      <c r="BJ587" s="63">
        <f>G587*H587</f>
        <v>0</v>
      </c>
      <c r="BK587" s="63"/>
      <c r="BL587" s="55"/>
      <c r="BW587" s="55">
        <v>21</v>
      </c>
    </row>
    <row r="588" spans="1:75" ht="13.5" customHeight="1">
      <c r="A588" s="61" t="s">
        <v>1244</v>
      </c>
      <c r="B588" s="62" t="s">
        <v>2629</v>
      </c>
      <c r="C588" s="62" t="s">
        <v>3061</v>
      </c>
      <c r="D588" s="224" t="s">
        <v>3062</v>
      </c>
      <c r="E588" s="225"/>
      <c r="F588" s="62" t="s">
        <v>2936</v>
      </c>
      <c r="G588" s="63">
        <f>'Stavební rozpočet-vyplnit'!G1966</f>
        <v>2</v>
      </c>
      <c r="H588" s="63">
        <f>'Stavební rozpočet-vyplnit'!H1966</f>
        <v>0</v>
      </c>
      <c r="I588" s="63">
        <f>G588*H588</f>
        <v>0</v>
      </c>
      <c r="J588" s="63">
        <f>'Stavební rozpočet-vyplnit'!J1966</f>
        <v>0</v>
      </c>
      <c r="K588" s="63">
        <f>G588*J588</f>
        <v>0</v>
      </c>
      <c r="L588" s="65" t="s">
        <v>124</v>
      </c>
      <c r="Z588" s="55">
        <f>IF(AQ588="5",BJ588,0)</f>
        <v>0</v>
      </c>
      <c r="AB588" s="55">
        <f>IF(AQ588="1",BH588,0)</f>
        <v>0</v>
      </c>
      <c r="AC588" s="55">
        <f>IF(AQ588="1",BI588,0)</f>
        <v>0</v>
      </c>
      <c r="AD588" s="55">
        <f>IF(AQ588="7",BH588,0)</f>
        <v>0</v>
      </c>
      <c r="AE588" s="55">
        <f>IF(AQ588="7",BI588,0)</f>
        <v>0</v>
      </c>
      <c r="AF588" s="55">
        <f>IF(AQ588="2",BH588,0)</f>
        <v>0</v>
      </c>
      <c r="AG588" s="55">
        <f>IF(AQ588="2",BI588,0)</f>
        <v>0</v>
      </c>
      <c r="AH588" s="55">
        <f>IF(AQ588="0",BJ588,0)</f>
        <v>0</v>
      </c>
      <c r="AI588" s="34" t="s">
        <v>2629</v>
      </c>
      <c r="AJ588" s="63">
        <f>IF(AN588=0,I588,0)</f>
        <v>0</v>
      </c>
      <c r="AK588" s="63">
        <f>IF(AN588=12,I588,0)</f>
        <v>0</v>
      </c>
      <c r="AL588" s="63">
        <f>IF(AN588=21,I588,0)</f>
        <v>0</v>
      </c>
      <c r="AN588" s="55">
        <v>21</v>
      </c>
      <c r="AO588" s="55">
        <f>H588*1</f>
        <v>0</v>
      </c>
      <c r="AP588" s="55">
        <f>H588*(1-1)</f>
        <v>0</v>
      </c>
      <c r="AQ588" s="66" t="s">
        <v>125</v>
      </c>
      <c r="AV588" s="55">
        <f>AW588+AX588</f>
        <v>0</v>
      </c>
      <c r="AW588" s="55">
        <f>G588*AO588</f>
        <v>0</v>
      </c>
      <c r="AX588" s="55">
        <f>G588*AP588</f>
        <v>0</v>
      </c>
      <c r="AY588" s="58" t="s">
        <v>2334</v>
      </c>
      <c r="AZ588" s="58" t="s">
        <v>2633</v>
      </c>
      <c r="BA588" s="34" t="s">
        <v>2634</v>
      </c>
      <c r="BC588" s="55">
        <f>AW588+AX588</f>
        <v>0</v>
      </c>
      <c r="BD588" s="55">
        <f>H588/(100-BE588)*100</f>
        <v>0</v>
      </c>
      <c r="BE588" s="55">
        <v>0</v>
      </c>
      <c r="BF588" s="55">
        <f>K588</f>
        <v>0</v>
      </c>
      <c r="BH588" s="63">
        <f>G588*AO588</f>
        <v>0</v>
      </c>
      <c r="BI588" s="63">
        <f>G588*AP588</f>
        <v>0</v>
      </c>
      <c r="BJ588" s="63">
        <f>G588*H588</f>
        <v>0</v>
      </c>
      <c r="BK588" s="63"/>
      <c r="BL588" s="55"/>
      <c r="BW588" s="55">
        <v>21</v>
      </c>
    </row>
    <row r="589" spans="1:75" ht="27" customHeight="1">
      <c r="A589" s="1" t="s">
        <v>1248</v>
      </c>
      <c r="B589" s="2" t="s">
        <v>2629</v>
      </c>
      <c r="C589" s="2" t="s">
        <v>3645</v>
      </c>
      <c r="D589" s="147" t="s">
        <v>3646</v>
      </c>
      <c r="E589" s="148"/>
      <c r="F589" s="2" t="s">
        <v>360</v>
      </c>
      <c r="G589" s="55">
        <f>'Stavební rozpočet-vyplnit'!G1967</f>
        <v>20</v>
      </c>
      <c r="H589" s="55">
        <f>'Stavební rozpočet-vyplnit'!H1967</f>
        <v>0</v>
      </c>
      <c r="I589" s="55">
        <f>G589*H589</f>
        <v>0</v>
      </c>
      <c r="J589" s="55">
        <f>'Stavební rozpočet-vyplnit'!J1967</f>
        <v>0</v>
      </c>
      <c r="K589" s="55">
        <f>G589*J589</f>
        <v>0</v>
      </c>
      <c r="L589" s="57" t="s">
        <v>124</v>
      </c>
      <c r="Z589" s="55">
        <f>IF(AQ589="5",BJ589,0)</f>
        <v>0</v>
      </c>
      <c r="AB589" s="55">
        <f>IF(AQ589="1",BH589,0)</f>
        <v>0</v>
      </c>
      <c r="AC589" s="55">
        <f>IF(AQ589="1",BI589,0)</f>
        <v>0</v>
      </c>
      <c r="AD589" s="55">
        <f>IF(AQ589="7",BH589,0)</f>
        <v>0</v>
      </c>
      <c r="AE589" s="55">
        <f>IF(AQ589="7",BI589,0)</f>
        <v>0</v>
      </c>
      <c r="AF589" s="55">
        <f>IF(AQ589="2",BH589,0)</f>
        <v>0</v>
      </c>
      <c r="AG589" s="55">
        <f>IF(AQ589="2",BI589,0)</f>
        <v>0</v>
      </c>
      <c r="AH589" s="55">
        <f>IF(AQ589="0",BJ589,0)</f>
        <v>0</v>
      </c>
      <c r="AI589" s="34" t="s">
        <v>2629</v>
      </c>
      <c r="AJ589" s="55">
        <f>IF(AN589=0,I589,0)</f>
        <v>0</v>
      </c>
      <c r="AK589" s="55">
        <f>IF(AN589=12,I589,0)</f>
        <v>0</v>
      </c>
      <c r="AL589" s="55">
        <f>IF(AN589=21,I589,0)</f>
        <v>0</v>
      </c>
      <c r="AN589" s="55">
        <v>21</v>
      </c>
      <c r="AO589" s="55">
        <f>H589*0</f>
        <v>0</v>
      </c>
      <c r="AP589" s="55">
        <f>H589*(1-0)</f>
        <v>0</v>
      </c>
      <c r="AQ589" s="58" t="s">
        <v>125</v>
      </c>
      <c r="AV589" s="55">
        <f>AW589+AX589</f>
        <v>0</v>
      </c>
      <c r="AW589" s="55">
        <f>G589*AO589</f>
        <v>0</v>
      </c>
      <c r="AX589" s="55">
        <f>G589*AP589</f>
        <v>0</v>
      </c>
      <c r="AY589" s="58" t="s">
        <v>2334</v>
      </c>
      <c r="AZ589" s="58" t="s">
        <v>2633</v>
      </c>
      <c r="BA589" s="34" t="s">
        <v>2634</v>
      </c>
      <c r="BC589" s="55">
        <f>AW589+AX589</f>
        <v>0</v>
      </c>
      <c r="BD589" s="55">
        <f>H589/(100-BE589)*100</f>
        <v>0</v>
      </c>
      <c r="BE589" s="55">
        <v>0</v>
      </c>
      <c r="BF589" s="55">
        <f>K589</f>
        <v>0</v>
      </c>
      <c r="BH589" s="55">
        <f>G589*AO589</f>
        <v>0</v>
      </c>
      <c r="BI589" s="55">
        <f>G589*AP589</f>
        <v>0</v>
      </c>
      <c r="BJ589" s="55">
        <f>G589*H589</f>
        <v>0</v>
      </c>
      <c r="BK589" s="55"/>
      <c r="BL589" s="55"/>
      <c r="BW589" s="55">
        <v>21</v>
      </c>
    </row>
    <row r="590" spans="1:12" ht="13.5" customHeight="1">
      <c r="A590" s="59"/>
      <c r="D590" s="218" t="s">
        <v>3647</v>
      </c>
      <c r="E590" s="219"/>
      <c r="F590" s="219"/>
      <c r="G590" s="219"/>
      <c r="H590" s="219"/>
      <c r="I590" s="219"/>
      <c r="J590" s="219"/>
      <c r="K590" s="219"/>
      <c r="L590" s="221"/>
    </row>
    <row r="591" spans="1:75" ht="27" customHeight="1">
      <c r="A591" s="1" t="s">
        <v>1253</v>
      </c>
      <c r="B591" s="2" t="s">
        <v>2629</v>
      </c>
      <c r="C591" s="2" t="s">
        <v>3645</v>
      </c>
      <c r="D591" s="147" t="s">
        <v>3646</v>
      </c>
      <c r="E591" s="148"/>
      <c r="F591" s="2" t="s">
        <v>360</v>
      </c>
      <c r="G591" s="55">
        <f>'Stavební rozpočet-vyplnit'!G1969</f>
        <v>16</v>
      </c>
      <c r="H591" s="55">
        <f>'Stavební rozpočet-vyplnit'!H1969</f>
        <v>0</v>
      </c>
      <c r="I591" s="55">
        <f>G591*H591</f>
        <v>0</v>
      </c>
      <c r="J591" s="55">
        <f>'Stavební rozpočet-vyplnit'!J1969</f>
        <v>0</v>
      </c>
      <c r="K591" s="55">
        <f>G591*J591</f>
        <v>0</v>
      </c>
      <c r="L591" s="57" t="s">
        <v>124</v>
      </c>
      <c r="Z591" s="55">
        <f>IF(AQ591="5",BJ591,0)</f>
        <v>0</v>
      </c>
      <c r="AB591" s="55">
        <f>IF(AQ591="1",BH591,0)</f>
        <v>0</v>
      </c>
      <c r="AC591" s="55">
        <f>IF(AQ591="1",BI591,0)</f>
        <v>0</v>
      </c>
      <c r="AD591" s="55">
        <f>IF(AQ591="7",BH591,0)</f>
        <v>0</v>
      </c>
      <c r="AE591" s="55">
        <f>IF(AQ591="7",BI591,0)</f>
        <v>0</v>
      </c>
      <c r="AF591" s="55">
        <f>IF(AQ591="2",BH591,0)</f>
        <v>0</v>
      </c>
      <c r="AG591" s="55">
        <f>IF(AQ591="2",BI591,0)</f>
        <v>0</v>
      </c>
      <c r="AH591" s="55">
        <f>IF(AQ591="0",BJ591,0)</f>
        <v>0</v>
      </c>
      <c r="AI591" s="34" t="s">
        <v>2629</v>
      </c>
      <c r="AJ591" s="55">
        <f>IF(AN591=0,I591,0)</f>
        <v>0</v>
      </c>
      <c r="AK591" s="55">
        <f>IF(AN591=12,I591,0)</f>
        <v>0</v>
      </c>
      <c r="AL591" s="55">
        <f>IF(AN591=21,I591,0)</f>
        <v>0</v>
      </c>
      <c r="AN591" s="55">
        <v>21</v>
      </c>
      <c r="AO591" s="55">
        <f>H591*0</f>
        <v>0</v>
      </c>
      <c r="AP591" s="55">
        <f>H591*(1-0)</f>
        <v>0</v>
      </c>
      <c r="AQ591" s="58" t="s">
        <v>125</v>
      </c>
      <c r="AV591" s="55">
        <f>AW591+AX591</f>
        <v>0</v>
      </c>
      <c r="AW591" s="55">
        <f>G591*AO591</f>
        <v>0</v>
      </c>
      <c r="AX591" s="55">
        <f>G591*AP591</f>
        <v>0</v>
      </c>
      <c r="AY591" s="58" t="s">
        <v>2334</v>
      </c>
      <c r="AZ591" s="58" t="s">
        <v>2633</v>
      </c>
      <c r="BA591" s="34" t="s">
        <v>2634</v>
      </c>
      <c r="BC591" s="55">
        <f>AW591+AX591</f>
        <v>0</v>
      </c>
      <c r="BD591" s="55">
        <f>H591/(100-BE591)*100</f>
        <v>0</v>
      </c>
      <c r="BE591" s="55">
        <v>0</v>
      </c>
      <c r="BF591" s="55">
        <f>K591</f>
        <v>0</v>
      </c>
      <c r="BH591" s="55">
        <f>G591*AO591</f>
        <v>0</v>
      </c>
      <c r="BI591" s="55">
        <f>G591*AP591</f>
        <v>0</v>
      </c>
      <c r="BJ591" s="55">
        <f>G591*H591</f>
        <v>0</v>
      </c>
      <c r="BK591" s="55"/>
      <c r="BL591" s="55"/>
      <c r="BW591" s="55">
        <v>21</v>
      </c>
    </row>
    <row r="592" spans="1:12" ht="13.5" customHeight="1">
      <c r="A592" s="59"/>
      <c r="D592" s="218" t="s">
        <v>3649</v>
      </c>
      <c r="E592" s="219"/>
      <c r="F592" s="219"/>
      <c r="G592" s="219"/>
      <c r="H592" s="219"/>
      <c r="I592" s="219"/>
      <c r="J592" s="219"/>
      <c r="K592" s="219"/>
      <c r="L592" s="221"/>
    </row>
    <row r="593" spans="1:75" ht="27" customHeight="1">
      <c r="A593" s="1" t="s">
        <v>1258</v>
      </c>
      <c r="B593" s="2" t="s">
        <v>2629</v>
      </c>
      <c r="C593" s="2" t="s">
        <v>3645</v>
      </c>
      <c r="D593" s="147" t="s">
        <v>3646</v>
      </c>
      <c r="E593" s="148"/>
      <c r="F593" s="2" t="s">
        <v>360</v>
      </c>
      <c r="G593" s="55">
        <f>'Stavební rozpočet-vyplnit'!G1971</f>
        <v>8</v>
      </c>
      <c r="H593" s="55">
        <f>'Stavební rozpočet-vyplnit'!H1971</f>
        <v>0</v>
      </c>
      <c r="I593" s="55">
        <f>G593*H593</f>
        <v>0</v>
      </c>
      <c r="J593" s="55">
        <f>'Stavební rozpočet-vyplnit'!J1971</f>
        <v>0</v>
      </c>
      <c r="K593" s="55">
        <f>G593*J593</f>
        <v>0</v>
      </c>
      <c r="L593" s="57" t="s">
        <v>124</v>
      </c>
      <c r="Z593" s="55">
        <f>IF(AQ593="5",BJ593,0)</f>
        <v>0</v>
      </c>
      <c r="AB593" s="55">
        <f>IF(AQ593="1",BH593,0)</f>
        <v>0</v>
      </c>
      <c r="AC593" s="55">
        <f>IF(AQ593="1",BI593,0)</f>
        <v>0</v>
      </c>
      <c r="AD593" s="55">
        <f>IF(AQ593="7",BH593,0)</f>
        <v>0</v>
      </c>
      <c r="AE593" s="55">
        <f>IF(AQ593="7",BI593,0)</f>
        <v>0</v>
      </c>
      <c r="AF593" s="55">
        <f>IF(AQ593="2",BH593,0)</f>
        <v>0</v>
      </c>
      <c r="AG593" s="55">
        <f>IF(AQ593="2",BI593,0)</f>
        <v>0</v>
      </c>
      <c r="AH593" s="55">
        <f>IF(AQ593="0",BJ593,0)</f>
        <v>0</v>
      </c>
      <c r="AI593" s="34" t="s">
        <v>2629</v>
      </c>
      <c r="AJ593" s="55">
        <f>IF(AN593=0,I593,0)</f>
        <v>0</v>
      </c>
      <c r="AK593" s="55">
        <f>IF(AN593=12,I593,0)</f>
        <v>0</v>
      </c>
      <c r="AL593" s="55">
        <f>IF(AN593=21,I593,0)</f>
        <v>0</v>
      </c>
      <c r="AN593" s="55">
        <v>21</v>
      </c>
      <c r="AO593" s="55">
        <f>H593*0</f>
        <v>0</v>
      </c>
      <c r="AP593" s="55">
        <f>H593*(1-0)</f>
        <v>0</v>
      </c>
      <c r="AQ593" s="58" t="s">
        <v>125</v>
      </c>
      <c r="AV593" s="55">
        <f>AW593+AX593</f>
        <v>0</v>
      </c>
      <c r="AW593" s="55">
        <f>G593*AO593</f>
        <v>0</v>
      </c>
      <c r="AX593" s="55">
        <f>G593*AP593</f>
        <v>0</v>
      </c>
      <c r="AY593" s="58" t="s">
        <v>2334</v>
      </c>
      <c r="AZ593" s="58" t="s">
        <v>2633</v>
      </c>
      <c r="BA593" s="34" t="s">
        <v>2634</v>
      </c>
      <c r="BC593" s="55">
        <f>AW593+AX593</f>
        <v>0</v>
      </c>
      <c r="BD593" s="55">
        <f>H593/(100-BE593)*100</f>
        <v>0</v>
      </c>
      <c r="BE593" s="55">
        <v>0</v>
      </c>
      <c r="BF593" s="55">
        <f>K593</f>
        <v>0</v>
      </c>
      <c r="BH593" s="55">
        <f>G593*AO593</f>
        <v>0</v>
      </c>
      <c r="BI593" s="55">
        <f>G593*AP593</f>
        <v>0</v>
      </c>
      <c r="BJ593" s="55">
        <f>G593*H593</f>
        <v>0</v>
      </c>
      <c r="BK593" s="55"/>
      <c r="BL593" s="55"/>
      <c r="BW593" s="55">
        <v>21</v>
      </c>
    </row>
    <row r="594" spans="1:12" ht="13.5" customHeight="1">
      <c r="A594" s="59"/>
      <c r="D594" s="218" t="s">
        <v>3651</v>
      </c>
      <c r="E594" s="219"/>
      <c r="F594" s="219"/>
      <c r="G594" s="219"/>
      <c r="H594" s="219"/>
      <c r="I594" s="219"/>
      <c r="J594" s="219"/>
      <c r="K594" s="219"/>
      <c r="L594" s="221"/>
    </row>
    <row r="595" spans="1:75" ht="27" customHeight="1">
      <c r="A595" s="1" t="s">
        <v>1263</v>
      </c>
      <c r="B595" s="2" t="s">
        <v>2629</v>
      </c>
      <c r="C595" s="2" t="s">
        <v>3645</v>
      </c>
      <c r="D595" s="147" t="s">
        <v>3646</v>
      </c>
      <c r="E595" s="148"/>
      <c r="F595" s="2" t="s">
        <v>360</v>
      </c>
      <c r="G595" s="55">
        <f>'Stavební rozpočet-vyplnit'!G1973</f>
        <v>30</v>
      </c>
      <c r="H595" s="55">
        <f>'Stavební rozpočet-vyplnit'!H1973</f>
        <v>0</v>
      </c>
      <c r="I595" s="55">
        <f>G595*H595</f>
        <v>0</v>
      </c>
      <c r="J595" s="55">
        <f>'Stavební rozpočet-vyplnit'!J1973</f>
        <v>0</v>
      </c>
      <c r="K595" s="55">
        <f>G595*J595</f>
        <v>0</v>
      </c>
      <c r="L595" s="57" t="s">
        <v>124</v>
      </c>
      <c r="Z595" s="55">
        <f>IF(AQ595="5",BJ595,0)</f>
        <v>0</v>
      </c>
      <c r="AB595" s="55">
        <f>IF(AQ595="1",BH595,0)</f>
        <v>0</v>
      </c>
      <c r="AC595" s="55">
        <f>IF(AQ595="1",BI595,0)</f>
        <v>0</v>
      </c>
      <c r="AD595" s="55">
        <f>IF(AQ595="7",BH595,0)</f>
        <v>0</v>
      </c>
      <c r="AE595" s="55">
        <f>IF(AQ595="7",BI595,0)</f>
        <v>0</v>
      </c>
      <c r="AF595" s="55">
        <f>IF(AQ595="2",BH595,0)</f>
        <v>0</v>
      </c>
      <c r="AG595" s="55">
        <f>IF(AQ595="2",BI595,0)</f>
        <v>0</v>
      </c>
      <c r="AH595" s="55">
        <f>IF(AQ595="0",BJ595,0)</f>
        <v>0</v>
      </c>
      <c r="AI595" s="34" t="s">
        <v>2629</v>
      </c>
      <c r="AJ595" s="55">
        <f>IF(AN595=0,I595,0)</f>
        <v>0</v>
      </c>
      <c r="AK595" s="55">
        <f>IF(AN595=12,I595,0)</f>
        <v>0</v>
      </c>
      <c r="AL595" s="55">
        <f>IF(AN595=21,I595,0)</f>
        <v>0</v>
      </c>
      <c r="AN595" s="55">
        <v>21</v>
      </c>
      <c r="AO595" s="55">
        <f>H595*0</f>
        <v>0</v>
      </c>
      <c r="AP595" s="55">
        <f>H595*(1-0)</f>
        <v>0</v>
      </c>
      <c r="AQ595" s="58" t="s">
        <v>125</v>
      </c>
      <c r="AV595" s="55">
        <f>AW595+AX595</f>
        <v>0</v>
      </c>
      <c r="AW595" s="55">
        <f>G595*AO595</f>
        <v>0</v>
      </c>
      <c r="AX595" s="55">
        <f>G595*AP595</f>
        <v>0</v>
      </c>
      <c r="AY595" s="58" t="s">
        <v>2334</v>
      </c>
      <c r="AZ595" s="58" t="s">
        <v>2633</v>
      </c>
      <c r="BA595" s="34" t="s">
        <v>2634</v>
      </c>
      <c r="BC595" s="55">
        <f>AW595+AX595</f>
        <v>0</v>
      </c>
      <c r="BD595" s="55">
        <f>H595/(100-BE595)*100</f>
        <v>0</v>
      </c>
      <c r="BE595" s="55">
        <v>0</v>
      </c>
      <c r="BF595" s="55">
        <f>K595</f>
        <v>0</v>
      </c>
      <c r="BH595" s="55">
        <f>G595*AO595</f>
        <v>0</v>
      </c>
      <c r="BI595" s="55">
        <f>G595*AP595</f>
        <v>0</v>
      </c>
      <c r="BJ595" s="55">
        <f>G595*H595</f>
        <v>0</v>
      </c>
      <c r="BK595" s="55"/>
      <c r="BL595" s="55"/>
      <c r="BW595" s="55">
        <v>21</v>
      </c>
    </row>
    <row r="596" spans="1:12" ht="13.5" customHeight="1">
      <c r="A596" s="59"/>
      <c r="D596" s="218" t="s">
        <v>3653</v>
      </c>
      <c r="E596" s="219"/>
      <c r="F596" s="219"/>
      <c r="G596" s="219"/>
      <c r="H596" s="219"/>
      <c r="I596" s="219"/>
      <c r="J596" s="219"/>
      <c r="K596" s="219"/>
      <c r="L596" s="221"/>
    </row>
    <row r="597" spans="1:75" ht="27" customHeight="1">
      <c r="A597" s="1" t="s">
        <v>1267</v>
      </c>
      <c r="B597" s="2" t="s">
        <v>2629</v>
      </c>
      <c r="C597" s="2" t="s">
        <v>3645</v>
      </c>
      <c r="D597" s="147" t="s">
        <v>3646</v>
      </c>
      <c r="E597" s="148"/>
      <c r="F597" s="2" t="s">
        <v>360</v>
      </c>
      <c r="G597" s="55">
        <f>'Stavební rozpočet-vyplnit'!G1975</f>
        <v>20</v>
      </c>
      <c r="H597" s="55">
        <f>'Stavební rozpočet-vyplnit'!H1975</f>
        <v>0</v>
      </c>
      <c r="I597" s="55">
        <f>G597*H597</f>
        <v>0</v>
      </c>
      <c r="J597" s="55">
        <f>'Stavební rozpočet-vyplnit'!J1975</f>
        <v>0</v>
      </c>
      <c r="K597" s="55">
        <f>G597*J597</f>
        <v>0</v>
      </c>
      <c r="L597" s="57" t="s">
        <v>124</v>
      </c>
      <c r="Z597" s="55">
        <f>IF(AQ597="5",BJ597,0)</f>
        <v>0</v>
      </c>
      <c r="AB597" s="55">
        <f>IF(AQ597="1",BH597,0)</f>
        <v>0</v>
      </c>
      <c r="AC597" s="55">
        <f>IF(AQ597="1",BI597,0)</f>
        <v>0</v>
      </c>
      <c r="AD597" s="55">
        <f>IF(AQ597="7",BH597,0)</f>
        <v>0</v>
      </c>
      <c r="AE597" s="55">
        <f>IF(AQ597="7",BI597,0)</f>
        <v>0</v>
      </c>
      <c r="AF597" s="55">
        <f>IF(AQ597="2",BH597,0)</f>
        <v>0</v>
      </c>
      <c r="AG597" s="55">
        <f>IF(AQ597="2",BI597,0)</f>
        <v>0</v>
      </c>
      <c r="AH597" s="55">
        <f>IF(AQ597="0",BJ597,0)</f>
        <v>0</v>
      </c>
      <c r="AI597" s="34" t="s">
        <v>2629</v>
      </c>
      <c r="AJ597" s="55">
        <f>IF(AN597=0,I597,0)</f>
        <v>0</v>
      </c>
      <c r="AK597" s="55">
        <f>IF(AN597=12,I597,0)</f>
        <v>0</v>
      </c>
      <c r="AL597" s="55">
        <f>IF(AN597=21,I597,0)</f>
        <v>0</v>
      </c>
      <c r="AN597" s="55">
        <v>21</v>
      </c>
      <c r="AO597" s="55">
        <f>H597*0</f>
        <v>0</v>
      </c>
      <c r="AP597" s="55">
        <f>H597*(1-0)</f>
        <v>0</v>
      </c>
      <c r="AQ597" s="58" t="s">
        <v>125</v>
      </c>
      <c r="AV597" s="55">
        <f>AW597+AX597</f>
        <v>0</v>
      </c>
      <c r="AW597" s="55">
        <f>G597*AO597</f>
        <v>0</v>
      </c>
      <c r="AX597" s="55">
        <f>G597*AP597</f>
        <v>0</v>
      </c>
      <c r="AY597" s="58" t="s">
        <v>2334</v>
      </c>
      <c r="AZ597" s="58" t="s">
        <v>2633</v>
      </c>
      <c r="BA597" s="34" t="s">
        <v>2634</v>
      </c>
      <c r="BC597" s="55">
        <f>AW597+AX597</f>
        <v>0</v>
      </c>
      <c r="BD597" s="55">
        <f>H597/(100-BE597)*100</f>
        <v>0</v>
      </c>
      <c r="BE597" s="55">
        <v>0</v>
      </c>
      <c r="BF597" s="55">
        <f>K597</f>
        <v>0</v>
      </c>
      <c r="BH597" s="55">
        <f>G597*AO597</f>
        <v>0</v>
      </c>
      <c r="BI597" s="55">
        <f>G597*AP597</f>
        <v>0</v>
      </c>
      <c r="BJ597" s="55">
        <f>G597*H597</f>
        <v>0</v>
      </c>
      <c r="BK597" s="55"/>
      <c r="BL597" s="55"/>
      <c r="BW597" s="55">
        <v>21</v>
      </c>
    </row>
    <row r="598" spans="1:12" ht="13.5" customHeight="1">
      <c r="A598" s="59"/>
      <c r="D598" s="218" t="s">
        <v>3655</v>
      </c>
      <c r="E598" s="219"/>
      <c r="F598" s="219"/>
      <c r="G598" s="219"/>
      <c r="H598" s="219"/>
      <c r="I598" s="219"/>
      <c r="J598" s="219"/>
      <c r="K598" s="219"/>
      <c r="L598" s="221"/>
    </row>
    <row r="599" spans="1:75" ht="13.5" customHeight="1">
      <c r="A599" s="1" t="s">
        <v>1270</v>
      </c>
      <c r="B599" s="2" t="s">
        <v>2629</v>
      </c>
      <c r="C599" s="2" t="s">
        <v>3657</v>
      </c>
      <c r="D599" s="147" t="s">
        <v>3658</v>
      </c>
      <c r="E599" s="148"/>
      <c r="F599" s="2" t="s">
        <v>360</v>
      </c>
      <c r="G599" s="55">
        <f>'Stavební rozpočet-vyplnit'!G1977</f>
        <v>30</v>
      </c>
      <c r="H599" s="55">
        <f>'Stavební rozpočet-vyplnit'!H1977</f>
        <v>0</v>
      </c>
      <c r="I599" s="55">
        <f>G599*H599</f>
        <v>0</v>
      </c>
      <c r="J599" s="55">
        <f>'Stavební rozpočet-vyplnit'!J1977</f>
        <v>0</v>
      </c>
      <c r="K599" s="55">
        <f>G599*J599</f>
        <v>0</v>
      </c>
      <c r="L599" s="57" t="s">
        <v>124</v>
      </c>
      <c r="Z599" s="55">
        <f>IF(AQ599="5",BJ599,0)</f>
        <v>0</v>
      </c>
      <c r="AB599" s="55">
        <f>IF(AQ599="1",BH599,0)</f>
        <v>0</v>
      </c>
      <c r="AC599" s="55">
        <f>IF(AQ599="1",BI599,0)</f>
        <v>0</v>
      </c>
      <c r="AD599" s="55">
        <f>IF(AQ599="7",BH599,0)</f>
        <v>0</v>
      </c>
      <c r="AE599" s="55">
        <f>IF(AQ599="7",BI599,0)</f>
        <v>0</v>
      </c>
      <c r="AF599" s="55">
        <f>IF(AQ599="2",BH599,0)</f>
        <v>0</v>
      </c>
      <c r="AG599" s="55">
        <f>IF(AQ599="2",BI599,0)</f>
        <v>0</v>
      </c>
      <c r="AH599" s="55">
        <f>IF(AQ599="0",BJ599,0)</f>
        <v>0</v>
      </c>
      <c r="AI599" s="34" t="s">
        <v>2629</v>
      </c>
      <c r="AJ599" s="55">
        <f>IF(AN599=0,I599,0)</f>
        <v>0</v>
      </c>
      <c r="AK599" s="55">
        <f>IF(AN599=12,I599,0)</f>
        <v>0</v>
      </c>
      <c r="AL599" s="55">
        <f>IF(AN599=21,I599,0)</f>
        <v>0</v>
      </c>
      <c r="AN599" s="55">
        <v>21</v>
      </c>
      <c r="AO599" s="55">
        <f>H599*0</f>
        <v>0</v>
      </c>
      <c r="AP599" s="55">
        <f>H599*(1-0)</f>
        <v>0</v>
      </c>
      <c r="AQ599" s="58" t="s">
        <v>125</v>
      </c>
      <c r="AV599" s="55">
        <f>AW599+AX599</f>
        <v>0</v>
      </c>
      <c r="AW599" s="55">
        <f>G599*AO599</f>
        <v>0</v>
      </c>
      <c r="AX599" s="55">
        <f>G599*AP599</f>
        <v>0</v>
      </c>
      <c r="AY599" s="58" t="s">
        <v>2334</v>
      </c>
      <c r="AZ599" s="58" t="s">
        <v>2633</v>
      </c>
      <c r="BA599" s="34" t="s">
        <v>2634</v>
      </c>
      <c r="BC599" s="55">
        <f>AW599+AX599</f>
        <v>0</v>
      </c>
      <c r="BD599" s="55">
        <f>H599/(100-BE599)*100</f>
        <v>0</v>
      </c>
      <c r="BE599" s="55">
        <v>0</v>
      </c>
      <c r="BF599" s="55">
        <f>K599</f>
        <v>0</v>
      </c>
      <c r="BH599" s="55">
        <f>G599*AO599</f>
        <v>0</v>
      </c>
      <c r="BI599" s="55">
        <f>G599*AP599</f>
        <v>0</v>
      </c>
      <c r="BJ599" s="55">
        <f>G599*H599</f>
        <v>0</v>
      </c>
      <c r="BK599" s="55"/>
      <c r="BL599" s="55"/>
      <c r="BW599" s="55">
        <v>21</v>
      </c>
    </row>
    <row r="600" spans="1:12" ht="13.5" customHeight="1">
      <c r="A600" s="59"/>
      <c r="D600" s="218" t="s">
        <v>3659</v>
      </c>
      <c r="E600" s="219"/>
      <c r="F600" s="219"/>
      <c r="G600" s="219"/>
      <c r="H600" s="219"/>
      <c r="I600" s="219"/>
      <c r="J600" s="219"/>
      <c r="K600" s="219"/>
      <c r="L600" s="221"/>
    </row>
    <row r="601" spans="1:75" ht="13.5" customHeight="1">
      <c r="A601" s="1" t="s">
        <v>1273</v>
      </c>
      <c r="B601" s="2" t="s">
        <v>2629</v>
      </c>
      <c r="C601" s="2" t="s">
        <v>2817</v>
      </c>
      <c r="D601" s="147" t="s">
        <v>2818</v>
      </c>
      <c r="E601" s="148"/>
      <c r="F601" s="2" t="s">
        <v>360</v>
      </c>
      <c r="G601" s="55">
        <f>'Stavební rozpočet-vyplnit'!G1979</f>
        <v>30</v>
      </c>
      <c r="H601" s="55">
        <f>'Stavební rozpočet-vyplnit'!H1979</f>
        <v>0</v>
      </c>
      <c r="I601" s="55">
        <f>G601*H601</f>
        <v>0</v>
      </c>
      <c r="J601" s="55">
        <f>'Stavební rozpočet-vyplnit'!J1979</f>
        <v>0</v>
      </c>
      <c r="K601" s="55">
        <f>G601*J601</f>
        <v>0</v>
      </c>
      <c r="L601" s="57" t="s">
        <v>124</v>
      </c>
      <c r="Z601" s="55">
        <f>IF(AQ601="5",BJ601,0)</f>
        <v>0</v>
      </c>
      <c r="AB601" s="55">
        <f>IF(AQ601="1",BH601,0)</f>
        <v>0</v>
      </c>
      <c r="AC601" s="55">
        <f>IF(AQ601="1",BI601,0)</f>
        <v>0</v>
      </c>
      <c r="AD601" s="55">
        <f>IF(AQ601="7",BH601,0)</f>
        <v>0</v>
      </c>
      <c r="AE601" s="55">
        <f>IF(AQ601="7",BI601,0)</f>
        <v>0</v>
      </c>
      <c r="AF601" s="55">
        <f>IF(AQ601="2",BH601,0)</f>
        <v>0</v>
      </c>
      <c r="AG601" s="55">
        <f>IF(AQ601="2",BI601,0)</f>
        <v>0</v>
      </c>
      <c r="AH601" s="55">
        <f>IF(AQ601="0",BJ601,0)</f>
        <v>0</v>
      </c>
      <c r="AI601" s="34" t="s">
        <v>2629</v>
      </c>
      <c r="AJ601" s="55">
        <f>IF(AN601=0,I601,0)</f>
        <v>0</v>
      </c>
      <c r="AK601" s="55">
        <f>IF(AN601=12,I601,0)</f>
        <v>0</v>
      </c>
      <c r="AL601" s="55">
        <f>IF(AN601=21,I601,0)</f>
        <v>0</v>
      </c>
      <c r="AN601" s="55">
        <v>21</v>
      </c>
      <c r="AO601" s="55">
        <f>H601*0</f>
        <v>0</v>
      </c>
      <c r="AP601" s="55">
        <f>H601*(1-0)</f>
        <v>0</v>
      </c>
      <c r="AQ601" s="58" t="s">
        <v>125</v>
      </c>
      <c r="AV601" s="55">
        <f>AW601+AX601</f>
        <v>0</v>
      </c>
      <c r="AW601" s="55">
        <f>G601*AO601</f>
        <v>0</v>
      </c>
      <c r="AX601" s="55">
        <f>G601*AP601</f>
        <v>0</v>
      </c>
      <c r="AY601" s="58" t="s">
        <v>2334</v>
      </c>
      <c r="AZ601" s="58" t="s">
        <v>2633</v>
      </c>
      <c r="BA601" s="34" t="s">
        <v>2634</v>
      </c>
      <c r="BC601" s="55">
        <f>AW601+AX601</f>
        <v>0</v>
      </c>
      <c r="BD601" s="55">
        <f>H601/(100-BE601)*100</f>
        <v>0</v>
      </c>
      <c r="BE601" s="55">
        <v>0</v>
      </c>
      <c r="BF601" s="55">
        <f>K601</f>
        <v>0</v>
      </c>
      <c r="BH601" s="55">
        <f>G601*AO601</f>
        <v>0</v>
      </c>
      <c r="BI601" s="55">
        <f>G601*AP601</f>
        <v>0</v>
      </c>
      <c r="BJ601" s="55">
        <f>G601*H601</f>
        <v>0</v>
      </c>
      <c r="BK601" s="55"/>
      <c r="BL601" s="55"/>
      <c r="BW601" s="55">
        <v>21</v>
      </c>
    </row>
    <row r="602" spans="1:12" ht="13.5" customHeight="1">
      <c r="A602" s="59"/>
      <c r="D602" s="218" t="s">
        <v>3661</v>
      </c>
      <c r="E602" s="219"/>
      <c r="F602" s="219"/>
      <c r="G602" s="219"/>
      <c r="H602" s="219"/>
      <c r="I602" s="219"/>
      <c r="J602" s="219"/>
      <c r="K602" s="219"/>
      <c r="L602" s="221"/>
    </row>
    <row r="603" spans="1:47" ht="14.4">
      <c r="A603" s="50" t="s">
        <v>4</v>
      </c>
      <c r="B603" s="51" t="s">
        <v>2629</v>
      </c>
      <c r="C603" s="51" t="s">
        <v>422</v>
      </c>
      <c r="D603" s="222" t="s">
        <v>2339</v>
      </c>
      <c r="E603" s="223"/>
      <c r="F603" s="52" t="s">
        <v>79</v>
      </c>
      <c r="G603" s="52" t="s">
        <v>79</v>
      </c>
      <c r="H603" s="52" t="s">
        <v>79</v>
      </c>
      <c r="I603" s="27">
        <f>SUM(I604:I620)</f>
        <v>0</v>
      </c>
      <c r="J603" s="34" t="s">
        <v>4</v>
      </c>
      <c r="K603" s="27">
        <f>SUM(K604:K620)</f>
        <v>0.5054399999999999</v>
      </c>
      <c r="L603" s="54" t="s">
        <v>4</v>
      </c>
      <c r="AI603" s="34" t="s">
        <v>2629</v>
      </c>
      <c r="AS603" s="27">
        <f>SUM(AJ604:AJ620)</f>
        <v>0</v>
      </c>
      <c r="AT603" s="27">
        <f>SUM(AK604:AK620)</f>
        <v>0</v>
      </c>
      <c r="AU603" s="27">
        <f>SUM(AL604:AL620)</f>
        <v>0</v>
      </c>
    </row>
    <row r="604" spans="1:75" ht="13.5" customHeight="1">
      <c r="A604" s="1" t="s">
        <v>1276</v>
      </c>
      <c r="B604" s="2" t="s">
        <v>2629</v>
      </c>
      <c r="C604" s="2" t="s">
        <v>3663</v>
      </c>
      <c r="D604" s="147" t="s">
        <v>3664</v>
      </c>
      <c r="E604" s="148"/>
      <c r="F604" s="2" t="s">
        <v>400</v>
      </c>
      <c r="G604" s="55">
        <f>'Stavební rozpočet-vyplnit'!G1982</f>
        <v>1</v>
      </c>
      <c r="H604" s="55">
        <f>'Stavební rozpočet-vyplnit'!H1982</f>
        <v>0</v>
      </c>
      <c r="I604" s="55">
        <f>G604*H604</f>
        <v>0</v>
      </c>
      <c r="J604" s="55">
        <f>'Stavební rozpočet-vyplnit'!J1982</f>
        <v>0</v>
      </c>
      <c r="K604" s="55">
        <f>G604*J604</f>
        <v>0</v>
      </c>
      <c r="L604" s="57" t="s">
        <v>124</v>
      </c>
      <c r="Z604" s="55">
        <f>IF(AQ604="5",BJ604,0)</f>
        <v>0</v>
      </c>
      <c r="AB604" s="55">
        <f>IF(AQ604="1",BH604,0)</f>
        <v>0</v>
      </c>
      <c r="AC604" s="55">
        <f>IF(AQ604="1",BI604,0)</f>
        <v>0</v>
      </c>
      <c r="AD604" s="55">
        <f>IF(AQ604="7",BH604,0)</f>
        <v>0</v>
      </c>
      <c r="AE604" s="55">
        <f>IF(AQ604="7",BI604,0)</f>
        <v>0</v>
      </c>
      <c r="AF604" s="55">
        <f>IF(AQ604="2",BH604,0)</f>
        <v>0</v>
      </c>
      <c r="AG604" s="55">
        <f>IF(AQ604="2",BI604,0)</f>
        <v>0</v>
      </c>
      <c r="AH604" s="55">
        <f>IF(AQ604="0",BJ604,0)</f>
        <v>0</v>
      </c>
      <c r="AI604" s="34" t="s">
        <v>2629</v>
      </c>
      <c r="AJ604" s="55">
        <f>IF(AN604=0,I604,0)</f>
        <v>0</v>
      </c>
      <c r="AK604" s="55">
        <f>IF(AN604=12,I604,0)</f>
        <v>0</v>
      </c>
      <c r="AL604" s="55">
        <f>IF(AN604=21,I604,0)</f>
        <v>0</v>
      </c>
      <c r="AN604" s="55">
        <v>21</v>
      </c>
      <c r="AO604" s="55">
        <f>H604*0</f>
        <v>0</v>
      </c>
      <c r="AP604" s="55">
        <f>H604*(1-0)</f>
        <v>0</v>
      </c>
      <c r="AQ604" s="58" t="s">
        <v>120</v>
      </c>
      <c r="AV604" s="55">
        <f>AW604+AX604</f>
        <v>0</v>
      </c>
      <c r="AW604" s="55">
        <f>G604*AO604</f>
        <v>0</v>
      </c>
      <c r="AX604" s="55">
        <f>G604*AP604</f>
        <v>0</v>
      </c>
      <c r="AY604" s="58" t="s">
        <v>2343</v>
      </c>
      <c r="AZ604" s="58" t="s">
        <v>3665</v>
      </c>
      <c r="BA604" s="34" t="s">
        <v>2634</v>
      </c>
      <c r="BB604" s="67">
        <v>100019</v>
      </c>
      <c r="BC604" s="55">
        <f>AW604+AX604</f>
        <v>0</v>
      </c>
      <c r="BD604" s="55">
        <f>H604/(100-BE604)*100</f>
        <v>0</v>
      </c>
      <c r="BE604" s="55">
        <v>0</v>
      </c>
      <c r="BF604" s="55">
        <f>K604</f>
        <v>0</v>
      </c>
      <c r="BH604" s="55">
        <f>G604*AO604</f>
        <v>0</v>
      </c>
      <c r="BI604" s="55">
        <f>G604*AP604</f>
        <v>0</v>
      </c>
      <c r="BJ604" s="55">
        <f>G604*H604</f>
        <v>0</v>
      </c>
      <c r="BK604" s="55"/>
      <c r="BL604" s="55">
        <v>94</v>
      </c>
      <c r="BW604" s="55">
        <v>21</v>
      </c>
    </row>
    <row r="605" spans="1:12" ht="14.4">
      <c r="A605" s="59"/>
      <c r="D605" s="60" t="s">
        <v>120</v>
      </c>
      <c r="E605" s="60" t="s">
        <v>4</v>
      </c>
      <c r="G605" s="68">
        <v>1</v>
      </c>
      <c r="L605" s="69"/>
    </row>
    <row r="606" spans="1:75" ht="13.5" customHeight="1">
      <c r="A606" s="1" t="s">
        <v>1279</v>
      </c>
      <c r="B606" s="2" t="s">
        <v>2629</v>
      </c>
      <c r="C606" s="2" t="s">
        <v>3667</v>
      </c>
      <c r="D606" s="147" t="s">
        <v>3668</v>
      </c>
      <c r="E606" s="148"/>
      <c r="F606" s="2" t="s">
        <v>174</v>
      </c>
      <c r="G606" s="55">
        <f>'Stavební rozpočet-vyplnit'!G1984</f>
        <v>140.4</v>
      </c>
      <c r="H606" s="55">
        <f>'Stavební rozpočet-vyplnit'!H1984</f>
        <v>0</v>
      </c>
      <c r="I606" s="55">
        <f>G606*H606</f>
        <v>0</v>
      </c>
      <c r="J606" s="55">
        <f>'Stavební rozpočet-vyplnit'!J1984</f>
        <v>0</v>
      </c>
      <c r="K606" s="55">
        <f>G606*J606</f>
        <v>0</v>
      </c>
      <c r="L606" s="57" t="s">
        <v>785</v>
      </c>
      <c r="Z606" s="55">
        <f>IF(AQ606="5",BJ606,0)</f>
        <v>0</v>
      </c>
      <c r="AB606" s="55">
        <f>IF(AQ606="1",BH606,0)</f>
        <v>0</v>
      </c>
      <c r="AC606" s="55">
        <f>IF(AQ606="1",BI606,0)</f>
        <v>0</v>
      </c>
      <c r="AD606" s="55">
        <f>IF(AQ606="7",BH606,0)</f>
        <v>0</v>
      </c>
      <c r="AE606" s="55">
        <f>IF(AQ606="7",BI606,0)</f>
        <v>0</v>
      </c>
      <c r="AF606" s="55">
        <f>IF(AQ606="2",BH606,0)</f>
        <v>0</v>
      </c>
      <c r="AG606" s="55">
        <f>IF(AQ606="2",BI606,0)</f>
        <v>0</v>
      </c>
      <c r="AH606" s="55">
        <f>IF(AQ606="0",BJ606,0)</f>
        <v>0</v>
      </c>
      <c r="AI606" s="34" t="s">
        <v>2629</v>
      </c>
      <c r="AJ606" s="55">
        <f>IF(AN606=0,I606,0)</f>
        <v>0</v>
      </c>
      <c r="AK606" s="55">
        <f>IF(AN606=12,I606,0)</f>
        <v>0</v>
      </c>
      <c r="AL606" s="55">
        <f>IF(AN606=21,I606,0)</f>
        <v>0</v>
      </c>
      <c r="AN606" s="55">
        <v>21</v>
      </c>
      <c r="AO606" s="55">
        <f>H606*0.124578471</f>
        <v>0</v>
      </c>
      <c r="AP606" s="55">
        <f>H606*(1-0.124578471)</f>
        <v>0</v>
      </c>
      <c r="AQ606" s="58" t="s">
        <v>120</v>
      </c>
      <c r="AV606" s="55">
        <f>AW606+AX606</f>
        <v>0</v>
      </c>
      <c r="AW606" s="55">
        <f>G606*AO606</f>
        <v>0</v>
      </c>
      <c r="AX606" s="55">
        <f>G606*AP606</f>
        <v>0</v>
      </c>
      <c r="AY606" s="58" t="s">
        <v>2343</v>
      </c>
      <c r="AZ606" s="58" t="s">
        <v>3665</v>
      </c>
      <c r="BA606" s="34" t="s">
        <v>2634</v>
      </c>
      <c r="BB606" s="67">
        <v>100019</v>
      </c>
      <c r="BC606" s="55">
        <f>AW606+AX606</f>
        <v>0</v>
      </c>
      <c r="BD606" s="55">
        <f>H606/(100-BE606)*100</f>
        <v>0</v>
      </c>
      <c r="BE606" s="55">
        <v>0</v>
      </c>
      <c r="BF606" s="55">
        <f>K606</f>
        <v>0</v>
      </c>
      <c r="BH606" s="55">
        <f>G606*AO606</f>
        <v>0</v>
      </c>
      <c r="BI606" s="55">
        <f>G606*AP606</f>
        <v>0</v>
      </c>
      <c r="BJ606" s="55">
        <f>G606*H606</f>
        <v>0</v>
      </c>
      <c r="BK606" s="55"/>
      <c r="BL606" s="55">
        <v>94</v>
      </c>
      <c r="BW606" s="55">
        <v>21</v>
      </c>
    </row>
    <row r="607" spans="1:12" ht="13.5" customHeight="1">
      <c r="A607" s="59"/>
      <c r="D607" s="218" t="s">
        <v>3669</v>
      </c>
      <c r="E607" s="219"/>
      <c r="F607" s="219"/>
      <c r="G607" s="219"/>
      <c r="H607" s="219"/>
      <c r="I607" s="219"/>
      <c r="J607" s="219"/>
      <c r="K607" s="219"/>
      <c r="L607" s="221"/>
    </row>
    <row r="608" spans="1:12" ht="14.4">
      <c r="A608" s="59"/>
      <c r="D608" s="60" t="s">
        <v>3670</v>
      </c>
      <c r="E608" s="60" t="s">
        <v>869</v>
      </c>
      <c r="G608" s="68">
        <v>135.4</v>
      </c>
      <c r="L608" s="69"/>
    </row>
    <row r="609" spans="1:12" ht="14.4">
      <c r="A609" s="59"/>
      <c r="D609" s="60" t="s">
        <v>3671</v>
      </c>
      <c r="E609" s="60" t="s">
        <v>3672</v>
      </c>
      <c r="G609" s="68">
        <v>5</v>
      </c>
      <c r="L609" s="69"/>
    </row>
    <row r="610" spans="1:75" ht="13.5" customHeight="1">
      <c r="A610" s="1" t="s">
        <v>1282</v>
      </c>
      <c r="B610" s="2" t="s">
        <v>2629</v>
      </c>
      <c r="C610" s="2" t="s">
        <v>3674</v>
      </c>
      <c r="D610" s="147" t="s">
        <v>3675</v>
      </c>
      <c r="E610" s="148"/>
      <c r="F610" s="2" t="s">
        <v>174</v>
      </c>
      <c r="G610" s="55">
        <f>'Stavební rozpočet-vyplnit'!G1988</f>
        <v>4174.5</v>
      </c>
      <c r="H610" s="55">
        <f>'Stavební rozpočet-vyplnit'!H1988</f>
        <v>0</v>
      </c>
      <c r="I610" s="55">
        <f>G610*H610</f>
        <v>0</v>
      </c>
      <c r="J610" s="55">
        <f>'Stavební rozpočet-vyplnit'!J1988</f>
        <v>0</v>
      </c>
      <c r="K610" s="55">
        <f>G610*J610</f>
        <v>0</v>
      </c>
      <c r="L610" s="57" t="s">
        <v>785</v>
      </c>
      <c r="Z610" s="55">
        <f>IF(AQ610="5",BJ610,0)</f>
        <v>0</v>
      </c>
      <c r="AB610" s="55">
        <f>IF(AQ610="1",BH610,0)</f>
        <v>0</v>
      </c>
      <c r="AC610" s="55">
        <f>IF(AQ610="1",BI610,0)</f>
        <v>0</v>
      </c>
      <c r="AD610" s="55">
        <f>IF(AQ610="7",BH610,0)</f>
        <v>0</v>
      </c>
      <c r="AE610" s="55">
        <f>IF(AQ610="7",BI610,0)</f>
        <v>0</v>
      </c>
      <c r="AF610" s="55">
        <f>IF(AQ610="2",BH610,0)</f>
        <v>0</v>
      </c>
      <c r="AG610" s="55">
        <f>IF(AQ610="2",BI610,0)</f>
        <v>0</v>
      </c>
      <c r="AH610" s="55">
        <f>IF(AQ610="0",BJ610,0)</f>
        <v>0</v>
      </c>
      <c r="AI610" s="34" t="s">
        <v>2629</v>
      </c>
      <c r="AJ610" s="55">
        <f>IF(AN610=0,I610,0)</f>
        <v>0</v>
      </c>
      <c r="AK610" s="55">
        <f>IF(AN610=12,I610,0)</f>
        <v>0</v>
      </c>
      <c r="AL610" s="55">
        <f>IF(AN610=21,I610,0)</f>
        <v>0</v>
      </c>
      <c r="AN610" s="55">
        <v>21</v>
      </c>
      <c r="AO610" s="55">
        <f>H610*0</f>
        <v>0</v>
      </c>
      <c r="AP610" s="55">
        <f>H610*(1-0)</f>
        <v>0</v>
      </c>
      <c r="AQ610" s="58" t="s">
        <v>120</v>
      </c>
      <c r="AV610" s="55">
        <f>AW610+AX610</f>
        <v>0</v>
      </c>
      <c r="AW610" s="55">
        <f>G610*AO610</f>
        <v>0</v>
      </c>
      <c r="AX610" s="55">
        <f>G610*AP610</f>
        <v>0</v>
      </c>
      <c r="AY610" s="58" t="s">
        <v>2343</v>
      </c>
      <c r="AZ610" s="58" t="s">
        <v>3665</v>
      </c>
      <c r="BA610" s="34" t="s">
        <v>2634</v>
      </c>
      <c r="BB610" s="67">
        <v>100019</v>
      </c>
      <c r="BC610" s="55">
        <f>AW610+AX610</f>
        <v>0</v>
      </c>
      <c r="BD610" s="55">
        <f>H610/(100-BE610)*100</f>
        <v>0</v>
      </c>
      <c r="BE610" s="55">
        <v>0</v>
      </c>
      <c r="BF610" s="55">
        <f>K610</f>
        <v>0</v>
      </c>
      <c r="BH610" s="55">
        <f>G610*AO610</f>
        <v>0</v>
      </c>
      <c r="BI610" s="55">
        <f>G610*AP610</f>
        <v>0</v>
      </c>
      <c r="BJ610" s="55">
        <f>G610*H610</f>
        <v>0</v>
      </c>
      <c r="BK610" s="55"/>
      <c r="BL610" s="55">
        <v>94</v>
      </c>
      <c r="BW610" s="55">
        <v>21</v>
      </c>
    </row>
    <row r="611" spans="1:12" ht="13.5" customHeight="1">
      <c r="A611" s="59"/>
      <c r="D611" s="218" t="s">
        <v>3676</v>
      </c>
      <c r="E611" s="219"/>
      <c r="F611" s="219"/>
      <c r="G611" s="219"/>
      <c r="H611" s="219"/>
      <c r="I611" s="219"/>
      <c r="J611" s="219"/>
      <c r="K611" s="219"/>
      <c r="L611" s="221"/>
    </row>
    <row r="612" spans="1:12" ht="14.4">
      <c r="A612" s="59"/>
      <c r="D612" s="60" t="s">
        <v>3677</v>
      </c>
      <c r="E612" s="60" t="s">
        <v>4</v>
      </c>
      <c r="G612" s="68">
        <v>4174.5</v>
      </c>
      <c r="L612" s="69"/>
    </row>
    <row r="613" spans="1:75" ht="13.5" customHeight="1">
      <c r="A613" s="1" t="s">
        <v>1284</v>
      </c>
      <c r="B613" s="2" t="s">
        <v>2629</v>
      </c>
      <c r="C613" s="2" t="s">
        <v>3679</v>
      </c>
      <c r="D613" s="147" t="s">
        <v>3680</v>
      </c>
      <c r="E613" s="148"/>
      <c r="F613" s="2" t="s">
        <v>174</v>
      </c>
      <c r="G613" s="55">
        <f>'Stavební rozpočet-vyplnit'!G1991</f>
        <v>139.15</v>
      </c>
      <c r="H613" s="55">
        <f>'Stavební rozpočet-vyplnit'!H1991</f>
        <v>0</v>
      </c>
      <c r="I613" s="55">
        <f>G613*H613</f>
        <v>0</v>
      </c>
      <c r="J613" s="55">
        <f>'Stavební rozpočet-vyplnit'!J1991</f>
        <v>0</v>
      </c>
      <c r="K613" s="55">
        <f>G613*J613</f>
        <v>0</v>
      </c>
      <c r="L613" s="57" t="s">
        <v>785</v>
      </c>
      <c r="Z613" s="55">
        <f>IF(AQ613="5",BJ613,0)</f>
        <v>0</v>
      </c>
      <c r="AB613" s="55">
        <f>IF(AQ613="1",BH613,0)</f>
        <v>0</v>
      </c>
      <c r="AC613" s="55">
        <f>IF(AQ613="1",BI613,0)</f>
        <v>0</v>
      </c>
      <c r="AD613" s="55">
        <f>IF(AQ613="7",BH613,0)</f>
        <v>0</v>
      </c>
      <c r="AE613" s="55">
        <f>IF(AQ613="7",BI613,0)</f>
        <v>0</v>
      </c>
      <c r="AF613" s="55">
        <f>IF(AQ613="2",BH613,0)</f>
        <v>0</v>
      </c>
      <c r="AG613" s="55">
        <f>IF(AQ613="2",BI613,0)</f>
        <v>0</v>
      </c>
      <c r="AH613" s="55">
        <f>IF(AQ613="0",BJ613,0)</f>
        <v>0</v>
      </c>
      <c r="AI613" s="34" t="s">
        <v>2629</v>
      </c>
      <c r="AJ613" s="55">
        <f>IF(AN613=0,I613,0)</f>
        <v>0</v>
      </c>
      <c r="AK613" s="55">
        <f>IF(AN613=12,I613,0)</f>
        <v>0</v>
      </c>
      <c r="AL613" s="55">
        <f>IF(AN613=21,I613,0)</f>
        <v>0</v>
      </c>
      <c r="AN613" s="55">
        <v>21</v>
      </c>
      <c r="AO613" s="55">
        <f>H613*0</f>
        <v>0</v>
      </c>
      <c r="AP613" s="55">
        <f>H613*(1-0)</f>
        <v>0</v>
      </c>
      <c r="AQ613" s="58" t="s">
        <v>120</v>
      </c>
      <c r="AV613" s="55">
        <f>AW613+AX613</f>
        <v>0</v>
      </c>
      <c r="AW613" s="55">
        <f>G613*AO613</f>
        <v>0</v>
      </c>
      <c r="AX613" s="55">
        <f>G613*AP613</f>
        <v>0</v>
      </c>
      <c r="AY613" s="58" t="s">
        <v>2343</v>
      </c>
      <c r="AZ613" s="58" t="s">
        <v>3665</v>
      </c>
      <c r="BA613" s="34" t="s">
        <v>2634</v>
      </c>
      <c r="BB613" s="67">
        <v>100019</v>
      </c>
      <c r="BC613" s="55">
        <f>AW613+AX613</f>
        <v>0</v>
      </c>
      <c r="BD613" s="55">
        <f>H613/(100-BE613)*100</f>
        <v>0</v>
      </c>
      <c r="BE613" s="55">
        <v>0</v>
      </c>
      <c r="BF613" s="55">
        <f>K613</f>
        <v>0</v>
      </c>
      <c r="BH613" s="55">
        <f>G613*AO613</f>
        <v>0</v>
      </c>
      <c r="BI613" s="55">
        <f>G613*AP613</f>
        <v>0</v>
      </c>
      <c r="BJ613" s="55">
        <f>G613*H613</f>
        <v>0</v>
      </c>
      <c r="BK613" s="55"/>
      <c r="BL613" s="55">
        <v>94</v>
      </c>
      <c r="BW613" s="55">
        <v>21</v>
      </c>
    </row>
    <row r="614" spans="1:12" ht="13.5" customHeight="1">
      <c r="A614" s="59"/>
      <c r="D614" s="218" t="s">
        <v>3669</v>
      </c>
      <c r="E614" s="219"/>
      <c r="F614" s="219"/>
      <c r="G614" s="219"/>
      <c r="H614" s="219"/>
      <c r="I614" s="219"/>
      <c r="J614" s="219"/>
      <c r="K614" s="219"/>
      <c r="L614" s="221"/>
    </row>
    <row r="615" spans="1:12" ht="14.4">
      <c r="A615" s="59"/>
      <c r="D615" s="60" t="s">
        <v>3681</v>
      </c>
      <c r="E615" s="60" t="s">
        <v>4</v>
      </c>
      <c r="G615" s="68">
        <v>139.15</v>
      </c>
      <c r="L615" s="69"/>
    </row>
    <row r="616" spans="1:75" ht="13.5" customHeight="1">
      <c r="A616" s="1" t="s">
        <v>1287</v>
      </c>
      <c r="B616" s="2" t="s">
        <v>2629</v>
      </c>
      <c r="C616" s="2" t="s">
        <v>3683</v>
      </c>
      <c r="D616" s="147" t="s">
        <v>3684</v>
      </c>
      <c r="E616" s="148"/>
      <c r="F616" s="2" t="s">
        <v>729</v>
      </c>
      <c r="G616" s="55">
        <f>'Stavební rozpočet-vyplnit'!G1994</f>
        <v>421.2</v>
      </c>
      <c r="H616" s="55">
        <f>'Stavební rozpočet-vyplnit'!H1994</f>
        <v>0</v>
      </c>
      <c r="I616" s="55">
        <f>G616*H616</f>
        <v>0</v>
      </c>
      <c r="J616" s="55">
        <f>'Stavební rozpočet-vyplnit'!J1994</f>
        <v>0.0006</v>
      </c>
      <c r="K616" s="55">
        <f>G616*J616</f>
        <v>0.25271999999999994</v>
      </c>
      <c r="L616" s="57" t="s">
        <v>785</v>
      </c>
      <c r="Z616" s="55">
        <f>IF(AQ616="5",BJ616,0)</f>
        <v>0</v>
      </c>
      <c r="AB616" s="55">
        <f>IF(AQ616="1",BH616,0)</f>
        <v>0</v>
      </c>
      <c r="AC616" s="55">
        <f>IF(AQ616="1",BI616,0)</f>
        <v>0</v>
      </c>
      <c r="AD616" s="55">
        <f>IF(AQ616="7",BH616,0)</f>
        <v>0</v>
      </c>
      <c r="AE616" s="55">
        <f>IF(AQ616="7",BI616,0)</f>
        <v>0</v>
      </c>
      <c r="AF616" s="55">
        <f>IF(AQ616="2",BH616,0)</f>
        <v>0</v>
      </c>
      <c r="AG616" s="55">
        <f>IF(AQ616="2",BI616,0)</f>
        <v>0</v>
      </c>
      <c r="AH616" s="55">
        <f>IF(AQ616="0",BJ616,0)</f>
        <v>0</v>
      </c>
      <c r="AI616" s="34" t="s">
        <v>2629</v>
      </c>
      <c r="AJ616" s="55">
        <f>IF(AN616=0,I616,0)</f>
        <v>0</v>
      </c>
      <c r="AK616" s="55">
        <f>IF(AN616=12,I616,0)</f>
        <v>0</v>
      </c>
      <c r="AL616" s="55">
        <f>IF(AN616=21,I616,0)</f>
        <v>0</v>
      </c>
      <c r="AN616" s="55">
        <v>21</v>
      </c>
      <c r="AO616" s="55">
        <f>H616*0.685405565</f>
        <v>0</v>
      </c>
      <c r="AP616" s="55">
        <f>H616*(1-0.685405565)</f>
        <v>0</v>
      </c>
      <c r="AQ616" s="58" t="s">
        <v>120</v>
      </c>
      <c r="AV616" s="55">
        <f>AW616+AX616</f>
        <v>0</v>
      </c>
      <c r="AW616" s="55">
        <f>G616*AO616</f>
        <v>0</v>
      </c>
      <c r="AX616" s="55">
        <f>G616*AP616</f>
        <v>0</v>
      </c>
      <c r="AY616" s="58" t="s">
        <v>2343</v>
      </c>
      <c r="AZ616" s="58" t="s">
        <v>3665</v>
      </c>
      <c r="BA616" s="34" t="s">
        <v>2634</v>
      </c>
      <c r="BB616" s="67">
        <v>100019</v>
      </c>
      <c r="BC616" s="55">
        <f>AW616+AX616</f>
        <v>0</v>
      </c>
      <c r="BD616" s="55">
        <f>H616/(100-BE616)*100</f>
        <v>0</v>
      </c>
      <c r="BE616" s="55">
        <v>0</v>
      </c>
      <c r="BF616" s="55">
        <f>K616</f>
        <v>0.25271999999999994</v>
      </c>
      <c r="BH616" s="55">
        <f>G616*AO616</f>
        <v>0</v>
      </c>
      <c r="BI616" s="55">
        <f>G616*AP616</f>
        <v>0</v>
      </c>
      <c r="BJ616" s="55">
        <f>G616*H616</f>
        <v>0</v>
      </c>
      <c r="BK616" s="55"/>
      <c r="BL616" s="55">
        <v>94</v>
      </c>
      <c r="BW616" s="55">
        <v>21</v>
      </c>
    </row>
    <row r="617" spans="1:12" ht="13.5" customHeight="1">
      <c r="A617" s="59"/>
      <c r="D617" s="218" t="s">
        <v>3685</v>
      </c>
      <c r="E617" s="219"/>
      <c r="F617" s="219"/>
      <c r="G617" s="219"/>
      <c r="H617" s="219"/>
      <c r="I617" s="219"/>
      <c r="J617" s="219"/>
      <c r="K617" s="219"/>
      <c r="L617" s="221"/>
    </row>
    <row r="618" spans="1:12" ht="14.4">
      <c r="A618" s="59"/>
      <c r="D618" s="60" t="s">
        <v>3686</v>
      </c>
      <c r="E618" s="60" t="s">
        <v>3687</v>
      </c>
      <c r="G618" s="68">
        <v>210.6</v>
      </c>
      <c r="L618" s="69"/>
    </row>
    <row r="619" spans="1:12" ht="14.4">
      <c r="A619" s="59"/>
      <c r="D619" s="60" t="s">
        <v>3686</v>
      </c>
      <c r="E619" s="60" t="s">
        <v>3688</v>
      </c>
      <c r="G619" s="68">
        <v>210.6</v>
      </c>
      <c r="L619" s="69"/>
    </row>
    <row r="620" spans="1:75" ht="13.5" customHeight="1">
      <c r="A620" s="1" t="s">
        <v>1290</v>
      </c>
      <c r="B620" s="2" t="s">
        <v>2629</v>
      </c>
      <c r="C620" s="2" t="s">
        <v>3690</v>
      </c>
      <c r="D620" s="147" t="s">
        <v>3691</v>
      </c>
      <c r="E620" s="148"/>
      <c r="F620" s="2" t="s">
        <v>729</v>
      </c>
      <c r="G620" s="55">
        <f>'Stavební rozpočet-vyplnit'!G1998</f>
        <v>421.2</v>
      </c>
      <c r="H620" s="55">
        <f>'Stavební rozpočet-vyplnit'!H1998</f>
        <v>0</v>
      </c>
      <c r="I620" s="55">
        <f>G620*H620</f>
        <v>0</v>
      </c>
      <c r="J620" s="55">
        <f>'Stavební rozpočet-vyplnit'!J1998</f>
        <v>0.0006</v>
      </c>
      <c r="K620" s="55">
        <f>G620*J620</f>
        <v>0.25271999999999994</v>
      </c>
      <c r="L620" s="57" t="s">
        <v>785</v>
      </c>
      <c r="Z620" s="55">
        <f>IF(AQ620="5",BJ620,0)</f>
        <v>0</v>
      </c>
      <c r="AB620" s="55">
        <f>IF(AQ620="1",BH620,0)</f>
        <v>0</v>
      </c>
      <c r="AC620" s="55">
        <f>IF(AQ620="1",BI620,0)</f>
        <v>0</v>
      </c>
      <c r="AD620" s="55">
        <f>IF(AQ620="7",BH620,0)</f>
        <v>0</v>
      </c>
      <c r="AE620" s="55">
        <f>IF(AQ620="7",BI620,0)</f>
        <v>0</v>
      </c>
      <c r="AF620" s="55">
        <f>IF(AQ620="2",BH620,0)</f>
        <v>0</v>
      </c>
      <c r="AG620" s="55">
        <f>IF(AQ620="2",BI620,0)</f>
        <v>0</v>
      </c>
      <c r="AH620" s="55">
        <f>IF(AQ620="0",BJ620,0)</f>
        <v>0</v>
      </c>
      <c r="AI620" s="34" t="s">
        <v>2629</v>
      </c>
      <c r="AJ620" s="55">
        <f>IF(AN620=0,I620,0)</f>
        <v>0</v>
      </c>
      <c r="AK620" s="55">
        <f>IF(AN620=12,I620,0)</f>
        <v>0</v>
      </c>
      <c r="AL620" s="55">
        <f>IF(AN620=21,I620,0)</f>
        <v>0</v>
      </c>
      <c r="AN620" s="55">
        <v>21</v>
      </c>
      <c r="AO620" s="55">
        <f>H620*0</f>
        <v>0</v>
      </c>
      <c r="AP620" s="55">
        <f>H620*(1-0)</f>
        <v>0</v>
      </c>
      <c r="AQ620" s="58" t="s">
        <v>120</v>
      </c>
      <c r="AV620" s="55">
        <f>AW620+AX620</f>
        <v>0</v>
      </c>
      <c r="AW620" s="55">
        <f>G620*AO620</f>
        <v>0</v>
      </c>
      <c r="AX620" s="55">
        <f>G620*AP620</f>
        <v>0</v>
      </c>
      <c r="AY620" s="58" t="s">
        <v>2343</v>
      </c>
      <c r="AZ620" s="58" t="s">
        <v>3665</v>
      </c>
      <c r="BA620" s="34" t="s">
        <v>2634</v>
      </c>
      <c r="BB620" s="67">
        <v>100019</v>
      </c>
      <c r="BC620" s="55">
        <f>AW620+AX620</f>
        <v>0</v>
      </c>
      <c r="BD620" s="55">
        <f>H620/(100-BE620)*100</f>
        <v>0</v>
      </c>
      <c r="BE620" s="55">
        <v>0</v>
      </c>
      <c r="BF620" s="55">
        <f>K620</f>
        <v>0.25271999999999994</v>
      </c>
      <c r="BH620" s="55">
        <f>G620*AO620</f>
        <v>0</v>
      </c>
      <c r="BI620" s="55">
        <f>G620*AP620</f>
        <v>0</v>
      </c>
      <c r="BJ620" s="55">
        <f>G620*H620</f>
        <v>0</v>
      </c>
      <c r="BK620" s="55"/>
      <c r="BL620" s="55">
        <v>94</v>
      </c>
      <c r="BW620" s="55">
        <v>21</v>
      </c>
    </row>
    <row r="621" spans="1:12" ht="14.4">
      <c r="A621" s="59"/>
      <c r="D621" s="60" t="s">
        <v>3692</v>
      </c>
      <c r="E621" s="60" t="s">
        <v>4</v>
      </c>
      <c r="G621" s="68">
        <v>421.2</v>
      </c>
      <c r="L621" s="69"/>
    </row>
    <row r="622" spans="1:47" ht="14.4">
      <c r="A622" s="50" t="s">
        <v>4</v>
      </c>
      <c r="B622" s="51" t="s">
        <v>2629</v>
      </c>
      <c r="C622" s="51" t="s">
        <v>428</v>
      </c>
      <c r="D622" s="222" t="s">
        <v>2421</v>
      </c>
      <c r="E622" s="223"/>
      <c r="F622" s="52" t="s">
        <v>79</v>
      </c>
      <c r="G622" s="52" t="s">
        <v>79</v>
      </c>
      <c r="H622" s="52" t="s">
        <v>79</v>
      </c>
      <c r="I622" s="27">
        <f>SUM(I623:I623)</f>
        <v>0</v>
      </c>
      <c r="J622" s="34" t="s">
        <v>4</v>
      </c>
      <c r="K622" s="27">
        <f>SUM(K623:K623)</f>
        <v>0.1710324</v>
      </c>
      <c r="L622" s="54" t="s">
        <v>4</v>
      </c>
      <c r="AI622" s="34" t="s">
        <v>2629</v>
      </c>
      <c r="AS622" s="27">
        <f>SUM(AJ623:AJ623)</f>
        <v>0</v>
      </c>
      <c r="AT622" s="27">
        <f>SUM(AK623:AK623)</f>
        <v>0</v>
      </c>
      <c r="AU622" s="27">
        <f>SUM(AL623:AL623)</f>
        <v>0</v>
      </c>
    </row>
    <row r="623" spans="1:75" ht="13.5" customHeight="1">
      <c r="A623" s="1" t="s">
        <v>1293</v>
      </c>
      <c r="B623" s="2" t="s">
        <v>2629</v>
      </c>
      <c r="C623" s="2" t="s">
        <v>2462</v>
      </c>
      <c r="D623" s="147" t="s">
        <v>2463</v>
      </c>
      <c r="E623" s="148"/>
      <c r="F623" s="2" t="s">
        <v>729</v>
      </c>
      <c r="G623" s="55">
        <f>'Stavební rozpočet-vyplnit'!G2001</f>
        <v>3.96</v>
      </c>
      <c r="H623" s="55">
        <f>'Stavební rozpočet-vyplnit'!H2001</f>
        <v>0</v>
      </c>
      <c r="I623" s="55">
        <f>G623*H623</f>
        <v>0</v>
      </c>
      <c r="J623" s="55">
        <f>'Stavební rozpočet-vyplnit'!J2001</f>
        <v>0.04319</v>
      </c>
      <c r="K623" s="55">
        <f>G623*J623</f>
        <v>0.1710324</v>
      </c>
      <c r="L623" s="57" t="s">
        <v>785</v>
      </c>
      <c r="Z623" s="55">
        <f>IF(AQ623="5",BJ623,0)</f>
        <v>0</v>
      </c>
      <c r="AB623" s="55">
        <f>IF(AQ623="1",BH623,0)</f>
        <v>0</v>
      </c>
      <c r="AC623" s="55">
        <f>IF(AQ623="1",BI623,0)</f>
        <v>0</v>
      </c>
      <c r="AD623" s="55">
        <f>IF(AQ623="7",BH623,0)</f>
        <v>0</v>
      </c>
      <c r="AE623" s="55">
        <f>IF(AQ623="7",BI623,0)</f>
        <v>0</v>
      </c>
      <c r="AF623" s="55">
        <f>IF(AQ623="2",BH623,0)</f>
        <v>0</v>
      </c>
      <c r="AG623" s="55">
        <f>IF(AQ623="2",BI623,0)</f>
        <v>0</v>
      </c>
      <c r="AH623" s="55">
        <f>IF(AQ623="0",BJ623,0)</f>
        <v>0</v>
      </c>
      <c r="AI623" s="34" t="s">
        <v>2629</v>
      </c>
      <c r="AJ623" s="55">
        <f>IF(AN623=0,I623,0)</f>
        <v>0</v>
      </c>
      <c r="AK623" s="55">
        <f>IF(AN623=12,I623,0)</f>
        <v>0</v>
      </c>
      <c r="AL623" s="55">
        <f>IF(AN623=21,I623,0)</f>
        <v>0</v>
      </c>
      <c r="AN623" s="55">
        <v>21</v>
      </c>
      <c r="AO623" s="55">
        <f>H623*0.209604695</f>
        <v>0</v>
      </c>
      <c r="AP623" s="55">
        <f>H623*(1-0.209604695)</f>
        <v>0</v>
      </c>
      <c r="AQ623" s="58" t="s">
        <v>120</v>
      </c>
      <c r="AV623" s="55">
        <f>AW623+AX623</f>
        <v>0</v>
      </c>
      <c r="AW623" s="55">
        <f>G623*AO623</f>
        <v>0</v>
      </c>
      <c r="AX623" s="55">
        <f>G623*AP623</f>
        <v>0</v>
      </c>
      <c r="AY623" s="58" t="s">
        <v>2425</v>
      </c>
      <c r="AZ623" s="58" t="s">
        <v>3665</v>
      </c>
      <c r="BA623" s="34" t="s">
        <v>2634</v>
      </c>
      <c r="BB623" s="67">
        <v>100020</v>
      </c>
      <c r="BC623" s="55">
        <f>AW623+AX623</f>
        <v>0</v>
      </c>
      <c r="BD623" s="55">
        <f>H623/(100-BE623)*100</f>
        <v>0</v>
      </c>
      <c r="BE623" s="55">
        <v>0</v>
      </c>
      <c r="BF623" s="55">
        <f>K623</f>
        <v>0.1710324</v>
      </c>
      <c r="BH623" s="55">
        <f>G623*AO623</f>
        <v>0</v>
      </c>
      <c r="BI623" s="55">
        <f>G623*AP623</f>
        <v>0</v>
      </c>
      <c r="BJ623" s="55">
        <f>G623*H623</f>
        <v>0</v>
      </c>
      <c r="BK623" s="55"/>
      <c r="BL623" s="55">
        <v>96</v>
      </c>
      <c r="BW623" s="55">
        <v>21</v>
      </c>
    </row>
    <row r="624" spans="1:12" ht="14.4">
      <c r="A624" s="59"/>
      <c r="D624" s="60" t="s">
        <v>3694</v>
      </c>
      <c r="E624" s="60" t="s">
        <v>4</v>
      </c>
      <c r="G624" s="68">
        <v>3.96</v>
      </c>
      <c r="L624" s="69"/>
    </row>
    <row r="625" spans="1:47" ht="14.4">
      <c r="A625" s="50" t="s">
        <v>4</v>
      </c>
      <c r="B625" s="51" t="s">
        <v>2629</v>
      </c>
      <c r="C625" s="51" t="s">
        <v>431</v>
      </c>
      <c r="D625" s="222" t="s">
        <v>2472</v>
      </c>
      <c r="E625" s="223"/>
      <c r="F625" s="52" t="s">
        <v>79</v>
      </c>
      <c r="G625" s="52" t="s">
        <v>79</v>
      </c>
      <c r="H625" s="52" t="s">
        <v>79</v>
      </c>
      <c r="I625" s="27">
        <f>SUM(I626:I626)</f>
        <v>0</v>
      </c>
      <c r="J625" s="34" t="s">
        <v>4</v>
      </c>
      <c r="K625" s="27">
        <f>SUM(K626:K626)</f>
        <v>0</v>
      </c>
      <c r="L625" s="54" t="s">
        <v>4</v>
      </c>
      <c r="AI625" s="34" t="s">
        <v>2629</v>
      </c>
      <c r="AS625" s="27">
        <f>SUM(AJ626:AJ626)</f>
        <v>0</v>
      </c>
      <c r="AT625" s="27">
        <f>SUM(AK626:AK626)</f>
        <v>0</v>
      </c>
      <c r="AU625" s="27">
        <f>SUM(AL626:AL626)</f>
        <v>0</v>
      </c>
    </row>
    <row r="626" spans="1:75" ht="13.5" customHeight="1">
      <c r="A626" s="1" t="s">
        <v>1296</v>
      </c>
      <c r="B626" s="2" t="s">
        <v>2629</v>
      </c>
      <c r="C626" s="2" t="s">
        <v>2474</v>
      </c>
      <c r="D626" s="147" t="s">
        <v>2475</v>
      </c>
      <c r="E626" s="148"/>
      <c r="F626" s="2" t="s">
        <v>792</v>
      </c>
      <c r="G626" s="55">
        <f>'Stavební rozpočet-vyplnit'!G2004</f>
        <v>9.69</v>
      </c>
      <c r="H626" s="55">
        <f>'Stavební rozpočet-vyplnit'!H2004</f>
        <v>0</v>
      </c>
      <c r="I626" s="55">
        <f>G626*H626</f>
        <v>0</v>
      </c>
      <c r="J626" s="55">
        <f>'Stavební rozpočet-vyplnit'!J2004</f>
        <v>0</v>
      </c>
      <c r="K626" s="55">
        <f>G626*J626</f>
        <v>0</v>
      </c>
      <c r="L626" s="57" t="s">
        <v>124</v>
      </c>
      <c r="Z626" s="55">
        <f>IF(AQ626="5",BJ626,0)</f>
        <v>0</v>
      </c>
      <c r="AB626" s="55">
        <f>IF(AQ626="1",BH626,0)</f>
        <v>0</v>
      </c>
      <c r="AC626" s="55">
        <f>IF(AQ626="1",BI626,0)</f>
        <v>0</v>
      </c>
      <c r="AD626" s="55">
        <f>IF(AQ626="7",BH626,0)</f>
        <v>0</v>
      </c>
      <c r="AE626" s="55">
        <f>IF(AQ626="7",BI626,0)</f>
        <v>0</v>
      </c>
      <c r="AF626" s="55">
        <f>IF(AQ626="2",BH626,0)</f>
        <v>0</v>
      </c>
      <c r="AG626" s="55">
        <f>IF(AQ626="2",BI626,0)</f>
        <v>0</v>
      </c>
      <c r="AH626" s="55">
        <f>IF(AQ626="0",BJ626,0)</f>
        <v>0</v>
      </c>
      <c r="AI626" s="34" t="s">
        <v>2629</v>
      </c>
      <c r="AJ626" s="55">
        <f>IF(AN626=0,I626,0)</f>
        <v>0</v>
      </c>
      <c r="AK626" s="55">
        <f>IF(AN626=12,I626,0)</f>
        <v>0</v>
      </c>
      <c r="AL626" s="55">
        <f>IF(AN626=21,I626,0)</f>
        <v>0</v>
      </c>
      <c r="AN626" s="55">
        <v>21</v>
      </c>
      <c r="AO626" s="55">
        <f>H626*0</f>
        <v>0</v>
      </c>
      <c r="AP626" s="55">
        <f>H626*(1-0)</f>
        <v>0</v>
      </c>
      <c r="AQ626" s="58" t="s">
        <v>120</v>
      </c>
      <c r="AV626" s="55">
        <f>AW626+AX626</f>
        <v>0</v>
      </c>
      <c r="AW626" s="55">
        <f>G626*AO626</f>
        <v>0</v>
      </c>
      <c r="AX626" s="55">
        <f>G626*AP626</f>
        <v>0</v>
      </c>
      <c r="AY626" s="58" t="s">
        <v>2476</v>
      </c>
      <c r="AZ626" s="58" t="s">
        <v>3665</v>
      </c>
      <c r="BA626" s="34" t="s">
        <v>2634</v>
      </c>
      <c r="BC626" s="55">
        <f>AW626+AX626</f>
        <v>0</v>
      </c>
      <c r="BD626" s="55">
        <f>H626/(100-BE626)*100</f>
        <v>0</v>
      </c>
      <c r="BE626" s="55">
        <v>0</v>
      </c>
      <c r="BF626" s="55">
        <f>K626</f>
        <v>0</v>
      </c>
      <c r="BH626" s="55">
        <f>G626*AO626</f>
        <v>0</v>
      </c>
      <c r="BI626" s="55">
        <f>G626*AP626</f>
        <v>0</v>
      </c>
      <c r="BJ626" s="55">
        <f>G626*H626</f>
        <v>0</v>
      </c>
      <c r="BK626" s="55"/>
      <c r="BL626" s="55">
        <v>97</v>
      </c>
      <c r="BW626" s="55">
        <v>21</v>
      </c>
    </row>
    <row r="627" spans="1:12" ht="13.5" customHeight="1">
      <c r="A627" s="59"/>
      <c r="D627" s="218" t="s">
        <v>2477</v>
      </c>
      <c r="E627" s="219"/>
      <c r="F627" s="219"/>
      <c r="G627" s="219"/>
      <c r="H627" s="219"/>
      <c r="I627" s="219"/>
      <c r="J627" s="219"/>
      <c r="K627" s="219"/>
      <c r="L627" s="221"/>
    </row>
    <row r="628" spans="1:12" ht="14.4">
      <c r="A628" s="59"/>
      <c r="D628" s="60" t="s">
        <v>3696</v>
      </c>
      <c r="E628" s="60" t="s">
        <v>2479</v>
      </c>
      <c r="G628" s="68">
        <v>9.69</v>
      </c>
      <c r="L628" s="69"/>
    </row>
    <row r="629" spans="1:47" ht="14.4">
      <c r="A629" s="50" t="s">
        <v>4</v>
      </c>
      <c r="B629" s="51" t="s">
        <v>2629</v>
      </c>
      <c r="C629" s="51" t="s">
        <v>2499</v>
      </c>
      <c r="D629" s="222" t="s">
        <v>2500</v>
      </c>
      <c r="E629" s="223"/>
      <c r="F629" s="52" t="s">
        <v>79</v>
      </c>
      <c r="G629" s="52" t="s">
        <v>79</v>
      </c>
      <c r="H629" s="52" t="s">
        <v>79</v>
      </c>
      <c r="I629" s="27">
        <f>SUM(I630:I630)</f>
        <v>0</v>
      </c>
      <c r="J629" s="34" t="s">
        <v>4</v>
      </c>
      <c r="K629" s="27">
        <f>SUM(K630:K630)</f>
        <v>0</v>
      </c>
      <c r="L629" s="54" t="s">
        <v>4</v>
      </c>
      <c r="AI629" s="34" t="s">
        <v>2629</v>
      </c>
      <c r="AS629" s="27">
        <f>SUM(AJ630:AJ630)</f>
        <v>0</v>
      </c>
      <c r="AT629" s="27">
        <f>SUM(AK630:AK630)</f>
        <v>0</v>
      </c>
      <c r="AU629" s="27">
        <f>SUM(AL630:AL630)</f>
        <v>0</v>
      </c>
    </row>
    <row r="630" spans="1:75" ht="13.5" customHeight="1">
      <c r="A630" s="1" t="s">
        <v>1299</v>
      </c>
      <c r="B630" s="2" t="s">
        <v>2629</v>
      </c>
      <c r="C630" s="2" t="s">
        <v>2502</v>
      </c>
      <c r="D630" s="147" t="s">
        <v>2503</v>
      </c>
      <c r="E630" s="148"/>
      <c r="F630" s="2" t="s">
        <v>939</v>
      </c>
      <c r="G630" s="55">
        <f>'Stavební rozpočet-vyplnit'!G2008</f>
        <v>0.73</v>
      </c>
      <c r="H630" s="55">
        <f>'Stavební rozpočet-vyplnit'!H2008</f>
        <v>0</v>
      </c>
      <c r="I630" s="55">
        <f>G630*H630</f>
        <v>0</v>
      </c>
      <c r="J630" s="55">
        <f>'Stavební rozpočet-vyplnit'!J2008</f>
        <v>0</v>
      </c>
      <c r="K630" s="55">
        <f>G630*J630</f>
        <v>0</v>
      </c>
      <c r="L630" s="57" t="s">
        <v>785</v>
      </c>
      <c r="Z630" s="55">
        <f>IF(AQ630="5",BJ630,0)</f>
        <v>0</v>
      </c>
      <c r="AB630" s="55">
        <f>IF(AQ630="1",BH630,0)</f>
        <v>0</v>
      </c>
      <c r="AC630" s="55">
        <f>IF(AQ630="1",BI630,0)</f>
        <v>0</v>
      </c>
      <c r="AD630" s="55">
        <f>IF(AQ630="7",BH630,0)</f>
        <v>0</v>
      </c>
      <c r="AE630" s="55">
        <f>IF(AQ630="7",BI630,0)</f>
        <v>0</v>
      </c>
      <c r="AF630" s="55">
        <f>IF(AQ630="2",BH630,0)</f>
        <v>0</v>
      </c>
      <c r="AG630" s="55">
        <f>IF(AQ630="2",BI630,0)</f>
        <v>0</v>
      </c>
      <c r="AH630" s="55">
        <f>IF(AQ630="0",BJ630,0)</f>
        <v>0</v>
      </c>
      <c r="AI630" s="34" t="s">
        <v>2629</v>
      </c>
      <c r="AJ630" s="55">
        <f>IF(AN630=0,I630,0)</f>
        <v>0</v>
      </c>
      <c r="AK630" s="55">
        <f>IF(AN630=12,I630,0)</f>
        <v>0</v>
      </c>
      <c r="AL630" s="55">
        <f>IF(AN630=21,I630,0)</f>
        <v>0</v>
      </c>
      <c r="AN630" s="55">
        <v>21</v>
      </c>
      <c r="AO630" s="55">
        <f>H630*0</f>
        <v>0</v>
      </c>
      <c r="AP630" s="55">
        <f>H630*(1-0)</f>
        <v>0</v>
      </c>
      <c r="AQ630" s="58" t="s">
        <v>139</v>
      </c>
      <c r="AV630" s="55">
        <f>AW630+AX630</f>
        <v>0</v>
      </c>
      <c r="AW630" s="55">
        <f>G630*AO630</f>
        <v>0</v>
      </c>
      <c r="AX630" s="55">
        <f>G630*AP630</f>
        <v>0</v>
      </c>
      <c r="AY630" s="58" t="s">
        <v>2504</v>
      </c>
      <c r="AZ630" s="58" t="s">
        <v>3665</v>
      </c>
      <c r="BA630" s="34" t="s">
        <v>2634</v>
      </c>
      <c r="BC630" s="55">
        <f>AW630+AX630</f>
        <v>0</v>
      </c>
      <c r="BD630" s="55">
        <f>H630/(100-BE630)*100</f>
        <v>0</v>
      </c>
      <c r="BE630" s="55">
        <v>0</v>
      </c>
      <c r="BF630" s="55">
        <f>K630</f>
        <v>0</v>
      </c>
      <c r="BH630" s="55">
        <f>G630*AO630</f>
        <v>0</v>
      </c>
      <c r="BI630" s="55">
        <f>G630*AP630</f>
        <v>0</v>
      </c>
      <c r="BJ630" s="55">
        <f>G630*H630</f>
        <v>0</v>
      </c>
      <c r="BK630" s="55"/>
      <c r="BL630" s="55"/>
      <c r="BW630" s="55">
        <v>21</v>
      </c>
    </row>
    <row r="631" spans="1:12" ht="14.4">
      <c r="A631" s="59"/>
      <c r="D631" s="60" t="s">
        <v>3698</v>
      </c>
      <c r="E631" s="60" t="s">
        <v>4</v>
      </c>
      <c r="G631" s="68">
        <v>0.73</v>
      </c>
      <c r="L631" s="69"/>
    </row>
    <row r="632" spans="1:47" ht="14.4">
      <c r="A632" s="50" t="s">
        <v>4</v>
      </c>
      <c r="B632" s="51" t="s">
        <v>2629</v>
      </c>
      <c r="C632" s="51" t="s">
        <v>2506</v>
      </c>
      <c r="D632" s="222" t="s">
        <v>2507</v>
      </c>
      <c r="E632" s="223"/>
      <c r="F632" s="52" t="s">
        <v>79</v>
      </c>
      <c r="G632" s="52" t="s">
        <v>79</v>
      </c>
      <c r="H632" s="52" t="s">
        <v>79</v>
      </c>
      <c r="I632" s="27">
        <f>SUM(I633:I634)</f>
        <v>0</v>
      </c>
      <c r="J632" s="34" t="s">
        <v>4</v>
      </c>
      <c r="K632" s="27">
        <f>SUM(K633:K634)</f>
        <v>0</v>
      </c>
      <c r="L632" s="54" t="s">
        <v>4</v>
      </c>
      <c r="AI632" s="34" t="s">
        <v>2629</v>
      </c>
      <c r="AS632" s="27">
        <f>SUM(AJ633:AJ634)</f>
        <v>0</v>
      </c>
      <c r="AT632" s="27">
        <f>SUM(AK633:AK634)</f>
        <v>0</v>
      </c>
      <c r="AU632" s="27">
        <f>SUM(AL633:AL634)</f>
        <v>0</v>
      </c>
    </row>
    <row r="633" spans="1:75" ht="13.5" customHeight="1">
      <c r="A633" s="1" t="s">
        <v>1302</v>
      </c>
      <c r="B633" s="2" t="s">
        <v>2629</v>
      </c>
      <c r="C633" s="2" t="s">
        <v>3700</v>
      </c>
      <c r="D633" s="147" t="s">
        <v>3701</v>
      </c>
      <c r="E633" s="148"/>
      <c r="F633" s="2" t="s">
        <v>374</v>
      </c>
      <c r="G633" s="55">
        <f>'Stavební rozpočet-vyplnit'!G2011</f>
        <v>2</v>
      </c>
      <c r="H633" s="55">
        <f>'Stavební rozpočet-vyplnit'!H2011</f>
        <v>0</v>
      </c>
      <c r="I633" s="55">
        <f>G633*H633</f>
        <v>0</v>
      </c>
      <c r="J633" s="55">
        <f>'Stavební rozpočet-vyplnit'!J2011</f>
        <v>0</v>
      </c>
      <c r="K633" s="55">
        <f>G633*J633</f>
        <v>0</v>
      </c>
      <c r="L633" s="57" t="s">
        <v>124</v>
      </c>
      <c r="Z633" s="55">
        <f>IF(AQ633="5",BJ633,0)</f>
        <v>0</v>
      </c>
      <c r="AB633" s="55">
        <f>IF(AQ633="1",BH633,0)</f>
        <v>0</v>
      </c>
      <c r="AC633" s="55">
        <f>IF(AQ633="1",BI633,0)</f>
        <v>0</v>
      </c>
      <c r="AD633" s="55">
        <f>IF(AQ633="7",BH633,0)</f>
        <v>0</v>
      </c>
      <c r="AE633" s="55">
        <f>IF(AQ633="7",BI633,0)</f>
        <v>0</v>
      </c>
      <c r="AF633" s="55">
        <f>IF(AQ633="2",BH633,0)</f>
        <v>0</v>
      </c>
      <c r="AG633" s="55">
        <f>IF(AQ633="2",BI633,0)</f>
        <v>0</v>
      </c>
      <c r="AH633" s="55">
        <f>IF(AQ633="0",BJ633,0)</f>
        <v>0</v>
      </c>
      <c r="AI633" s="34" t="s">
        <v>2629</v>
      </c>
      <c r="AJ633" s="55">
        <f>IF(AN633=0,I633,0)</f>
        <v>0</v>
      </c>
      <c r="AK633" s="55">
        <f>IF(AN633=12,I633,0)</f>
        <v>0</v>
      </c>
      <c r="AL633" s="55">
        <f>IF(AN633=21,I633,0)</f>
        <v>0</v>
      </c>
      <c r="AN633" s="55">
        <v>21</v>
      </c>
      <c r="AO633" s="55">
        <f>H633*0</f>
        <v>0</v>
      </c>
      <c r="AP633" s="55">
        <f>H633*(1-0)</f>
        <v>0</v>
      </c>
      <c r="AQ633" s="58" t="s">
        <v>130</v>
      </c>
      <c r="AV633" s="55">
        <f>AW633+AX633</f>
        <v>0</v>
      </c>
      <c r="AW633" s="55">
        <f>G633*AO633</f>
        <v>0</v>
      </c>
      <c r="AX633" s="55">
        <f>G633*AP633</f>
        <v>0</v>
      </c>
      <c r="AY633" s="58" t="s">
        <v>2511</v>
      </c>
      <c r="AZ633" s="58" t="s">
        <v>3665</v>
      </c>
      <c r="BA633" s="34" t="s">
        <v>2634</v>
      </c>
      <c r="BC633" s="55">
        <f>AW633+AX633</f>
        <v>0</v>
      </c>
      <c r="BD633" s="55">
        <f>H633/(100-BE633)*100</f>
        <v>0</v>
      </c>
      <c r="BE633" s="55">
        <v>0</v>
      </c>
      <c r="BF633" s="55">
        <f>K633</f>
        <v>0</v>
      </c>
      <c r="BH633" s="55">
        <f>G633*AO633</f>
        <v>0</v>
      </c>
      <c r="BI633" s="55">
        <f>G633*AP633</f>
        <v>0</v>
      </c>
      <c r="BJ633" s="55">
        <f>G633*H633</f>
        <v>0</v>
      </c>
      <c r="BK633" s="55"/>
      <c r="BL633" s="55"/>
      <c r="BW633" s="55">
        <v>21</v>
      </c>
    </row>
    <row r="634" spans="1:75" ht="13.5" customHeight="1">
      <c r="A634" s="61" t="s">
        <v>1309</v>
      </c>
      <c r="B634" s="62" t="s">
        <v>2629</v>
      </c>
      <c r="C634" s="62" t="s">
        <v>3703</v>
      </c>
      <c r="D634" s="224" t="s">
        <v>3704</v>
      </c>
      <c r="E634" s="225"/>
      <c r="F634" s="62" t="s">
        <v>123</v>
      </c>
      <c r="G634" s="63">
        <f>'Stavební rozpočet-vyplnit'!G2012</f>
        <v>2</v>
      </c>
      <c r="H634" s="63">
        <f>'Stavební rozpočet-vyplnit'!H2012</f>
        <v>0</v>
      </c>
      <c r="I634" s="63">
        <f>G634*H634</f>
        <v>0</v>
      </c>
      <c r="J634" s="63">
        <f>'Stavební rozpočet-vyplnit'!J2012</f>
        <v>0</v>
      </c>
      <c r="K634" s="63">
        <f>G634*J634</f>
        <v>0</v>
      </c>
      <c r="L634" s="65" t="s">
        <v>124</v>
      </c>
      <c r="Z634" s="55">
        <f>IF(AQ634="5",BJ634,0)</f>
        <v>0</v>
      </c>
      <c r="AB634" s="55">
        <f>IF(AQ634="1",BH634,0)</f>
        <v>0</v>
      </c>
      <c r="AC634" s="55">
        <f>IF(AQ634="1",BI634,0)</f>
        <v>0</v>
      </c>
      <c r="AD634" s="55">
        <f>IF(AQ634="7",BH634,0)</f>
        <v>0</v>
      </c>
      <c r="AE634" s="55">
        <f>IF(AQ634="7",BI634,0)</f>
        <v>0</v>
      </c>
      <c r="AF634" s="55">
        <f>IF(AQ634="2",BH634,0)</f>
        <v>0</v>
      </c>
      <c r="AG634" s="55">
        <f>IF(AQ634="2",BI634,0)</f>
        <v>0</v>
      </c>
      <c r="AH634" s="55">
        <f>IF(AQ634="0",BJ634,0)</f>
        <v>0</v>
      </c>
      <c r="AI634" s="34" t="s">
        <v>2629</v>
      </c>
      <c r="AJ634" s="63">
        <f>IF(AN634=0,I634,0)</f>
        <v>0</v>
      </c>
      <c r="AK634" s="63">
        <f>IF(AN634=12,I634,0)</f>
        <v>0</v>
      </c>
      <c r="AL634" s="63">
        <f>IF(AN634=21,I634,0)</f>
        <v>0</v>
      </c>
      <c r="AN634" s="55">
        <v>21</v>
      </c>
      <c r="AO634" s="55">
        <f>H634*1</f>
        <v>0</v>
      </c>
      <c r="AP634" s="55">
        <f>H634*(1-1)</f>
        <v>0</v>
      </c>
      <c r="AQ634" s="66" t="s">
        <v>120</v>
      </c>
      <c r="AV634" s="55">
        <f>AW634+AX634</f>
        <v>0</v>
      </c>
      <c r="AW634" s="55">
        <f>G634*AO634</f>
        <v>0</v>
      </c>
      <c r="AX634" s="55">
        <f>G634*AP634</f>
        <v>0</v>
      </c>
      <c r="AY634" s="58" t="s">
        <v>2511</v>
      </c>
      <c r="AZ634" s="58" t="s">
        <v>3665</v>
      </c>
      <c r="BA634" s="34" t="s">
        <v>2634</v>
      </c>
      <c r="BC634" s="55">
        <f>AW634+AX634</f>
        <v>0</v>
      </c>
      <c r="BD634" s="55">
        <f>H634/(100-BE634)*100</f>
        <v>0</v>
      </c>
      <c r="BE634" s="55">
        <v>0</v>
      </c>
      <c r="BF634" s="55">
        <f>K634</f>
        <v>0</v>
      </c>
      <c r="BH634" s="63">
        <f>G634*AO634</f>
        <v>0</v>
      </c>
      <c r="BI634" s="63">
        <f>G634*AP634</f>
        <v>0</v>
      </c>
      <c r="BJ634" s="63">
        <f>G634*H634</f>
        <v>0</v>
      </c>
      <c r="BK634" s="63"/>
      <c r="BL634" s="55"/>
      <c r="BW634" s="55">
        <v>21</v>
      </c>
    </row>
    <row r="635" spans="1:47" ht="14.4">
      <c r="A635" s="50" t="s">
        <v>4</v>
      </c>
      <c r="B635" s="51" t="s">
        <v>2629</v>
      </c>
      <c r="C635" s="51" t="s">
        <v>2571</v>
      </c>
      <c r="D635" s="222" t="s">
        <v>2572</v>
      </c>
      <c r="E635" s="223"/>
      <c r="F635" s="52" t="s">
        <v>79</v>
      </c>
      <c r="G635" s="52" t="s">
        <v>79</v>
      </c>
      <c r="H635" s="52" t="s">
        <v>79</v>
      </c>
      <c r="I635" s="27">
        <f>SUM(I636:I666)</f>
        <v>0</v>
      </c>
      <c r="J635" s="34" t="s">
        <v>4</v>
      </c>
      <c r="K635" s="27">
        <f>SUM(K636:K666)</f>
        <v>0</v>
      </c>
      <c r="L635" s="54" t="s">
        <v>4</v>
      </c>
      <c r="AI635" s="34" t="s">
        <v>2629</v>
      </c>
      <c r="AS635" s="27">
        <f>SUM(AJ636:AJ666)</f>
        <v>0</v>
      </c>
      <c r="AT635" s="27">
        <f>SUM(AK636:AK666)</f>
        <v>0</v>
      </c>
      <c r="AU635" s="27">
        <f>SUM(AL636:AL666)</f>
        <v>0</v>
      </c>
    </row>
    <row r="636" spans="1:75" ht="13.5" customHeight="1">
      <c r="A636" s="1" t="s">
        <v>1314</v>
      </c>
      <c r="B636" s="2" t="s">
        <v>2629</v>
      </c>
      <c r="C636" s="2" t="s">
        <v>2574</v>
      </c>
      <c r="D636" s="147" t="s">
        <v>2575</v>
      </c>
      <c r="E636" s="148"/>
      <c r="F636" s="2" t="s">
        <v>939</v>
      </c>
      <c r="G636" s="55">
        <f>'Stavební rozpočet-vyplnit'!G2014</f>
        <v>0.17</v>
      </c>
      <c r="H636" s="55">
        <f>'Stavební rozpočet-vyplnit'!H2014</f>
        <v>0</v>
      </c>
      <c r="I636" s="55">
        <f>G636*H636</f>
        <v>0</v>
      </c>
      <c r="J636" s="55">
        <f>'Stavební rozpočet-vyplnit'!J2014</f>
        <v>0</v>
      </c>
      <c r="K636" s="55">
        <f>G636*J636</f>
        <v>0</v>
      </c>
      <c r="L636" s="57" t="s">
        <v>785</v>
      </c>
      <c r="Z636" s="55">
        <f>IF(AQ636="5",BJ636,0)</f>
        <v>0</v>
      </c>
      <c r="AB636" s="55">
        <f>IF(AQ636="1",BH636,0)</f>
        <v>0</v>
      </c>
      <c r="AC636" s="55">
        <f>IF(AQ636="1",BI636,0)</f>
        <v>0</v>
      </c>
      <c r="AD636" s="55">
        <f>IF(AQ636="7",BH636,0)</f>
        <v>0</v>
      </c>
      <c r="AE636" s="55">
        <f>IF(AQ636="7",BI636,0)</f>
        <v>0</v>
      </c>
      <c r="AF636" s="55">
        <f>IF(AQ636="2",BH636,0)</f>
        <v>0</v>
      </c>
      <c r="AG636" s="55">
        <f>IF(AQ636="2",BI636,0)</f>
        <v>0</v>
      </c>
      <c r="AH636" s="55">
        <f>IF(AQ636="0",BJ636,0)</f>
        <v>0</v>
      </c>
      <c r="AI636" s="34" t="s">
        <v>2629</v>
      </c>
      <c r="AJ636" s="55">
        <f>IF(AN636=0,I636,0)</f>
        <v>0</v>
      </c>
      <c r="AK636" s="55">
        <f>IF(AN636=12,I636,0)</f>
        <v>0</v>
      </c>
      <c r="AL636" s="55">
        <f>IF(AN636=21,I636,0)</f>
        <v>0</v>
      </c>
      <c r="AN636" s="55">
        <v>21</v>
      </c>
      <c r="AO636" s="55">
        <f>H636*0</f>
        <v>0</v>
      </c>
      <c r="AP636" s="55">
        <f>H636*(1-0)</f>
        <v>0</v>
      </c>
      <c r="AQ636" s="58" t="s">
        <v>139</v>
      </c>
      <c r="AV636" s="55">
        <f>AW636+AX636</f>
        <v>0</v>
      </c>
      <c r="AW636" s="55">
        <f>G636*AO636</f>
        <v>0</v>
      </c>
      <c r="AX636" s="55">
        <f>G636*AP636</f>
        <v>0</v>
      </c>
      <c r="AY636" s="58" t="s">
        <v>2576</v>
      </c>
      <c r="AZ636" s="58" t="s">
        <v>3665</v>
      </c>
      <c r="BA636" s="34" t="s">
        <v>2634</v>
      </c>
      <c r="BB636" s="67">
        <v>100021</v>
      </c>
      <c r="BC636" s="55">
        <f>AW636+AX636</f>
        <v>0</v>
      </c>
      <c r="BD636" s="55">
        <f>H636/(100-BE636)*100</f>
        <v>0</v>
      </c>
      <c r="BE636" s="55">
        <v>0</v>
      </c>
      <c r="BF636" s="55">
        <f>K636</f>
        <v>0</v>
      </c>
      <c r="BH636" s="55">
        <f>G636*AO636</f>
        <v>0</v>
      </c>
      <c r="BI636" s="55">
        <f>G636*AP636</f>
        <v>0</v>
      </c>
      <c r="BJ636" s="55">
        <f>G636*H636</f>
        <v>0</v>
      </c>
      <c r="BK636" s="55"/>
      <c r="BL636" s="55"/>
      <c r="BW636" s="55">
        <v>21</v>
      </c>
    </row>
    <row r="637" spans="1:12" ht="14.4">
      <c r="A637" s="59"/>
      <c r="D637" s="60" t="s">
        <v>3706</v>
      </c>
      <c r="E637" s="60" t="s">
        <v>4</v>
      </c>
      <c r="G637" s="68">
        <v>0.17</v>
      </c>
      <c r="L637" s="69"/>
    </row>
    <row r="638" spans="1:75" ht="13.5" customHeight="1">
      <c r="A638" s="1" t="s">
        <v>1317</v>
      </c>
      <c r="B638" s="2" t="s">
        <v>2629</v>
      </c>
      <c r="C638" s="2" t="s">
        <v>2587</v>
      </c>
      <c r="D638" s="147" t="s">
        <v>2588</v>
      </c>
      <c r="E638" s="148"/>
      <c r="F638" s="2" t="s">
        <v>939</v>
      </c>
      <c r="G638" s="55">
        <f>'Stavební rozpočet-vyplnit'!G2016</f>
        <v>13.93</v>
      </c>
      <c r="H638" s="55">
        <f>'Stavební rozpočet-vyplnit'!H2016</f>
        <v>0</v>
      </c>
      <c r="I638" s="55">
        <f>G638*H638</f>
        <v>0</v>
      </c>
      <c r="J638" s="55">
        <f>'Stavební rozpočet-vyplnit'!J2016</f>
        <v>0</v>
      </c>
      <c r="K638" s="55">
        <f>G638*J638</f>
        <v>0</v>
      </c>
      <c r="L638" s="57" t="s">
        <v>785</v>
      </c>
      <c r="Z638" s="55">
        <f>IF(AQ638="5",BJ638,0)</f>
        <v>0</v>
      </c>
      <c r="AB638" s="55">
        <f>IF(AQ638="1",BH638,0)</f>
        <v>0</v>
      </c>
      <c r="AC638" s="55">
        <f>IF(AQ638="1",BI638,0)</f>
        <v>0</v>
      </c>
      <c r="AD638" s="55">
        <f>IF(AQ638="7",BH638,0)</f>
        <v>0</v>
      </c>
      <c r="AE638" s="55">
        <f>IF(AQ638="7",BI638,0)</f>
        <v>0</v>
      </c>
      <c r="AF638" s="55">
        <f>IF(AQ638="2",BH638,0)</f>
        <v>0</v>
      </c>
      <c r="AG638" s="55">
        <f>IF(AQ638="2",BI638,0)</f>
        <v>0</v>
      </c>
      <c r="AH638" s="55">
        <f>IF(AQ638="0",BJ638,0)</f>
        <v>0</v>
      </c>
      <c r="AI638" s="34" t="s">
        <v>2629</v>
      </c>
      <c r="AJ638" s="55">
        <f>IF(AN638=0,I638,0)</f>
        <v>0</v>
      </c>
      <c r="AK638" s="55">
        <f>IF(AN638=12,I638,0)</f>
        <v>0</v>
      </c>
      <c r="AL638" s="55">
        <f>IF(AN638=21,I638,0)</f>
        <v>0</v>
      </c>
      <c r="AN638" s="55">
        <v>21</v>
      </c>
      <c r="AO638" s="55">
        <f>H638*0</f>
        <v>0</v>
      </c>
      <c r="AP638" s="55">
        <f>H638*(1-0)</f>
        <v>0</v>
      </c>
      <c r="AQ638" s="58" t="s">
        <v>139</v>
      </c>
      <c r="AV638" s="55">
        <f>AW638+AX638</f>
        <v>0</v>
      </c>
      <c r="AW638" s="55">
        <f>G638*AO638</f>
        <v>0</v>
      </c>
      <c r="AX638" s="55">
        <f>G638*AP638</f>
        <v>0</v>
      </c>
      <c r="AY638" s="58" t="s">
        <v>2576</v>
      </c>
      <c r="AZ638" s="58" t="s">
        <v>3665</v>
      </c>
      <c r="BA638" s="34" t="s">
        <v>2634</v>
      </c>
      <c r="BB638" s="67">
        <v>100021</v>
      </c>
      <c r="BC638" s="55">
        <f>AW638+AX638</f>
        <v>0</v>
      </c>
      <c r="BD638" s="55">
        <f>H638/(100-BE638)*100</f>
        <v>0</v>
      </c>
      <c r="BE638" s="55">
        <v>0</v>
      </c>
      <c r="BF638" s="55">
        <f>K638</f>
        <v>0</v>
      </c>
      <c r="BH638" s="55">
        <f>G638*AO638</f>
        <v>0</v>
      </c>
      <c r="BI638" s="55">
        <f>G638*AP638</f>
        <v>0</v>
      </c>
      <c r="BJ638" s="55">
        <f>G638*H638</f>
        <v>0</v>
      </c>
      <c r="BK638" s="55"/>
      <c r="BL638" s="55"/>
      <c r="BW638" s="55">
        <v>21</v>
      </c>
    </row>
    <row r="639" spans="1:12" ht="14.4">
      <c r="A639" s="59"/>
      <c r="D639" s="60" t="s">
        <v>3708</v>
      </c>
      <c r="E639" s="60" t="s">
        <v>2590</v>
      </c>
      <c r="G639" s="68">
        <v>7.27</v>
      </c>
      <c r="L639" s="69"/>
    </row>
    <row r="640" spans="1:12" ht="14.4">
      <c r="A640" s="59"/>
      <c r="D640" s="60" t="s">
        <v>3709</v>
      </c>
      <c r="E640" s="60" t="s">
        <v>3710</v>
      </c>
      <c r="G640" s="68">
        <v>6.66</v>
      </c>
      <c r="L640" s="69"/>
    </row>
    <row r="641" spans="1:75" ht="13.5" customHeight="1">
      <c r="A641" s="1" t="s">
        <v>1318</v>
      </c>
      <c r="B641" s="2" t="s">
        <v>2629</v>
      </c>
      <c r="C641" s="2" t="s">
        <v>2592</v>
      </c>
      <c r="D641" s="147" t="s">
        <v>2593</v>
      </c>
      <c r="E641" s="148"/>
      <c r="F641" s="2" t="s">
        <v>939</v>
      </c>
      <c r="G641" s="55">
        <f>'Stavební rozpočet-vyplnit'!G2019</f>
        <v>55.72</v>
      </c>
      <c r="H641" s="55">
        <f>'Stavební rozpočet-vyplnit'!H2019</f>
        <v>0</v>
      </c>
      <c r="I641" s="55">
        <f>G641*H641</f>
        <v>0</v>
      </c>
      <c r="J641" s="55">
        <f>'Stavební rozpočet-vyplnit'!J2019</f>
        <v>0</v>
      </c>
      <c r="K641" s="55">
        <f>G641*J641</f>
        <v>0</v>
      </c>
      <c r="L641" s="57" t="s">
        <v>785</v>
      </c>
      <c r="Z641" s="55">
        <f>IF(AQ641="5",BJ641,0)</f>
        <v>0</v>
      </c>
      <c r="AB641" s="55">
        <f>IF(AQ641="1",BH641,0)</f>
        <v>0</v>
      </c>
      <c r="AC641" s="55">
        <f>IF(AQ641="1",BI641,0)</f>
        <v>0</v>
      </c>
      <c r="AD641" s="55">
        <f>IF(AQ641="7",BH641,0)</f>
        <v>0</v>
      </c>
      <c r="AE641" s="55">
        <f>IF(AQ641="7",BI641,0)</f>
        <v>0</v>
      </c>
      <c r="AF641" s="55">
        <f>IF(AQ641="2",BH641,0)</f>
        <v>0</v>
      </c>
      <c r="AG641" s="55">
        <f>IF(AQ641="2",BI641,0)</f>
        <v>0</v>
      </c>
      <c r="AH641" s="55">
        <f>IF(AQ641="0",BJ641,0)</f>
        <v>0</v>
      </c>
      <c r="AI641" s="34" t="s">
        <v>2629</v>
      </c>
      <c r="AJ641" s="55">
        <f>IF(AN641=0,I641,0)</f>
        <v>0</v>
      </c>
      <c r="AK641" s="55">
        <f>IF(AN641=12,I641,0)</f>
        <v>0</v>
      </c>
      <c r="AL641" s="55">
        <f>IF(AN641=21,I641,0)</f>
        <v>0</v>
      </c>
      <c r="AN641" s="55">
        <v>21</v>
      </c>
      <c r="AO641" s="55">
        <f>H641*0</f>
        <v>0</v>
      </c>
      <c r="AP641" s="55">
        <f>H641*(1-0)</f>
        <v>0</v>
      </c>
      <c r="AQ641" s="58" t="s">
        <v>139</v>
      </c>
      <c r="AV641" s="55">
        <f>AW641+AX641</f>
        <v>0</v>
      </c>
      <c r="AW641" s="55">
        <f>G641*AO641</f>
        <v>0</v>
      </c>
      <c r="AX641" s="55">
        <f>G641*AP641</f>
        <v>0</v>
      </c>
      <c r="AY641" s="58" t="s">
        <v>2576</v>
      </c>
      <c r="AZ641" s="58" t="s">
        <v>3665</v>
      </c>
      <c r="BA641" s="34" t="s">
        <v>2634</v>
      </c>
      <c r="BB641" s="67">
        <v>100021</v>
      </c>
      <c r="BC641" s="55">
        <f>AW641+AX641</f>
        <v>0</v>
      </c>
      <c r="BD641" s="55">
        <f>H641/(100-BE641)*100</f>
        <v>0</v>
      </c>
      <c r="BE641" s="55">
        <v>0</v>
      </c>
      <c r="BF641" s="55">
        <f>K641</f>
        <v>0</v>
      </c>
      <c r="BH641" s="55">
        <f>G641*AO641</f>
        <v>0</v>
      </c>
      <c r="BI641" s="55">
        <f>G641*AP641</f>
        <v>0</v>
      </c>
      <c r="BJ641" s="55">
        <f>G641*H641</f>
        <v>0</v>
      </c>
      <c r="BK641" s="55"/>
      <c r="BL641" s="55"/>
      <c r="BW641" s="55">
        <v>21</v>
      </c>
    </row>
    <row r="642" spans="1:12" ht="13.5" customHeight="1">
      <c r="A642" s="59"/>
      <c r="D642" s="218" t="s">
        <v>2594</v>
      </c>
      <c r="E642" s="219"/>
      <c r="F642" s="219"/>
      <c r="G642" s="219"/>
      <c r="H642" s="219"/>
      <c r="I642" s="219"/>
      <c r="J642" s="219"/>
      <c r="K642" s="219"/>
      <c r="L642" s="221"/>
    </row>
    <row r="643" spans="1:12" ht="14.4">
      <c r="A643" s="59"/>
      <c r="D643" s="60" t="s">
        <v>3712</v>
      </c>
      <c r="E643" s="60" t="s">
        <v>4</v>
      </c>
      <c r="G643" s="68">
        <v>55.72</v>
      </c>
      <c r="L643" s="69"/>
    </row>
    <row r="644" spans="1:75" ht="13.5" customHeight="1">
      <c r="A644" s="1" t="s">
        <v>1323</v>
      </c>
      <c r="B644" s="2" t="s">
        <v>2629</v>
      </c>
      <c r="C644" s="2" t="s">
        <v>2597</v>
      </c>
      <c r="D644" s="147" t="s">
        <v>2598</v>
      </c>
      <c r="E644" s="148"/>
      <c r="F644" s="2" t="s">
        <v>939</v>
      </c>
      <c r="G644" s="55">
        <f>'Stavební rozpočet-vyplnit'!G2022</f>
        <v>2.43</v>
      </c>
      <c r="H644" s="55">
        <f>'Stavební rozpočet-vyplnit'!H2022</f>
        <v>0</v>
      </c>
      <c r="I644" s="55">
        <f>G644*H644</f>
        <v>0</v>
      </c>
      <c r="J644" s="55">
        <f>'Stavební rozpočet-vyplnit'!J2022</f>
        <v>0</v>
      </c>
      <c r="K644" s="55">
        <f>G644*J644</f>
        <v>0</v>
      </c>
      <c r="L644" s="57" t="s">
        <v>785</v>
      </c>
      <c r="Z644" s="55">
        <f>IF(AQ644="5",BJ644,0)</f>
        <v>0</v>
      </c>
      <c r="AB644" s="55">
        <f>IF(AQ644="1",BH644,0)</f>
        <v>0</v>
      </c>
      <c r="AC644" s="55">
        <f>IF(AQ644="1",BI644,0)</f>
        <v>0</v>
      </c>
      <c r="AD644" s="55">
        <f>IF(AQ644="7",BH644,0)</f>
        <v>0</v>
      </c>
      <c r="AE644" s="55">
        <f>IF(AQ644="7",BI644,0)</f>
        <v>0</v>
      </c>
      <c r="AF644" s="55">
        <f>IF(AQ644="2",BH644,0)</f>
        <v>0</v>
      </c>
      <c r="AG644" s="55">
        <f>IF(AQ644="2",BI644,0)</f>
        <v>0</v>
      </c>
      <c r="AH644" s="55">
        <f>IF(AQ644="0",BJ644,0)</f>
        <v>0</v>
      </c>
      <c r="AI644" s="34" t="s">
        <v>2629</v>
      </c>
      <c r="AJ644" s="55">
        <f>IF(AN644=0,I644,0)</f>
        <v>0</v>
      </c>
      <c r="AK644" s="55">
        <f>IF(AN644=12,I644,0)</f>
        <v>0</v>
      </c>
      <c r="AL644" s="55">
        <f>IF(AN644=21,I644,0)</f>
        <v>0</v>
      </c>
      <c r="AN644" s="55">
        <v>21</v>
      </c>
      <c r="AO644" s="55">
        <f>H644*0</f>
        <v>0</v>
      </c>
      <c r="AP644" s="55">
        <f>H644*(1-0)</f>
        <v>0</v>
      </c>
      <c r="AQ644" s="58" t="s">
        <v>139</v>
      </c>
      <c r="AV644" s="55">
        <f>AW644+AX644</f>
        <v>0</v>
      </c>
      <c r="AW644" s="55">
        <f>G644*AO644</f>
        <v>0</v>
      </c>
      <c r="AX644" s="55">
        <f>G644*AP644</f>
        <v>0</v>
      </c>
      <c r="AY644" s="58" t="s">
        <v>2576</v>
      </c>
      <c r="AZ644" s="58" t="s">
        <v>3665</v>
      </c>
      <c r="BA644" s="34" t="s">
        <v>2634</v>
      </c>
      <c r="BB644" s="67">
        <v>100021</v>
      </c>
      <c r="BC644" s="55">
        <f>AW644+AX644</f>
        <v>0</v>
      </c>
      <c r="BD644" s="55">
        <f>H644/(100-BE644)*100</f>
        <v>0</v>
      </c>
      <c r="BE644" s="55">
        <v>0</v>
      </c>
      <c r="BF644" s="55">
        <f>K644</f>
        <v>0</v>
      </c>
      <c r="BH644" s="55">
        <f>G644*AO644</f>
        <v>0</v>
      </c>
      <c r="BI644" s="55">
        <f>G644*AP644</f>
        <v>0</v>
      </c>
      <c r="BJ644" s="55">
        <f>G644*H644</f>
        <v>0</v>
      </c>
      <c r="BK644" s="55"/>
      <c r="BL644" s="55"/>
      <c r="BW644" s="55">
        <v>21</v>
      </c>
    </row>
    <row r="645" spans="1:12" ht="13.5" customHeight="1">
      <c r="A645" s="59"/>
      <c r="D645" s="218" t="s">
        <v>2599</v>
      </c>
      <c r="E645" s="219"/>
      <c r="F645" s="219"/>
      <c r="G645" s="219"/>
      <c r="H645" s="219"/>
      <c r="I645" s="219"/>
      <c r="J645" s="219"/>
      <c r="K645" s="219"/>
      <c r="L645" s="221"/>
    </row>
    <row r="646" spans="1:12" ht="14.4">
      <c r="A646" s="59"/>
      <c r="D646" s="60" t="s">
        <v>3714</v>
      </c>
      <c r="E646" s="60" t="s">
        <v>2601</v>
      </c>
      <c r="G646" s="68">
        <v>1.45</v>
      </c>
      <c r="L646" s="69"/>
    </row>
    <row r="647" spans="1:12" ht="14.4">
      <c r="A647" s="59"/>
      <c r="D647" s="60" t="s">
        <v>3715</v>
      </c>
      <c r="E647" s="60" t="s">
        <v>3716</v>
      </c>
      <c r="G647" s="68">
        <v>0.81</v>
      </c>
      <c r="L647" s="69"/>
    </row>
    <row r="648" spans="1:12" ht="14.4">
      <c r="A648" s="59"/>
      <c r="D648" s="60" t="s">
        <v>3717</v>
      </c>
      <c r="E648" s="60" t="s">
        <v>3718</v>
      </c>
      <c r="G648" s="68">
        <v>0.17</v>
      </c>
      <c r="L648" s="69"/>
    </row>
    <row r="649" spans="1:75" ht="13.5" customHeight="1">
      <c r="A649" s="1" t="s">
        <v>1327</v>
      </c>
      <c r="B649" s="2" t="s">
        <v>2629</v>
      </c>
      <c r="C649" s="2" t="s">
        <v>2607</v>
      </c>
      <c r="D649" s="147" t="s">
        <v>2608</v>
      </c>
      <c r="E649" s="148"/>
      <c r="F649" s="2" t="s">
        <v>939</v>
      </c>
      <c r="G649" s="55">
        <f>'Stavební rozpočet-vyplnit'!G2027</f>
        <v>12.15</v>
      </c>
      <c r="H649" s="55">
        <f>'Stavební rozpočet-vyplnit'!H2027</f>
        <v>0</v>
      </c>
      <c r="I649" s="55">
        <f>G649*H649</f>
        <v>0</v>
      </c>
      <c r="J649" s="55">
        <f>'Stavební rozpočet-vyplnit'!J2027</f>
        <v>0</v>
      </c>
      <c r="K649" s="55">
        <f>G649*J649</f>
        <v>0</v>
      </c>
      <c r="L649" s="57" t="s">
        <v>785</v>
      </c>
      <c r="Z649" s="55">
        <f>IF(AQ649="5",BJ649,0)</f>
        <v>0</v>
      </c>
      <c r="AB649" s="55">
        <f>IF(AQ649="1",BH649,0)</f>
        <v>0</v>
      </c>
      <c r="AC649" s="55">
        <f>IF(AQ649="1",BI649,0)</f>
        <v>0</v>
      </c>
      <c r="AD649" s="55">
        <f>IF(AQ649="7",BH649,0)</f>
        <v>0</v>
      </c>
      <c r="AE649" s="55">
        <f>IF(AQ649="7",BI649,0)</f>
        <v>0</v>
      </c>
      <c r="AF649" s="55">
        <f>IF(AQ649="2",BH649,0)</f>
        <v>0</v>
      </c>
      <c r="AG649" s="55">
        <f>IF(AQ649="2",BI649,0)</f>
        <v>0</v>
      </c>
      <c r="AH649" s="55">
        <f>IF(AQ649="0",BJ649,0)</f>
        <v>0</v>
      </c>
      <c r="AI649" s="34" t="s">
        <v>2629</v>
      </c>
      <c r="AJ649" s="55">
        <f>IF(AN649=0,I649,0)</f>
        <v>0</v>
      </c>
      <c r="AK649" s="55">
        <f>IF(AN649=12,I649,0)</f>
        <v>0</v>
      </c>
      <c r="AL649" s="55">
        <f>IF(AN649=21,I649,0)</f>
        <v>0</v>
      </c>
      <c r="AN649" s="55">
        <v>21</v>
      </c>
      <c r="AO649" s="55">
        <f>H649*0</f>
        <v>0</v>
      </c>
      <c r="AP649" s="55">
        <f>H649*(1-0)</f>
        <v>0</v>
      </c>
      <c r="AQ649" s="58" t="s">
        <v>139</v>
      </c>
      <c r="AV649" s="55">
        <f>AW649+AX649</f>
        <v>0</v>
      </c>
      <c r="AW649" s="55">
        <f>G649*AO649</f>
        <v>0</v>
      </c>
      <c r="AX649" s="55">
        <f>G649*AP649</f>
        <v>0</v>
      </c>
      <c r="AY649" s="58" t="s">
        <v>2576</v>
      </c>
      <c r="AZ649" s="58" t="s">
        <v>3665</v>
      </c>
      <c r="BA649" s="34" t="s">
        <v>2634</v>
      </c>
      <c r="BB649" s="67">
        <v>100021</v>
      </c>
      <c r="BC649" s="55">
        <f>AW649+AX649</f>
        <v>0</v>
      </c>
      <c r="BD649" s="55">
        <f>H649/(100-BE649)*100</f>
        <v>0</v>
      </c>
      <c r="BE649" s="55">
        <v>0</v>
      </c>
      <c r="BF649" s="55">
        <f>K649</f>
        <v>0</v>
      </c>
      <c r="BH649" s="55">
        <f>G649*AO649</f>
        <v>0</v>
      </c>
      <c r="BI649" s="55">
        <f>G649*AP649</f>
        <v>0</v>
      </c>
      <c r="BJ649" s="55">
        <f>G649*H649</f>
        <v>0</v>
      </c>
      <c r="BK649" s="55"/>
      <c r="BL649" s="55"/>
      <c r="BW649" s="55">
        <v>21</v>
      </c>
    </row>
    <row r="650" spans="1:12" ht="14.4">
      <c r="A650" s="59"/>
      <c r="D650" s="60" t="s">
        <v>3720</v>
      </c>
      <c r="E650" s="60" t="s">
        <v>4</v>
      </c>
      <c r="G650" s="68">
        <v>12.15</v>
      </c>
      <c r="L650" s="69"/>
    </row>
    <row r="651" spans="1:75" ht="13.5" customHeight="1">
      <c r="A651" s="1" t="s">
        <v>1330</v>
      </c>
      <c r="B651" s="2" t="s">
        <v>2629</v>
      </c>
      <c r="C651" s="2" t="s">
        <v>2611</v>
      </c>
      <c r="D651" s="147" t="s">
        <v>2612</v>
      </c>
      <c r="E651" s="148"/>
      <c r="F651" s="2" t="s">
        <v>939</v>
      </c>
      <c r="G651" s="55">
        <f>'Stavební rozpočet-vyplnit'!G2029</f>
        <v>14.1</v>
      </c>
      <c r="H651" s="55">
        <f>'Stavební rozpočet-vyplnit'!H2029</f>
        <v>0</v>
      </c>
      <c r="I651" s="55">
        <f>G651*H651</f>
        <v>0</v>
      </c>
      <c r="J651" s="55">
        <f>'Stavební rozpočet-vyplnit'!J2029</f>
        <v>0</v>
      </c>
      <c r="K651" s="55">
        <f>G651*J651</f>
        <v>0</v>
      </c>
      <c r="L651" s="57" t="s">
        <v>785</v>
      </c>
      <c r="Z651" s="55">
        <f>IF(AQ651="5",BJ651,0)</f>
        <v>0</v>
      </c>
      <c r="AB651" s="55">
        <f>IF(AQ651="1",BH651,0)</f>
        <v>0</v>
      </c>
      <c r="AC651" s="55">
        <f>IF(AQ651="1",BI651,0)</f>
        <v>0</v>
      </c>
      <c r="AD651" s="55">
        <f>IF(AQ651="7",BH651,0)</f>
        <v>0</v>
      </c>
      <c r="AE651" s="55">
        <f>IF(AQ651="7",BI651,0)</f>
        <v>0</v>
      </c>
      <c r="AF651" s="55">
        <f>IF(AQ651="2",BH651,0)</f>
        <v>0</v>
      </c>
      <c r="AG651" s="55">
        <f>IF(AQ651="2",BI651,0)</f>
        <v>0</v>
      </c>
      <c r="AH651" s="55">
        <f>IF(AQ651="0",BJ651,0)</f>
        <v>0</v>
      </c>
      <c r="AI651" s="34" t="s">
        <v>2629</v>
      </c>
      <c r="AJ651" s="55">
        <f>IF(AN651=0,I651,0)</f>
        <v>0</v>
      </c>
      <c r="AK651" s="55">
        <f>IF(AN651=12,I651,0)</f>
        <v>0</v>
      </c>
      <c r="AL651" s="55">
        <f>IF(AN651=21,I651,0)</f>
        <v>0</v>
      </c>
      <c r="AN651" s="55">
        <v>21</v>
      </c>
      <c r="AO651" s="55">
        <f>H651*0</f>
        <v>0</v>
      </c>
      <c r="AP651" s="55">
        <f>H651*(1-0)</f>
        <v>0</v>
      </c>
      <c r="AQ651" s="58" t="s">
        <v>139</v>
      </c>
      <c r="AV651" s="55">
        <f>AW651+AX651</f>
        <v>0</v>
      </c>
      <c r="AW651" s="55">
        <f>G651*AO651</f>
        <v>0</v>
      </c>
      <c r="AX651" s="55">
        <f>G651*AP651</f>
        <v>0</v>
      </c>
      <c r="AY651" s="58" t="s">
        <v>2576</v>
      </c>
      <c r="AZ651" s="58" t="s">
        <v>3665</v>
      </c>
      <c r="BA651" s="34" t="s">
        <v>2634</v>
      </c>
      <c r="BB651" s="67">
        <v>100021</v>
      </c>
      <c r="BC651" s="55">
        <f>AW651+AX651</f>
        <v>0</v>
      </c>
      <c r="BD651" s="55">
        <f>H651/(100-BE651)*100</f>
        <v>0</v>
      </c>
      <c r="BE651" s="55">
        <v>0</v>
      </c>
      <c r="BF651" s="55">
        <f>K651</f>
        <v>0</v>
      </c>
      <c r="BH651" s="55">
        <f>G651*AO651</f>
        <v>0</v>
      </c>
      <c r="BI651" s="55">
        <f>G651*AP651</f>
        <v>0</v>
      </c>
      <c r="BJ651" s="55">
        <f>G651*H651</f>
        <v>0</v>
      </c>
      <c r="BK651" s="55"/>
      <c r="BL651" s="55"/>
      <c r="BW651" s="55">
        <v>21</v>
      </c>
    </row>
    <row r="652" spans="1:12" ht="14.4">
      <c r="A652" s="59"/>
      <c r="D652" s="60" t="s">
        <v>3722</v>
      </c>
      <c r="E652" s="60" t="s">
        <v>4</v>
      </c>
      <c r="G652" s="68">
        <v>14.1</v>
      </c>
      <c r="L652" s="69"/>
    </row>
    <row r="653" spans="1:75" ht="13.5" customHeight="1">
      <c r="A653" s="1" t="s">
        <v>1333</v>
      </c>
      <c r="B653" s="2" t="s">
        <v>2629</v>
      </c>
      <c r="C653" s="2" t="s">
        <v>2615</v>
      </c>
      <c r="D653" s="147" t="s">
        <v>2616</v>
      </c>
      <c r="E653" s="148"/>
      <c r="F653" s="2" t="s">
        <v>939</v>
      </c>
      <c r="G653" s="55">
        <f>'Stavební rozpočet-vyplnit'!G2031</f>
        <v>42.3</v>
      </c>
      <c r="H653" s="55">
        <f>'Stavební rozpočet-vyplnit'!H2031</f>
        <v>0</v>
      </c>
      <c r="I653" s="55">
        <f>G653*H653</f>
        <v>0</v>
      </c>
      <c r="J653" s="55">
        <f>'Stavební rozpočet-vyplnit'!J2031</f>
        <v>0</v>
      </c>
      <c r="K653" s="55">
        <f>G653*J653</f>
        <v>0</v>
      </c>
      <c r="L653" s="57" t="s">
        <v>785</v>
      </c>
      <c r="Z653" s="55">
        <f>IF(AQ653="5",BJ653,0)</f>
        <v>0</v>
      </c>
      <c r="AB653" s="55">
        <f>IF(AQ653="1",BH653,0)</f>
        <v>0</v>
      </c>
      <c r="AC653" s="55">
        <f>IF(AQ653="1",BI653,0)</f>
        <v>0</v>
      </c>
      <c r="AD653" s="55">
        <f>IF(AQ653="7",BH653,0)</f>
        <v>0</v>
      </c>
      <c r="AE653" s="55">
        <f>IF(AQ653="7",BI653,0)</f>
        <v>0</v>
      </c>
      <c r="AF653" s="55">
        <f>IF(AQ653="2",BH653,0)</f>
        <v>0</v>
      </c>
      <c r="AG653" s="55">
        <f>IF(AQ653="2",BI653,0)</f>
        <v>0</v>
      </c>
      <c r="AH653" s="55">
        <f>IF(AQ653="0",BJ653,0)</f>
        <v>0</v>
      </c>
      <c r="AI653" s="34" t="s">
        <v>2629</v>
      </c>
      <c r="AJ653" s="55">
        <f>IF(AN653=0,I653,0)</f>
        <v>0</v>
      </c>
      <c r="AK653" s="55">
        <f>IF(AN653=12,I653,0)</f>
        <v>0</v>
      </c>
      <c r="AL653" s="55">
        <f>IF(AN653=21,I653,0)</f>
        <v>0</v>
      </c>
      <c r="AN653" s="55">
        <v>21</v>
      </c>
      <c r="AO653" s="55">
        <f>H653*0</f>
        <v>0</v>
      </c>
      <c r="AP653" s="55">
        <f>H653*(1-0)</f>
        <v>0</v>
      </c>
      <c r="AQ653" s="58" t="s">
        <v>139</v>
      </c>
      <c r="AV653" s="55">
        <f>AW653+AX653</f>
        <v>0</v>
      </c>
      <c r="AW653" s="55">
        <f>G653*AO653</f>
        <v>0</v>
      </c>
      <c r="AX653" s="55">
        <f>G653*AP653</f>
        <v>0</v>
      </c>
      <c r="AY653" s="58" t="s">
        <v>2576</v>
      </c>
      <c r="AZ653" s="58" t="s">
        <v>3665</v>
      </c>
      <c r="BA653" s="34" t="s">
        <v>2634</v>
      </c>
      <c r="BB653" s="67">
        <v>100021</v>
      </c>
      <c r="BC653" s="55">
        <f>AW653+AX653</f>
        <v>0</v>
      </c>
      <c r="BD653" s="55">
        <f>H653/(100-BE653)*100</f>
        <v>0</v>
      </c>
      <c r="BE653" s="55">
        <v>0</v>
      </c>
      <c r="BF653" s="55">
        <f>K653</f>
        <v>0</v>
      </c>
      <c r="BH653" s="55">
        <f>G653*AO653</f>
        <v>0</v>
      </c>
      <c r="BI653" s="55">
        <f>G653*AP653</f>
        <v>0</v>
      </c>
      <c r="BJ653" s="55">
        <f>G653*H653</f>
        <v>0</v>
      </c>
      <c r="BK653" s="55"/>
      <c r="BL653" s="55"/>
      <c r="BW653" s="55">
        <v>21</v>
      </c>
    </row>
    <row r="654" spans="1:12" ht="14.4">
      <c r="A654" s="59"/>
      <c r="D654" s="60" t="s">
        <v>3724</v>
      </c>
      <c r="E654" s="60" t="s">
        <v>4</v>
      </c>
      <c r="G654" s="68">
        <v>42.3</v>
      </c>
      <c r="L654" s="69"/>
    </row>
    <row r="655" spans="1:75" ht="13.5" customHeight="1">
      <c r="A655" s="1" t="s">
        <v>1336</v>
      </c>
      <c r="B655" s="2" t="s">
        <v>2629</v>
      </c>
      <c r="C655" s="2" t="s">
        <v>2619</v>
      </c>
      <c r="D655" s="147" t="s">
        <v>3726</v>
      </c>
      <c r="E655" s="148"/>
      <c r="F655" s="2" t="s">
        <v>939</v>
      </c>
      <c r="G655" s="55">
        <f>'Stavební rozpočet-vyplnit'!G2033</f>
        <v>11.66</v>
      </c>
      <c r="H655" s="55">
        <f>'Stavební rozpočet-vyplnit'!H2033</f>
        <v>0</v>
      </c>
      <c r="I655" s="55">
        <f>G655*H655</f>
        <v>0</v>
      </c>
      <c r="J655" s="55">
        <f>'Stavební rozpočet-vyplnit'!J2033</f>
        <v>0</v>
      </c>
      <c r="K655" s="55">
        <f>G655*J655</f>
        <v>0</v>
      </c>
      <c r="L655" s="57" t="s">
        <v>785</v>
      </c>
      <c r="Z655" s="55">
        <f>IF(AQ655="5",BJ655,0)</f>
        <v>0</v>
      </c>
      <c r="AB655" s="55">
        <f>IF(AQ655="1",BH655,0)</f>
        <v>0</v>
      </c>
      <c r="AC655" s="55">
        <f>IF(AQ655="1",BI655,0)</f>
        <v>0</v>
      </c>
      <c r="AD655" s="55">
        <f>IF(AQ655="7",BH655,0)</f>
        <v>0</v>
      </c>
      <c r="AE655" s="55">
        <f>IF(AQ655="7",BI655,0)</f>
        <v>0</v>
      </c>
      <c r="AF655" s="55">
        <f>IF(AQ655="2",BH655,0)</f>
        <v>0</v>
      </c>
      <c r="AG655" s="55">
        <f>IF(AQ655="2",BI655,0)</f>
        <v>0</v>
      </c>
      <c r="AH655" s="55">
        <f>IF(AQ655="0",BJ655,0)</f>
        <v>0</v>
      </c>
      <c r="AI655" s="34" t="s">
        <v>2629</v>
      </c>
      <c r="AJ655" s="55">
        <f>IF(AN655=0,I655,0)</f>
        <v>0</v>
      </c>
      <c r="AK655" s="55">
        <f>IF(AN655=12,I655,0)</f>
        <v>0</v>
      </c>
      <c r="AL655" s="55">
        <f>IF(AN655=21,I655,0)</f>
        <v>0</v>
      </c>
      <c r="AN655" s="55">
        <v>21</v>
      </c>
      <c r="AO655" s="55">
        <f>H655*0.011728273</f>
        <v>0</v>
      </c>
      <c r="AP655" s="55">
        <f>H655*(1-0.011728273)</f>
        <v>0</v>
      </c>
      <c r="AQ655" s="58" t="s">
        <v>139</v>
      </c>
      <c r="AV655" s="55">
        <f>AW655+AX655</f>
        <v>0</v>
      </c>
      <c r="AW655" s="55">
        <f>G655*AO655</f>
        <v>0</v>
      </c>
      <c r="AX655" s="55">
        <f>G655*AP655</f>
        <v>0</v>
      </c>
      <c r="AY655" s="58" t="s">
        <v>2576</v>
      </c>
      <c r="AZ655" s="58" t="s">
        <v>3665</v>
      </c>
      <c r="BA655" s="34" t="s">
        <v>2634</v>
      </c>
      <c r="BB655" s="67">
        <v>100021</v>
      </c>
      <c r="BC655" s="55">
        <f>AW655+AX655</f>
        <v>0</v>
      </c>
      <c r="BD655" s="55">
        <f>H655/(100-BE655)*100</f>
        <v>0</v>
      </c>
      <c r="BE655" s="55">
        <v>0</v>
      </c>
      <c r="BF655" s="55">
        <f>K655</f>
        <v>0</v>
      </c>
      <c r="BH655" s="55">
        <f>G655*AO655</f>
        <v>0</v>
      </c>
      <c r="BI655" s="55">
        <f>G655*AP655</f>
        <v>0</v>
      </c>
      <c r="BJ655" s="55">
        <f>G655*H655</f>
        <v>0</v>
      </c>
      <c r="BK655" s="55"/>
      <c r="BL655" s="55"/>
      <c r="BW655" s="55">
        <v>21</v>
      </c>
    </row>
    <row r="656" spans="1:12" ht="13.5" customHeight="1">
      <c r="A656" s="59"/>
      <c r="D656" s="218" t="s">
        <v>2621</v>
      </c>
      <c r="E656" s="219"/>
      <c r="F656" s="219"/>
      <c r="G656" s="219"/>
      <c r="H656" s="219"/>
      <c r="I656" s="219"/>
      <c r="J656" s="219"/>
      <c r="K656" s="219"/>
      <c r="L656" s="221"/>
    </row>
    <row r="657" spans="1:12" ht="14.4">
      <c r="A657" s="59"/>
      <c r="D657" s="60" t="s">
        <v>3727</v>
      </c>
      <c r="E657" s="60" t="s">
        <v>2624</v>
      </c>
      <c r="G657" s="68">
        <v>5.81</v>
      </c>
      <c r="L657" s="69"/>
    </row>
    <row r="658" spans="1:12" ht="14.4">
      <c r="A658" s="59"/>
      <c r="D658" s="60" t="s">
        <v>3728</v>
      </c>
      <c r="E658" s="60" t="s">
        <v>3729</v>
      </c>
      <c r="G658" s="68">
        <v>5.85</v>
      </c>
      <c r="L658" s="69"/>
    </row>
    <row r="659" spans="1:75" ht="27" customHeight="1">
      <c r="A659" s="1" t="s">
        <v>1339</v>
      </c>
      <c r="B659" s="2" t="s">
        <v>2629</v>
      </c>
      <c r="C659" s="2" t="s">
        <v>2626</v>
      </c>
      <c r="D659" s="147" t="s">
        <v>2627</v>
      </c>
      <c r="E659" s="148"/>
      <c r="F659" s="2" t="s">
        <v>939</v>
      </c>
      <c r="G659" s="55">
        <f>'Stavební rozpočet-vyplnit'!G2037</f>
        <v>2.43</v>
      </c>
      <c r="H659" s="55">
        <f>'Stavební rozpočet-vyplnit'!H2037</f>
        <v>0</v>
      </c>
      <c r="I659" s="55">
        <f>G659*H659</f>
        <v>0</v>
      </c>
      <c r="J659" s="55">
        <f>'Stavební rozpočet-vyplnit'!J2037</f>
        <v>0</v>
      </c>
      <c r="K659" s="55">
        <f>G659*J659</f>
        <v>0</v>
      </c>
      <c r="L659" s="57" t="s">
        <v>124</v>
      </c>
      <c r="Z659" s="55">
        <f>IF(AQ659="5",BJ659,0)</f>
        <v>0</v>
      </c>
      <c r="AB659" s="55">
        <f>IF(AQ659="1",BH659,0)</f>
        <v>0</v>
      </c>
      <c r="AC659" s="55">
        <f>IF(AQ659="1",BI659,0)</f>
        <v>0</v>
      </c>
      <c r="AD659" s="55">
        <f>IF(AQ659="7",BH659,0)</f>
        <v>0</v>
      </c>
      <c r="AE659" s="55">
        <f>IF(AQ659="7",BI659,0)</f>
        <v>0</v>
      </c>
      <c r="AF659" s="55">
        <f>IF(AQ659="2",BH659,0)</f>
        <v>0</v>
      </c>
      <c r="AG659" s="55">
        <f>IF(AQ659="2",BI659,0)</f>
        <v>0</v>
      </c>
      <c r="AH659" s="55">
        <f>IF(AQ659="0",BJ659,0)</f>
        <v>0</v>
      </c>
      <c r="AI659" s="34" t="s">
        <v>2629</v>
      </c>
      <c r="AJ659" s="55">
        <f>IF(AN659=0,I659,0)</f>
        <v>0</v>
      </c>
      <c r="AK659" s="55">
        <f>IF(AN659=12,I659,0)</f>
        <v>0</v>
      </c>
      <c r="AL659" s="55">
        <f>IF(AN659=21,I659,0)</f>
        <v>0</v>
      </c>
      <c r="AN659" s="55">
        <v>21</v>
      </c>
      <c r="AO659" s="55">
        <f>H659*0</f>
        <v>0</v>
      </c>
      <c r="AP659" s="55">
        <f>H659*(1-0)</f>
        <v>0</v>
      </c>
      <c r="AQ659" s="58" t="s">
        <v>139</v>
      </c>
      <c r="AV659" s="55">
        <f>AW659+AX659</f>
        <v>0</v>
      </c>
      <c r="AW659" s="55">
        <f>G659*AO659</f>
        <v>0</v>
      </c>
      <c r="AX659" s="55">
        <f>G659*AP659</f>
        <v>0</v>
      </c>
      <c r="AY659" s="58" t="s">
        <v>2576</v>
      </c>
      <c r="AZ659" s="58" t="s">
        <v>3665</v>
      </c>
      <c r="BA659" s="34" t="s">
        <v>2634</v>
      </c>
      <c r="BB659" s="67">
        <v>100021</v>
      </c>
      <c r="BC659" s="55">
        <f>AW659+AX659</f>
        <v>0</v>
      </c>
      <c r="BD659" s="55">
        <f>H659/(100-BE659)*100</f>
        <v>0</v>
      </c>
      <c r="BE659" s="55">
        <v>0</v>
      </c>
      <c r="BF659" s="55">
        <f>K659</f>
        <v>0</v>
      </c>
      <c r="BH659" s="55">
        <f>G659*AO659</f>
        <v>0</v>
      </c>
      <c r="BI659" s="55">
        <f>G659*AP659</f>
        <v>0</v>
      </c>
      <c r="BJ659" s="55">
        <f>G659*H659</f>
        <v>0</v>
      </c>
      <c r="BK659" s="55"/>
      <c r="BL659" s="55"/>
      <c r="BW659" s="55">
        <v>21</v>
      </c>
    </row>
    <row r="660" spans="1:12" ht="14.4">
      <c r="A660" s="59"/>
      <c r="D660" s="60" t="s">
        <v>3714</v>
      </c>
      <c r="E660" s="60" t="s">
        <v>3731</v>
      </c>
      <c r="G660" s="68">
        <v>1.45</v>
      </c>
      <c r="L660" s="69"/>
    </row>
    <row r="661" spans="1:12" ht="14.4">
      <c r="A661" s="59"/>
      <c r="D661" s="60" t="s">
        <v>3732</v>
      </c>
      <c r="E661" s="60" t="s">
        <v>3733</v>
      </c>
      <c r="G661" s="68">
        <v>0.65</v>
      </c>
      <c r="L661" s="69"/>
    </row>
    <row r="662" spans="1:12" ht="14.4">
      <c r="A662" s="59"/>
      <c r="D662" s="60" t="s">
        <v>3734</v>
      </c>
      <c r="E662" s="60" t="s">
        <v>3735</v>
      </c>
      <c r="G662" s="68">
        <v>0.16</v>
      </c>
      <c r="L662" s="69"/>
    </row>
    <row r="663" spans="1:12" ht="14.4">
      <c r="A663" s="59"/>
      <c r="D663" s="60" t="s">
        <v>3717</v>
      </c>
      <c r="E663" s="60" t="s">
        <v>3736</v>
      </c>
      <c r="G663" s="68">
        <v>0.17</v>
      </c>
      <c r="L663" s="69"/>
    </row>
    <row r="664" spans="1:75" ht="13.5" customHeight="1">
      <c r="A664" s="1" t="s">
        <v>1342</v>
      </c>
      <c r="B664" s="2" t="s">
        <v>2629</v>
      </c>
      <c r="C664" s="2" t="s">
        <v>3738</v>
      </c>
      <c r="D664" s="147" t="s">
        <v>3739</v>
      </c>
      <c r="E664" s="148"/>
      <c r="F664" s="2" t="s">
        <v>939</v>
      </c>
      <c r="G664" s="55">
        <f>'Stavební rozpočet-vyplnit'!G2042</f>
        <v>3.23</v>
      </c>
      <c r="H664" s="55">
        <f>'Stavební rozpočet-vyplnit'!H2042</f>
        <v>0</v>
      </c>
      <c r="I664" s="55">
        <f>G664*H664</f>
        <v>0</v>
      </c>
      <c r="J664" s="55">
        <f>'Stavební rozpočet-vyplnit'!J2042</f>
        <v>0</v>
      </c>
      <c r="K664" s="55">
        <f>G664*J664</f>
        <v>0</v>
      </c>
      <c r="L664" s="57" t="s">
        <v>785</v>
      </c>
      <c r="Z664" s="55">
        <f>IF(AQ664="5",BJ664,0)</f>
        <v>0</v>
      </c>
      <c r="AB664" s="55">
        <f>IF(AQ664="1",BH664,0)</f>
        <v>0</v>
      </c>
      <c r="AC664" s="55">
        <f>IF(AQ664="1",BI664,0)</f>
        <v>0</v>
      </c>
      <c r="AD664" s="55">
        <f>IF(AQ664="7",BH664,0)</f>
        <v>0</v>
      </c>
      <c r="AE664" s="55">
        <f>IF(AQ664="7",BI664,0)</f>
        <v>0</v>
      </c>
      <c r="AF664" s="55">
        <f>IF(AQ664="2",BH664,0)</f>
        <v>0</v>
      </c>
      <c r="AG664" s="55">
        <f>IF(AQ664="2",BI664,0)</f>
        <v>0</v>
      </c>
      <c r="AH664" s="55">
        <f>IF(AQ664="0",BJ664,0)</f>
        <v>0</v>
      </c>
      <c r="AI664" s="34" t="s">
        <v>2629</v>
      </c>
      <c r="AJ664" s="55">
        <f>IF(AN664=0,I664,0)</f>
        <v>0</v>
      </c>
      <c r="AK664" s="55">
        <f>IF(AN664=12,I664,0)</f>
        <v>0</v>
      </c>
      <c r="AL664" s="55">
        <f>IF(AN664=21,I664,0)</f>
        <v>0</v>
      </c>
      <c r="AN664" s="55">
        <v>21</v>
      </c>
      <c r="AO664" s="55">
        <f>H664*0</f>
        <v>0</v>
      </c>
      <c r="AP664" s="55">
        <f>H664*(1-0)</f>
        <v>0</v>
      </c>
      <c r="AQ664" s="58" t="s">
        <v>139</v>
      </c>
      <c r="AV664" s="55">
        <f>AW664+AX664</f>
        <v>0</v>
      </c>
      <c r="AW664" s="55">
        <f>G664*AO664</f>
        <v>0</v>
      </c>
      <c r="AX664" s="55">
        <f>G664*AP664</f>
        <v>0</v>
      </c>
      <c r="AY664" s="58" t="s">
        <v>2576</v>
      </c>
      <c r="AZ664" s="58" t="s">
        <v>3665</v>
      </c>
      <c r="BA664" s="34" t="s">
        <v>2634</v>
      </c>
      <c r="BB664" s="67">
        <v>100021</v>
      </c>
      <c r="BC664" s="55">
        <f>AW664+AX664</f>
        <v>0</v>
      </c>
      <c r="BD664" s="55">
        <f>H664/(100-BE664)*100</f>
        <v>0</v>
      </c>
      <c r="BE664" s="55">
        <v>0</v>
      </c>
      <c r="BF664" s="55">
        <f>K664</f>
        <v>0</v>
      </c>
      <c r="BH664" s="55">
        <f>G664*AO664</f>
        <v>0</v>
      </c>
      <c r="BI664" s="55">
        <f>G664*AP664</f>
        <v>0</v>
      </c>
      <c r="BJ664" s="55">
        <f>G664*H664</f>
        <v>0</v>
      </c>
      <c r="BK664" s="55"/>
      <c r="BL664" s="55"/>
      <c r="BW664" s="55">
        <v>21</v>
      </c>
    </row>
    <row r="665" spans="1:12" ht="14.4">
      <c r="A665" s="59"/>
      <c r="D665" s="60" t="s">
        <v>3740</v>
      </c>
      <c r="E665" s="60" t="s">
        <v>4</v>
      </c>
      <c r="G665" s="68">
        <v>3.23</v>
      </c>
      <c r="L665" s="69"/>
    </row>
    <row r="666" spans="1:75" ht="13.5" customHeight="1">
      <c r="A666" s="1" t="s">
        <v>1345</v>
      </c>
      <c r="B666" s="2" t="s">
        <v>2629</v>
      </c>
      <c r="C666" s="2" t="s">
        <v>3742</v>
      </c>
      <c r="D666" s="147" t="s">
        <v>3743</v>
      </c>
      <c r="E666" s="148"/>
      <c r="F666" s="2" t="s">
        <v>939</v>
      </c>
      <c r="G666" s="55">
        <f>'Stavební rozpočet-vyplnit'!G2044</f>
        <v>3.43</v>
      </c>
      <c r="H666" s="55">
        <f>'Stavební rozpočet-vyplnit'!H2044</f>
        <v>0</v>
      </c>
      <c r="I666" s="55">
        <f>G666*H666</f>
        <v>0</v>
      </c>
      <c r="J666" s="55">
        <f>'Stavební rozpočet-vyplnit'!J2044</f>
        <v>0</v>
      </c>
      <c r="K666" s="55">
        <f>G666*J666</f>
        <v>0</v>
      </c>
      <c r="L666" s="57" t="s">
        <v>785</v>
      </c>
      <c r="Z666" s="55">
        <f>IF(AQ666="5",BJ666,0)</f>
        <v>0</v>
      </c>
      <c r="AB666" s="55">
        <f>IF(AQ666="1",BH666,0)</f>
        <v>0</v>
      </c>
      <c r="AC666" s="55">
        <f>IF(AQ666="1",BI666,0)</f>
        <v>0</v>
      </c>
      <c r="AD666" s="55">
        <f>IF(AQ666="7",BH666,0)</f>
        <v>0</v>
      </c>
      <c r="AE666" s="55">
        <f>IF(AQ666="7",BI666,0)</f>
        <v>0</v>
      </c>
      <c r="AF666" s="55">
        <f>IF(AQ666="2",BH666,0)</f>
        <v>0</v>
      </c>
      <c r="AG666" s="55">
        <f>IF(AQ666="2",BI666,0)</f>
        <v>0</v>
      </c>
      <c r="AH666" s="55">
        <f>IF(AQ666="0",BJ666,0)</f>
        <v>0</v>
      </c>
      <c r="AI666" s="34" t="s">
        <v>2629</v>
      </c>
      <c r="AJ666" s="55">
        <f>IF(AN666=0,I666,0)</f>
        <v>0</v>
      </c>
      <c r="AK666" s="55">
        <f>IF(AN666=12,I666,0)</f>
        <v>0</v>
      </c>
      <c r="AL666" s="55">
        <f>IF(AN666=21,I666,0)</f>
        <v>0</v>
      </c>
      <c r="AN666" s="55">
        <v>21</v>
      </c>
      <c r="AO666" s="55">
        <f>H666*0</f>
        <v>0</v>
      </c>
      <c r="AP666" s="55">
        <f>H666*(1-0)</f>
        <v>0</v>
      </c>
      <c r="AQ666" s="58" t="s">
        <v>139</v>
      </c>
      <c r="AV666" s="55">
        <f>AW666+AX666</f>
        <v>0</v>
      </c>
      <c r="AW666" s="55">
        <f>G666*AO666</f>
        <v>0</v>
      </c>
      <c r="AX666" s="55">
        <f>G666*AP666</f>
        <v>0</v>
      </c>
      <c r="AY666" s="58" t="s">
        <v>2576</v>
      </c>
      <c r="AZ666" s="58" t="s">
        <v>3665</v>
      </c>
      <c r="BA666" s="34" t="s">
        <v>2634</v>
      </c>
      <c r="BB666" s="67">
        <v>100021</v>
      </c>
      <c r="BC666" s="55">
        <f>AW666+AX666</f>
        <v>0</v>
      </c>
      <c r="BD666" s="55">
        <f>H666/(100-BE666)*100</f>
        <v>0</v>
      </c>
      <c r="BE666" s="55">
        <v>0</v>
      </c>
      <c r="BF666" s="55">
        <f>K666</f>
        <v>0</v>
      </c>
      <c r="BH666" s="55">
        <f>G666*AO666</f>
        <v>0</v>
      </c>
      <c r="BI666" s="55">
        <f>G666*AP666</f>
        <v>0</v>
      </c>
      <c r="BJ666" s="55">
        <f>G666*H666</f>
        <v>0</v>
      </c>
      <c r="BK666" s="55"/>
      <c r="BL666" s="55"/>
      <c r="BW666" s="55">
        <v>21</v>
      </c>
    </row>
    <row r="667" spans="1:12" ht="14.4">
      <c r="A667" s="108"/>
      <c r="B667" s="109"/>
      <c r="C667" s="109"/>
      <c r="D667" s="110" t="s">
        <v>3744</v>
      </c>
      <c r="E667" s="110" t="s">
        <v>4</v>
      </c>
      <c r="F667" s="109"/>
      <c r="G667" s="111">
        <v>3.43</v>
      </c>
      <c r="H667" s="109"/>
      <c r="I667" s="109"/>
      <c r="J667" s="109"/>
      <c r="K667" s="109"/>
      <c r="L667" s="112"/>
    </row>
    <row r="668" ht="14.4">
      <c r="I668" s="113">
        <f>ROUND(I13+I51+I108+I198+I228+I235+I241+I245+I265+I270+I282+I306+I554+I574+I582+I603+I622+I625+I629+I632+I635,0)</f>
        <v>0</v>
      </c>
    </row>
    <row r="669" ht="14.4">
      <c r="A669" s="114" t="s">
        <v>56</v>
      </c>
    </row>
    <row r="670" spans="1:12" ht="12.75" customHeight="1">
      <c r="A670" s="147" t="s">
        <v>4</v>
      </c>
      <c r="B670" s="148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</row>
  </sheetData>
  <sheetProtection password="F483" sheet="1" objects="1" scenarios="1"/>
  <mergeCells count="522"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D20:E20"/>
    <mergeCell ref="D21:L21"/>
    <mergeCell ref="D22:E22"/>
    <mergeCell ref="D23:L23"/>
    <mergeCell ref="D24:E24"/>
    <mergeCell ref="D15:L15"/>
    <mergeCell ref="D16:E16"/>
    <mergeCell ref="D17:L17"/>
    <mergeCell ref="D18:E18"/>
    <mergeCell ref="D19:L19"/>
    <mergeCell ref="D30:E30"/>
    <mergeCell ref="D31:L31"/>
    <mergeCell ref="D32:E32"/>
    <mergeCell ref="D33:L33"/>
    <mergeCell ref="D34:E34"/>
    <mergeCell ref="D25:L25"/>
    <mergeCell ref="D26:E26"/>
    <mergeCell ref="D27:L27"/>
    <mergeCell ref="D28:E28"/>
    <mergeCell ref="D29:L29"/>
    <mergeCell ref="D40:E40"/>
    <mergeCell ref="D41:L41"/>
    <mergeCell ref="D42:E42"/>
    <mergeCell ref="D43:L43"/>
    <mergeCell ref="D44:E44"/>
    <mergeCell ref="D35:L35"/>
    <mergeCell ref="D36:E36"/>
    <mergeCell ref="D37:L37"/>
    <mergeCell ref="D38:E38"/>
    <mergeCell ref="D39:L39"/>
    <mergeCell ref="D50:E50"/>
    <mergeCell ref="D51:E51"/>
    <mergeCell ref="D52:E52"/>
    <mergeCell ref="D53:L53"/>
    <mergeCell ref="D54:E54"/>
    <mergeCell ref="D45:L45"/>
    <mergeCell ref="D46:E46"/>
    <mergeCell ref="D47:E47"/>
    <mergeCell ref="D48:E48"/>
    <mergeCell ref="D49:E49"/>
    <mergeCell ref="D60:E60"/>
    <mergeCell ref="D61:L61"/>
    <mergeCell ref="D62:E62"/>
    <mergeCell ref="D63:L63"/>
    <mergeCell ref="D64:E64"/>
    <mergeCell ref="D55:L55"/>
    <mergeCell ref="D56:E56"/>
    <mergeCell ref="D57:L57"/>
    <mergeCell ref="D58:E58"/>
    <mergeCell ref="D59:L59"/>
    <mergeCell ref="D70:E70"/>
    <mergeCell ref="D71:L71"/>
    <mergeCell ref="D72:E72"/>
    <mergeCell ref="D73:L73"/>
    <mergeCell ref="D74:E74"/>
    <mergeCell ref="D65:L65"/>
    <mergeCell ref="D66:E66"/>
    <mergeCell ref="D67:L67"/>
    <mergeCell ref="D68:E68"/>
    <mergeCell ref="D69:L69"/>
    <mergeCell ref="D80:E80"/>
    <mergeCell ref="D81:L81"/>
    <mergeCell ref="D82:E82"/>
    <mergeCell ref="D83:L83"/>
    <mergeCell ref="D84:E84"/>
    <mergeCell ref="D75:L75"/>
    <mergeCell ref="D76:E76"/>
    <mergeCell ref="D77:L77"/>
    <mergeCell ref="D78:E78"/>
    <mergeCell ref="D79:L79"/>
    <mergeCell ref="D90:E90"/>
    <mergeCell ref="D91:L91"/>
    <mergeCell ref="D92:E92"/>
    <mergeCell ref="D93:L93"/>
    <mergeCell ref="D94:E94"/>
    <mergeCell ref="D85:L85"/>
    <mergeCell ref="D86:E86"/>
    <mergeCell ref="D87:L87"/>
    <mergeCell ref="D88:E88"/>
    <mergeCell ref="D89:L89"/>
    <mergeCell ref="D100:E100"/>
    <mergeCell ref="D101:L101"/>
    <mergeCell ref="D102:E102"/>
    <mergeCell ref="D103:E103"/>
    <mergeCell ref="D104:E104"/>
    <mergeCell ref="D95:L95"/>
    <mergeCell ref="D96:E96"/>
    <mergeCell ref="D97:L97"/>
    <mergeCell ref="D98:E98"/>
    <mergeCell ref="D99:L99"/>
    <mergeCell ref="D110:L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L118"/>
    <mergeCell ref="D119:E119"/>
    <mergeCell ref="D130:L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40:L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50:L150"/>
    <mergeCell ref="D151:E151"/>
    <mergeCell ref="D152:L152"/>
    <mergeCell ref="D153:E153"/>
    <mergeCell ref="D154:E154"/>
    <mergeCell ref="D145:E145"/>
    <mergeCell ref="D146:L146"/>
    <mergeCell ref="D147:E147"/>
    <mergeCell ref="D148:L148"/>
    <mergeCell ref="D149:E149"/>
    <mergeCell ref="D160:E160"/>
    <mergeCell ref="D161:E161"/>
    <mergeCell ref="D162:E162"/>
    <mergeCell ref="D163:L163"/>
    <mergeCell ref="D164:E164"/>
    <mergeCell ref="D155:L155"/>
    <mergeCell ref="D156:E156"/>
    <mergeCell ref="D157:E157"/>
    <mergeCell ref="D158:L158"/>
    <mergeCell ref="D159:E159"/>
    <mergeCell ref="D170:E170"/>
    <mergeCell ref="D171:L171"/>
    <mergeCell ref="D172:E172"/>
    <mergeCell ref="D173:E173"/>
    <mergeCell ref="D174:E174"/>
    <mergeCell ref="D165:E165"/>
    <mergeCell ref="D166:L166"/>
    <mergeCell ref="D167:E167"/>
    <mergeCell ref="D168:E168"/>
    <mergeCell ref="D169:E16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E188"/>
    <mergeCell ref="D189:E189"/>
    <mergeCell ref="D200:L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210:E210"/>
    <mergeCell ref="D211:E211"/>
    <mergeCell ref="D212:E212"/>
    <mergeCell ref="D213:E213"/>
    <mergeCell ref="D214:E214"/>
    <mergeCell ref="D205:E205"/>
    <mergeCell ref="D206:E206"/>
    <mergeCell ref="D207:E207"/>
    <mergeCell ref="D208:E208"/>
    <mergeCell ref="D209:E209"/>
    <mergeCell ref="D220:E220"/>
    <mergeCell ref="D221:E221"/>
    <mergeCell ref="D222:E222"/>
    <mergeCell ref="D223:E223"/>
    <mergeCell ref="D224:E224"/>
    <mergeCell ref="D215:E215"/>
    <mergeCell ref="D216:E216"/>
    <mergeCell ref="D217:E217"/>
    <mergeCell ref="D218:E218"/>
    <mergeCell ref="D219:E219"/>
    <mergeCell ref="D230:L230"/>
    <mergeCell ref="D231:E231"/>
    <mergeCell ref="D232:E232"/>
    <mergeCell ref="D233:E233"/>
    <mergeCell ref="D234:E234"/>
    <mergeCell ref="D225:E225"/>
    <mergeCell ref="D226:E226"/>
    <mergeCell ref="D227:E227"/>
    <mergeCell ref="D228:E228"/>
    <mergeCell ref="D229:E229"/>
    <mergeCell ref="D240:E240"/>
    <mergeCell ref="D241:E241"/>
    <mergeCell ref="D242:E242"/>
    <mergeCell ref="D243:L243"/>
    <mergeCell ref="D245:E245"/>
    <mergeCell ref="D235:E235"/>
    <mergeCell ref="D236:E236"/>
    <mergeCell ref="D237:E237"/>
    <mergeCell ref="D238:E238"/>
    <mergeCell ref="D239:E239"/>
    <mergeCell ref="D260:E260"/>
    <mergeCell ref="D263:E263"/>
    <mergeCell ref="D265:E265"/>
    <mergeCell ref="D266:E266"/>
    <mergeCell ref="D267:E267"/>
    <mergeCell ref="D246:E246"/>
    <mergeCell ref="D247:L247"/>
    <mergeCell ref="D250:E250"/>
    <mergeCell ref="D251:L251"/>
    <mergeCell ref="D257:E257"/>
    <mergeCell ref="D273:E273"/>
    <mergeCell ref="D274:E274"/>
    <mergeCell ref="D275:E275"/>
    <mergeCell ref="D276:E276"/>
    <mergeCell ref="D277:E277"/>
    <mergeCell ref="D268:E268"/>
    <mergeCell ref="D269:E269"/>
    <mergeCell ref="D270:E270"/>
    <mergeCell ref="D271:E271"/>
    <mergeCell ref="D272:E272"/>
    <mergeCell ref="D283:E283"/>
    <mergeCell ref="D285:E285"/>
    <mergeCell ref="D286:L286"/>
    <mergeCell ref="D289:E289"/>
    <mergeCell ref="D290:L290"/>
    <mergeCell ref="D278:E278"/>
    <mergeCell ref="D279:E279"/>
    <mergeCell ref="D280:E280"/>
    <mergeCell ref="D281:E281"/>
    <mergeCell ref="D282:E282"/>
    <mergeCell ref="D306:E306"/>
    <mergeCell ref="D307:E307"/>
    <mergeCell ref="D308:L308"/>
    <mergeCell ref="D310:E310"/>
    <mergeCell ref="D311:L311"/>
    <mergeCell ref="D294:E294"/>
    <mergeCell ref="D295:L295"/>
    <mergeCell ref="D297:E297"/>
    <mergeCell ref="D302:E302"/>
    <mergeCell ref="D304:E304"/>
    <mergeCell ref="D321:L321"/>
    <mergeCell ref="D323:E323"/>
    <mergeCell ref="D324:L324"/>
    <mergeCell ref="D326:E326"/>
    <mergeCell ref="D327:L327"/>
    <mergeCell ref="D313:E313"/>
    <mergeCell ref="D314:L314"/>
    <mergeCell ref="D316:E316"/>
    <mergeCell ref="D317:L317"/>
    <mergeCell ref="D320:E320"/>
    <mergeCell ref="D336:L336"/>
    <mergeCell ref="D338:E338"/>
    <mergeCell ref="D339:L339"/>
    <mergeCell ref="D341:E341"/>
    <mergeCell ref="D342:L342"/>
    <mergeCell ref="D329:E329"/>
    <mergeCell ref="D330:L330"/>
    <mergeCell ref="D332:E332"/>
    <mergeCell ref="D333:L333"/>
    <mergeCell ref="D335:E335"/>
    <mergeCell ref="D351:L351"/>
    <mergeCell ref="D353:E353"/>
    <mergeCell ref="D354:L354"/>
    <mergeCell ref="D356:E356"/>
    <mergeCell ref="D357:L357"/>
    <mergeCell ref="D344:E344"/>
    <mergeCell ref="D345:L345"/>
    <mergeCell ref="D347:E347"/>
    <mergeCell ref="D348:L348"/>
    <mergeCell ref="D350:E350"/>
    <mergeCell ref="D366:L366"/>
    <mergeCell ref="D368:E368"/>
    <mergeCell ref="D369:L369"/>
    <mergeCell ref="D371:E371"/>
    <mergeCell ref="D372:L372"/>
    <mergeCell ref="D359:E359"/>
    <mergeCell ref="D360:L360"/>
    <mergeCell ref="D362:E362"/>
    <mergeCell ref="D363:L363"/>
    <mergeCell ref="D365:E365"/>
    <mergeCell ref="D382:L382"/>
    <mergeCell ref="D384:E384"/>
    <mergeCell ref="D385:L385"/>
    <mergeCell ref="D387:E387"/>
    <mergeCell ref="D388:L388"/>
    <mergeCell ref="D375:E375"/>
    <mergeCell ref="D376:L376"/>
    <mergeCell ref="D378:E378"/>
    <mergeCell ref="D379:L379"/>
    <mergeCell ref="D381:E381"/>
    <mergeCell ref="D397:L397"/>
    <mergeCell ref="D399:E399"/>
    <mergeCell ref="D400:L400"/>
    <mergeCell ref="D402:E402"/>
    <mergeCell ref="D403:L403"/>
    <mergeCell ref="D390:E390"/>
    <mergeCell ref="D391:L391"/>
    <mergeCell ref="D393:E393"/>
    <mergeCell ref="D394:L394"/>
    <mergeCell ref="D396:E396"/>
    <mergeCell ref="D412:L412"/>
    <mergeCell ref="D414:E414"/>
    <mergeCell ref="D415:L415"/>
    <mergeCell ref="D417:E417"/>
    <mergeCell ref="D418:L418"/>
    <mergeCell ref="D405:E405"/>
    <mergeCell ref="D406:L406"/>
    <mergeCell ref="D408:E408"/>
    <mergeCell ref="D409:L409"/>
    <mergeCell ref="D411:E411"/>
    <mergeCell ref="D427:L427"/>
    <mergeCell ref="D429:E429"/>
    <mergeCell ref="D430:L430"/>
    <mergeCell ref="D432:E432"/>
    <mergeCell ref="D433:L433"/>
    <mergeCell ref="D420:E420"/>
    <mergeCell ref="D421:L421"/>
    <mergeCell ref="D423:E423"/>
    <mergeCell ref="D424:L424"/>
    <mergeCell ref="D426:E426"/>
    <mergeCell ref="D442:L442"/>
    <mergeCell ref="D444:E444"/>
    <mergeCell ref="D445:L445"/>
    <mergeCell ref="D447:E447"/>
    <mergeCell ref="D448:L448"/>
    <mergeCell ref="D435:E435"/>
    <mergeCell ref="D436:L436"/>
    <mergeCell ref="D438:E438"/>
    <mergeCell ref="D439:L439"/>
    <mergeCell ref="D441:E441"/>
    <mergeCell ref="D457:L457"/>
    <mergeCell ref="D459:E459"/>
    <mergeCell ref="D460:L460"/>
    <mergeCell ref="D462:E462"/>
    <mergeCell ref="D463:L463"/>
    <mergeCell ref="D450:E450"/>
    <mergeCell ref="D451:L451"/>
    <mergeCell ref="D453:E453"/>
    <mergeCell ref="D454:L454"/>
    <mergeCell ref="D456:E456"/>
    <mergeCell ref="D472:L472"/>
    <mergeCell ref="D476:E476"/>
    <mergeCell ref="D477:L477"/>
    <mergeCell ref="D479:E479"/>
    <mergeCell ref="D480:L480"/>
    <mergeCell ref="D465:E465"/>
    <mergeCell ref="D466:L466"/>
    <mergeCell ref="D468:E468"/>
    <mergeCell ref="D469:L469"/>
    <mergeCell ref="D471:E471"/>
    <mergeCell ref="D491:E491"/>
    <mergeCell ref="D493:E493"/>
    <mergeCell ref="D495:E495"/>
    <mergeCell ref="D497:E497"/>
    <mergeCell ref="D499:E499"/>
    <mergeCell ref="D482:E482"/>
    <mergeCell ref="D483:L483"/>
    <mergeCell ref="D486:E486"/>
    <mergeCell ref="D487:L487"/>
    <mergeCell ref="D489:E489"/>
    <mergeCell ref="D509:E509"/>
    <mergeCell ref="D510:L510"/>
    <mergeCell ref="D512:E512"/>
    <mergeCell ref="D513:L513"/>
    <mergeCell ref="D515:E515"/>
    <mergeCell ref="D501:E501"/>
    <mergeCell ref="D503:E503"/>
    <mergeCell ref="D504:L504"/>
    <mergeCell ref="D506:E506"/>
    <mergeCell ref="D507:L507"/>
    <mergeCell ref="D528:E528"/>
    <mergeCell ref="D532:E532"/>
    <mergeCell ref="D534:E534"/>
    <mergeCell ref="D536:E536"/>
    <mergeCell ref="D538:E538"/>
    <mergeCell ref="D516:L516"/>
    <mergeCell ref="D518:E518"/>
    <mergeCell ref="D519:L519"/>
    <mergeCell ref="D522:E522"/>
    <mergeCell ref="D526:E526"/>
    <mergeCell ref="D550:E550"/>
    <mergeCell ref="D552:E552"/>
    <mergeCell ref="D554:E554"/>
    <mergeCell ref="D555:E555"/>
    <mergeCell ref="D557:E557"/>
    <mergeCell ref="D540:E540"/>
    <mergeCell ref="D542:E542"/>
    <mergeCell ref="D544:E544"/>
    <mergeCell ref="D546:E546"/>
    <mergeCell ref="D548:E548"/>
    <mergeCell ref="D569:E569"/>
    <mergeCell ref="D570:E570"/>
    <mergeCell ref="D572:E572"/>
    <mergeCell ref="D574:E574"/>
    <mergeCell ref="D575:E575"/>
    <mergeCell ref="D560:E560"/>
    <mergeCell ref="D562:E562"/>
    <mergeCell ref="D564:E564"/>
    <mergeCell ref="D566:E566"/>
    <mergeCell ref="D567:L567"/>
    <mergeCell ref="D584:L584"/>
    <mergeCell ref="D585:E585"/>
    <mergeCell ref="D586:E586"/>
    <mergeCell ref="D587:E587"/>
    <mergeCell ref="D588:E588"/>
    <mergeCell ref="D576:L576"/>
    <mergeCell ref="D578:E578"/>
    <mergeCell ref="D580:E580"/>
    <mergeCell ref="D582:E582"/>
    <mergeCell ref="D583:E583"/>
    <mergeCell ref="D594:L594"/>
    <mergeCell ref="D595:E595"/>
    <mergeCell ref="D596:L596"/>
    <mergeCell ref="D597:E597"/>
    <mergeCell ref="D598:L598"/>
    <mergeCell ref="D589:E589"/>
    <mergeCell ref="D590:L590"/>
    <mergeCell ref="D591:E591"/>
    <mergeCell ref="D592:L592"/>
    <mergeCell ref="D593:E593"/>
    <mergeCell ref="D604:E604"/>
    <mergeCell ref="D606:E606"/>
    <mergeCell ref="D607:L607"/>
    <mergeCell ref="D610:E610"/>
    <mergeCell ref="D611:L611"/>
    <mergeCell ref="D599:E599"/>
    <mergeCell ref="D600:L600"/>
    <mergeCell ref="D601:E601"/>
    <mergeCell ref="D602:L602"/>
    <mergeCell ref="D603:E603"/>
    <mergeCell ref="D622:E622"/>
    <mergeCell ref="D623:E623"/>
    <mergeCell ref="D625:E625"/>
    <mergeCell ref="D626:E626"/>
    <mergeCell ref="D627:L627"/>
    <mergeCell ref="D613:E613"/>
    <mergeCell ref="D614:L614"/>
    <mergeCell ref="D616:E616"/>
    <mergeCell ref="D617:L617"/>
    <mergeCell ref="D620:E620"/>
    <mergeCell ref="D635:E635"/>
    <mergeCell ref="D636:E636"/>
    <mergeCell ref="D638:E638"/>
    <mergeCell ref="D641:E641"/>
    <mergeCell ref="D642:L642"/>
    <mergeCell ref="D629:E629"/>
    <mergeCell ref="D630:E630"/>
    <mergeCell ref="D632:E632"/>
    <mergeCell ref="D633:E633"/>
    <mergeCell ref="D634:E634"/>
    <mergeCell ref="A670:L670"/>
    <mergeCell ref="D655:E655"/>
    <mergeCell ref="D656:L656"/>
    <mergeCell ref="D659:E659"/>
    <mergeCell ref="D664:E664"/>
    <mergeCell ref="D666:E666"/>
    <mergeCell ref="D644:E644"/>
    <mergeCell ref="D645:L645"/>
    <mergeCell ref="D649:E649"/>
    <mergeCell ref="D651:E651"/>
    <mergeCell ref="D653:E653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 topLeftCell="A1">
      <pane ySplit="11" topLeftCell="A12" activePane="bottomLeft" state="frozen"/>
      <selection pane="bottomLeft" activeCell="K14" sqref="K14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189" t="s">
        <v>3783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4.4">
      <c r="A2" s="190" t="s">
        <v>1</v>
      </c>
      <c r="B2" s="191"/>
      <c r="C2" s="191"/>
      <c r="D2" s="196" t="str">
        <f>'Stavební rozpočet-vyplnit'!D2</f>
        <v>Vybudování edukačního centra a digit.pracoviště v Městské knihovně T.G.Masaryka Šumperk</v>
      </c>
      <c r="E2" s="197"/>
      <c r="F2" s="197"/>
      <c r="G2" s="187" t="s">
        <v>78</v>
      </c>
      <c r="H2" s="187" t="str">
        <f>'Stavební rozpočet-vyplnit'!H2</f>
        <v xml:space="preserve"> </v>
      </c>
      <c r="I2" s="187" t="s">
        <v>2</v>
      </c>
      <c r="J2" s="187" t="str">
        <f>'Stavební rozpočet-vyplnit'!J2</f>
        <v>Město Šumperk</v>
      </c>
      <c r="K2" s="191"/>
      <c r="L2" s="193"/>
    </row>
    <row r="3" spans="1:12" ht="15" customHeight="1">
      <c r="A3" s="192"/>
      <c r="B3" s="148"/>
      <c r="C3" s="148"/>
      <c r="D3" s="198"/>
      <c r="E3" s="198"/>
      <c r="F3" s="198"/>
      <c r="G3" s="148"/>
      <c r="H3" s="148"/>
      <c r="I3" s="148"/>
      <c r="J3" s="148"/>
      <c r="K3" s="148"/>
      <c r="L3" s="194"/>
    </row>
    <row r="4" spans="1:12" ht="14.4">
      <c r="A4" s="185" t="s">
        <v>5</v>
      </c>
      <c r="B4" s="148"/>
      <c r="C4" s="148"/>
      <c r="D4" s="147" t="str">
        <f>'Stavební rozpočet-vyplnit'!D4</f>
        <v>Stavební úpravy, nástavba</v>
      </c>
      <c r="E4" s="148"/>
      <c r="F4" s="148"/>
      <c r="G4" s="147" t="s">
        <v>9</v>
      </c>
      <c r="H4" s="147" t="str">
        <f>'Stavební rozpočet-vyplnit'!H4</f>
        <v xml:space="preserve"> </v>
      </c>
      <c r="I4" s="147" t="s">
        <v>6</v>
      </c>
      <c r="J4" s="147" t="str">
        <f>'Stavební rozpočet-vyplnit'!J4</f>
        <v>Ing.Ladislav Trčka - PROINK</v>
      </c>
      <c r="K4" s="148"/>
      <c r="L4" s="194"/>
    </row>
    <row r="5" spans="1:12" ht="15" customHeight="1">
      <c r="A5" s="192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94"/>
    </row>
    <row r="6" spans="1:12" ht="14.4">
      <c r="A6" s="185" t="s">
        <v>7</v>
      </c>
      <c r="B6" s="148"/>
      <c r="C6" s="148"/>
      <c r="D6" s="147" t="str">
        <f>'Stavební rozpočet-vyplnit'!D6</f>
        <v>Šumperk</v>
      </c>
      <c r="E6" s="148"/>
      <c r="F6" s="148"/>
      <c r="G6" s="147" t="s">
        <v>10</v>
      </c>
      <c r="H6" s="147" t="str">
        <f>'Stavební rozpočet-vyplnit'!H6</f>
        <v xml:space="preserve"> </v>
      </c>
      <c r="I6" s="147" t="s">
        <v>8</v>
      </c>
      <c r="J6" s="147">
        <f>'Stavební rozpočet-vyplnit'!J6</f>
        <v>0</v>
      </c>
      <c r="K6" s="148"/>
      <c r="L6" s="194"/>
    </row>
    <row r="7" spans="1:12" ht="15" customHeight="1">
      <c r="A7" s="192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94"/>
    </row>
    <row r="8" spans="1:12" ht="14.4">
      <c r="A8" s="185" t="s">
        <v>12</v>
      </c>
      <c r="B8" s="148"/>
      <c r="C8" s="148"/>
      <c r="D8" s="147" t="str">
        <f>'Stavební rozpočet-vyplnit'!D8</f>
        <v>8014614</v>
      </c>
      <c r="E8" s="148"/>
      <c r="F8" s="148"/>
      <c r="G8" s="147" t="s">
        <v>85</v>
      </c>
      <c r="H8" s="147">
        <f>'Stavební rozpočet-vyplnit'!H8</f>
        <v>0</v>
      </c>
      <c r="I8" s="147" t="s">
        <v>13</v>
      </c>
      <c r="J8" s="147">
        <f>'Stavební rozpočet-vyplnit'!J8</f>
        <v>0</v>
      </c>
      <c r="K8" s="148"/>
      <c r="L8" s="194"/>
    </row>
    <row r="9" spans="1:12" ht="14.4">
      <c r="A9" s="251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5"/>
    </row>
    <row r="10" spans="1:12" ht="14.4">
      <c r="A10" s="115" t="s">
        <v>79</v>
      </c>
      <c r="B10" s="116" t="s">
        <v>79</v>
      </c>
      <c r="C10" s="256" t="s">
        <v>79</v>
      </c>
      <c r="D10" s="257"/>
      <c r="E10" s="257"/>
      <c r="F10" s="257"/>
      <c r="G10" s="257"/>
      <c r="H10" s="257"/>
      <c r="I10" s="257"/>
      <c r="J10" s="258"/>
      <c r="K10" s="32" t="s">
        <v>93</v>
      </c>
      <c r="L10" s="117" t="s">
        <v>94</v>
      </c>
    </row>
    <row r="11" spans="1:12" ht="14.4">
      <c r="A11" s="118" t="s">
        <v>87</v>
      </c>
      <c r="B11" s="119" t="s">
        <v>88</v>
      </c>
      <c r="C11" s="236" t="s">
        <v>89</v>
      </c>
      <c r="D11" s="253"/>
      <c r="E11" s="253"/>
      <c r="F11" s="253"/>
      <c r="G11" s="253"/>
      <c r="H11" s="253"/>
      <c r="I11" s="253"/>
      <c r="J11" s="237"/>
      <c r="K11" s="39" t="s">
        <v>101</v>
      </c>
      <c r="L11" s="120" t="s">
        <v>101</v>
      </c>
    </row>
    <row r="12" spans="1:16" ht="14.4">
      <c r="A12" s="121" t="s">
        <v>3745</v>
      </c>
      <c r="B12" s="122" t="s">
        <v>4</v>
      </c>
      <c r="C12" s="260" t="s">
        <v>57</v>
      </c>
      <c r="D12" s="260"/>
      <c r="E12" s="260"/>
      <c r="F12" s="260"/>
      <c r="G12" s="260"/>
      <c r="H12" s="260"/>
      <c r="I12" s="260"/>
      <c r="J12" s="260"/>
      <c r="K12" s="123"/>
      <c r="L12" s="124"/>
      <c r="M12" s="125" t="s">
        <v>3772</v>
      </c>
      <c r="N12" s="55">
        <f>IF(M12="F",0,K12)</f>
        <v>0</v>
      </c>
      <c r="O12" s="2" t="s">
        <v>3745</v>
      </c>
      <c r="P12" s="55">
        <f>IF(M12="T",0,K12)</f>
        <v>0</v>
      </c>
    </row>
    <row r="13" spans="1:16" ht="14.4" hidden="1">
      <c r="A13" s="1" t="s">
        <v>3745</v>
      </c>
      <c r="B13" s="2" t="s">
        <v>4</v>
      </c>
      <c r="C13" s="148" t="s">
        <v>3746</v>
      </c>
      <c r="D13" s="148"/>
      <c r="E13" s="148"/>
      <c r="F13" s="148"/>
      <c r="G13" s="148"/>
      <c r="H13" s="148"/>
      <c r="I13" s="148"/>
      <c r="J13" s="148"/>
      <c r="K13" s="55">
        <f>'Stavební rozpočet-vyplnit'!I2047</f>
        <v>0</v>
      </c>
      <c r="L13" s="126">
        <f>'Stavební rozpočet-vyplnit'!K2047</f>
        <v>0</v>
      </c>
      <c r="M13" s="125" t="s">
        <v>3772</v>
      </c>
      <c r="N13" s="55">
        <f>IF(M13="F",0,K13)</f>
        <v>0</v>
      </c>
      <c r="O13" s="2" t="s">
        <v>3745</v>
      </c>
      <c r="P13" s="55">
        <f>IF(M13="T",0,K13)</f>
        <v>0</v>
      </c>
    </row>
    <row r="14" spans="1:16" ht="14.4">
      <c r="A14" s="1" t="s">
        <v>3745</v>
      </c>
      <c r="B14" s="2" t="s">
        <v>3747</v>
      </c>
      <c r="C14" s="148" t="s">
        <v>25</v>
      </c>
      <c r="D14" s="148"/>
      <c r="E14" s="148"/>
      <c r="F14" s="148"/>
      <c r="G14" s="148"/>
      <c r="H14" s="148"/>
      <c r="I14" s="148"/>
      <c r="J14" s="148"/>
      <c r="K14" s="55">
        <f>'Stavební rozpočet-vyplnit'!I2048</f>
        <v>0</v>
      </c>
      <c r="L14" s="126">
        <f>'Stavební rozpočet-vyplnit'!K2048</f>
        <v>0</v>
      </c>
      <c r="M14" s="125" t="s">
        <v>3773</v>
      </c>
      <c r="N14" s="55">
        <f>IF(M14="F",0,K14)</f>
        <v>0</v>
      </c>
      <c r="O14" s="2" t="s">
        <v>3745</v>
      </c>
      <c r="P14" s="55">
        <f>IF(M14="T",0,K14)</f>
        <v>0</v>
      </c>
    </row>
    <row r="15" spans="1:16" ht="14.4">
      <c r="A15" s="1" t="s">
        <v>3745</v>
      </c>
      <c r="B15" s="2" t="s">
        <v>3755</v>
      </c>
      <c r="C15" s="148" t="s">
        <v>32</v>
      </c>
      <c r="D15" s="148"/>
      <c r="E15" s="148"/>
      <c r="F15" s="148"/>
      <c r="G15" s="148"/>
      <c r="H15" s="148"/>
      <c r="I15" s="148"/>
      <c r="J15" s="148"/>
      <c r="K15" s="55">
        <f>'Stavební rozpočet-vyplnit'!I2052</f>
        <v>0</v>
      </c>
      <c r="L15" s="126">
        <f>'Stavební rozpočet-vyplnit'!K2052</f>
        <v>0</v>
      </c>
      <c r="M15" s="125" t="s">
        <v>3773</v>
      </c>
      <c r="N15" s="55">
        <f>IF(M15="F",0,K15)</f>
        <v>0</v>
      </c>
      <c r="O15" s="2" t="s">
        <v>3745</v>
      </c>
      <c r="P15" s="55">
        <f>IF(M15="T",0,K15)</f>
        <v>0</v>
      </c>
    </row>
    <row r="16" spans="1:16" ht="14.4">
      <c r="A16" s="3" t="s">
        <v>3745</v>
      </c>
      <c r="B16" s="4" t="s">
        <v>3760</v>
      </c>
      <c r="C16" s="184" t="s">
        <v>73</v>
      </c>
      <c r="D16" s="184"/>
      <c r="E16" s="184"/>
      <c r="F16" s="184"/>
      <c r="G16" s="184"/>
      <c r="H16" s="184"/>
      <c r="I16" s="184"/>
      <c r="J16" s="184"/>
      <c r="K16" s="127">
        <f>'Stavební rozpočet-vyplnit'!I2056</f>
        <v>0</v>
      </c>
      <c r="L16" s="128">
        <f>'Stavební rozpočet-vyplnit'!K2056</f>
        <v>0</v>
      </c>
      <c r="M16" s="125" t="s">
        <v>3773</v>
      </c>
      <c r="N16" s="55">
        <f>IF(M16="F",0,K16)</f>
        <v>0</v>
      </c>
      <c r="O16" s="2" t="s">
        <v>3745</v>
      </c>
      <c r="P16" s="55">
        <f>IF(M16="T",0,K16)</f>
        <v>0</v>
      </c>
    </row>
    <row r="17" spans="9:11" ht="14.4">
      <c r="I17" s="252" t="s">
        <v>3774</v>
      </c>
      <c r="J17" s="252"/>
      <c r="K17" s="113">
        <f>SUM(K14:K16)</f>
        <v>0</v>
      </c>
    </row>
    <row r="18" ht="14.4">
      <c r="A18" s="114" t="s">
        <v>56</v>
      </c>
    </row>
    <row r="19" spans="1:12" ht="12.75" customHeight="1">
      <c r="A19" s="147" t="s">
        <v>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</sheetData>
  <sheetProtection password="F483" sheet="1" objects="1" scenarios="1"/>
  <mergeCells count="34"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C16:J16"/>
    <mergeCell ref="I17:J17"/>
    <mergeCell ref="A19:L19"/>
    <mergeCell ref="C11:J11"/>
    <mergeCell ref="C12:J12"/>
    <mergeCell ref="C13:J13"/>
    <mergeCell ref="C14:J14"/>
    <mergeCell ref="C15:J15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Zatloukalová Eva, Ing.</cp:lastModifiedBy>
  <dcterms:created xsi:type="dcterms:W3CDTF">2021-06-10T20:06:38Z</dcterms:created>
  <dcterms:modified xsi:type="dcterms:W3CDTF">2024-04-16T13:15:23Z</dcterms:modified>
  <cp:category/>
  <cp:version/>
  <cp:contentType/>
  <cp:contentStatus/>
</cp:coreProperties>
</file>